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510" yWindow="-30" windowWidth="13335" windowHeight="1258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基准地价修正" sheetId="43"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17" i="34" l="1"/>
  <c r="F117" i="34"/>
  <c r="E117" i="34"/>
  <c r="D117" i="34"/>
  <c r="C117" i="34"/>
  <c r="E5" i="34"/>
  <c r="G112" i="33" l="1"/>
  <c r="F112" i="33"/>
  <c r="E112" i="33"/>
  <c r="D112" i="33"/>
  <c r="C112" i="33"/>
  <c r="E104" i="33"/>
  <c r="F104" i="33" s="1"/>
  <c r="G104" i="33" s="1"/>
  <c r="D104" i="33"/>
  <c r="E89" i="33"/>
  <c r="F89" i="33" s="1"/>
  <c r="G89" i="33" s="1"/>
  <c r="D89" i="33"/>
  <c r="E66" i="33"/>
  <c r="F66" i="33" s="1"/>
  <c r="D66" i="33"/>
  <c r="F122" i="21"/>
  <c r="E122" i="21"/>
  <c r="D122" i="21"/>
  <c r="C122" i="21"/>
  <c r="G116" i="21"/>
  <c r="F116" i="21"/>
  <c r="E116" i="21"/>
  <c r="D116" i="21"/>
  <c r="C116" i="21"/>
  <c r="D104" i="21"/>
  <c r="E104" i="21" s="1"/>
  <c r="F104" i="21" s="1"/>
  <c r="G104" i="21" s="1"/>
  <c r="J52" i="67"/>
  <c r="J49" i="67"/>
  <c r="J52" i="15"/>
  <c r="J49" i="15"/>
  <c r="C66" i="9"/>
  <c r="B35" i="1"/>
  <c r="B21" i="1"/>
  <c r="N18" i="1"/>
  <c r="D3" i="4"/>
  <c r="N20" i="1" l="1"/>
  <c r="N6" i="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Y6" i="1" l="1"/>
  <c r="P28"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L29" i="79"/>
  <c r="I29" i="79"/>
  <c r="AB25" i="79"/>
  <c r="AA25" i="79"/>
  <c r="Z25" i="79"/>
  <c r="N25" i="79"/>
  <c r="M25" i="79"/>
  <c r="M23" i="79" s="1"/>
  <c r="P23" i="79" s="1"/>
  <c r="L25" i="79"/>
  <c r="I25" i="79"/>
  <c r="AD25" i="79" s="1"/>
  <c r="T23" i="79"/>
  <c r="W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Y5" i="79"/>
  <c r="P5" i="79"/>
  <c r="O5" i="79"/>
  <c r="N5" i="79"/>
  <c r="U3" i="79" s="1"/>
  <c r="M5" i="79"/>
  <c r="L5" i="79"/>
  <c r="S3" i="79" s="1"/>
  <c r="K5" i="79"/>
  <c r="I5" i="79"/>
  <c r="Z3" i="79"/>
  <c r="T3" i="79"/>
  <c r="W3" i="79" s="1"/>
  <c r="M3" i="79"/>
  <c r="P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V3" i="79"/>
  <c r="R14" i="79"/>
  <c r="T14" i="79"/>
  <c r="W14" i="79" s="1"/>
  <c r="V14" i="79"/>
  <c r="L23" i="79"/>
  <c r="U23" i="79"/>
  <c r="AD29" i="79"/>
  <c r="S30" i="79"/>
  <c r="U30" i="79"/>
  <c r="AD31" i="79"/>
  <c r="T31" i="79"/>
  <c r="W31" i="79" s="1"/>
  <c r="S32" i="79"/>
  <c r="U32" i="79"/>
  <c r="AD33" i="79"/>
  <c r="T33" i="79"/>
  <c r="W33" i="79" s="1"/>
  <c r="S34" i="79"/>
  <c r="U34" i="79"/>
  <c r="AD35"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G100" i="43" s="1"/>
  <c r="H97" i="43"/>
  <c r="G97" i="43" s="1"/>
  <c r="H95" i="43"/>
  <c r="G95" i="43" s="1"/>
  <c r="H94" i="43"/>
  <c r="G94" i="43" s="1"/>
  <c r="H98" i="43"/>
  <c r="G98" i="43" s="1"/>
  <c r="H93" i="43"/>
  <c r="G93" i="43" s="1"/>
  <c r="H101" i="43"/>
  <c r="G101" i="43" s="1"/>
  <c r="H99" i="43"/>
  <c r="G99" i="43" s="1"/>
  <c r="H96" i="43"/>
  <c r="G96" i="43" s="1"/>
  <c r="G23" i="78"/>
  <c r="G24" i="78"/>
  <c r="G25" i="78"/>
  <c r="B15" i="78"/>
  <c r="B18" i="78"/>
  <c r="G15" i="73"/>
  <c r="F15" i="73"/>
  <c r="E15" i="73"/>
  <c r="K96" i="43" l="1"/>
  <c r="M96" i="43"/>
  <c r="N96" i="43" s="1"/>
  <c r="K101" i="43"/>
  <c r="M101" i="43"/>
  <c r="N101" i="43" s="1"/>
  <c r="K98" i="43"/>
  <c r="M98" i="43"/>
  <c r="N98" i="43" s="1"/>
  <c r="K95" i="43"/>
  <c r="M95" i="43"/>
  <c r="N95" i="43" s="1"/>
  <c r="K100" i="43"/>
  <c r="J100" i="43" s="1"/>
  <c r="D100" i="43" s="1"/>
  <c r="M100" i="43"/>
  <c r="N100" i="43" s="1"/>
  <c r="K99" i="43"/>
  <c r="M99" i="43"/>
  <c r="N99" i="43" s="1"/>
  <c r="K93" i="43"/>
  <c r="M93" i="43"/>
  <c r="N93" i="43" s="1"/>
  <c r="K94" i="43"/>
  <c r="M94" i="43"/>
  <c r="N94" i="43" s="1"/>
  <c r="K97" i="43"/>
  <c r="J97" i="43" s="1"/>
  <c r="M97" i="43"/>
  <c r="N97" i="43" s="1"/>
  <c r="G16" i="73"/>
  <c r="F16" i="73"/>
  <c r="E16" i="73"/>
  <c r="J94" i="43" l="1"/>
  <c r="D94" i="43"/>
  <c r="J99" i="43"/>
  <c r="D99" i="43"/>
  <c r="J93" i="43"/>
  <c r="D93" i="43"/>
  <c r="E93" i="43" s="1"/>
  <c r="B91" i="43" s="1"/>
  <c r="J95" i="43"/>
  <c r="D95" i="43"/>
  <c r="J98" i="43"/>
  <c r="D98" i="43"/>
  <c r="J101" i="43"/>
  <c r="D101" i="43"/>
  <c r="J96" i="43"/>
  <c r="D96" i="43"/>
  <c r="G17" i="73"/>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C34"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F30" i="71" s="1"/>
  <c r="F31" i="71" s="1"/>
  <c r="F32" i="71" s="1"/>
  <c r="V32" i="71" s="1"/>
  <c r="P29" i="71"/>
  <c r="O29" i="71"/>
  <c r="C30"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s="1"/>
  <c r="E40" i="71" s="1"/>
  <c r="U40" i="71" s="1"/>
  <c r="AA37" i="71"/>
  <c r="N68" i="71"/>
  <c r="E34" i="71"/>
  <c r="E35" i="71" s="1"/>
  <c r="E36" i="71" s="1"/>
  <c r="U36" i="71" s="1"/>
  <c r="AA33" i="71"/>
  <c r="Y29" i="71"/>
  <c r="Z29" i="71" s="1"/>
  <c r="AB29" i="71"/>
  <c r="AA30" i="71"/>
  <c r="AA31" i="71"/>
  <c r="AA32" i="71"/>
  <c r="AB33" i="71"/>
  <c r="X34" i="71"/>
  <c r="AA34" i="71"/>
  <c r="X35" i="71"/>
  <c r="AA35" i="71"/>
  <c r="X36" i="71"/>
  <c r="AA36" i="71"/>
  <c r="C38" i="71"/>
  <c r="Y37" i="71"/>
  <c r="Z37" i="71" s="1"/>
  <c r="AB37" i="71"/>
  <c r="X38" i="71"/>
  <c r="AA38" i="71"/>
  <c r="F51" i="71"/>
  <c r="F52" i="71" s="1"/>
  <c r="V52" i="71" s="1"/>
  <c r="C28" i="71"/>
  <c r="T28" i="71" s="1"/>
  <c r="Y28" i="71"/>
  <c r="Z28" i="71" s="1"/>
  <c r="X25" i="71"/>
  <c r="X27" i="71"/>
  <c r="C39" i="71"/>
  <c r="D38" i="71"/>
  <c r="C51" i="71"/>
  <c r="D50" i="71"/>
  <c r="P28" i="71"/>
  <c r="E55" i="71"/>
  <c r="E56" i="71" s="1"/>
  <c r="U56" i="71" s="1"/>
  <c r="E59" i="71"/>
  <c r="E60" i="71"/>
  <c r="U60" i="71" s="1"/>
  <c r="E63" i="71"/>
  <c r="E64" i="71" s="1"/>
  <c r="U64" i="71" s="1"/>
  <c r="U68" i="71"/>
  <c r="E67" i="71"/>
  <c r="Q28" i="71"/>
  <c r="AB25" i="71" s="1"/>
  <c r="C59" i="71"/>
  <c r="D58" i="71"/>
  <c r="C63" i="71"/>
  <c r="D62" i="71"/>
  <c r="N67" i="71"/>
  <c r="B66" i="71"/>
  <c r="N66" i="71" s="1"/>
  <c r="T68" i="71"/>
  <c r="O68" i="71"/>
  <c r="D68" i="71"/>
  <c r="C67" i="71"/>
  <c r="O67" i="71" s="1"/>
  <c r="Q68" i="71"/>
  <c r="C71" i="71"/>
  <c r="D71" i="71" s="1"/>
  <c r="E71" i="71"/>
  <c r="E70" i="71" s="1"/>
  <c r="D72" i="71"/>
  <c r="C75" i="71"/>
  <c r="E75" i="71"/>
  <c r="E74" i="71" s="1"/>
  <c r="D76" i="71"/>
  <c r="C79" i="71"/>
  <c r="D79" i="71" s="1"/>
  <c r="E79" i="71"/>
  <c r="E78" i="71" s="1"/>
  <c r="D80" i="71"/>
  <c r="C83" i="71"/>
  <c r="C87" i="71"/>
  <c r="C86" i="71" s="1"/>
  <c r="D86" i="71" s="1"/>
  <c r="C27" i="71"/>
  <c r="F28" i="71"/>
  <c r="F27" i="71" s="1"/>
  <c r="F26" i="71" s="1"/>
  <c r="AB26" i="71"/>
  <c r="AB28" i="71"/>
  <c r="E28" i="71"/>
  <c r="E27" i="71"/>
  <c r="E26" i="71" s="1"/>
  <c r="AA3" i="71"/>
  <c r="AA25" i="71"/>
  <c r="AA26" i="71"/>
  <c r="AA27" i="71"/>
  <c r="AA28" i="71"/>
  <c r="D28" i="71"/>
  <c r="U28" i="71" s="1"/>
  <c r="C66" i="71"/>
  <c r="O66" i="71" s="1"/>
  <c r="D67" i="71"/>
  <c r="C64" i="71"/>
  <c r="D64" i="71" s="1"/>
  <c r="D63" i="71"/>
  <c r="D83" i="71"/>
  <c r="C82" i="71"/>
  <c r="D82" i="71" s="1"/>
  <c r="D75" i="71"/>
  <c r="C74" i="71"/>
  <c r="D74" i="71" s="1"/>
  <c r="N65" i="71"/>
  <c r="D87" i="71"/>
  <c r="C78" i="71"/>
  <c r="D78" i="71" s="1"/>
  <c r="C70" i="71"/>
  <c r="D70" i="71" s="1"/>
  <c r="C60" i="71"/>
  <c r="D60" i="71" s="1"/>
  <c r="D59" i="71"/>
  <c r="P67" i="71"/>
  <c r="E66" i="71"/>
  <c r="P65" i="71" s="1"/>
  <c r="C52" i="71"/>
  <c r="D52" i="71" s="1"/>
  <c r="D51" i="71"/>
  <c r="C40" i="71"/>
  <c r="D40" i="71" s="1"/>
  <c r="D39" i="71"/>
  <c r="C26" i="71"/>
  <c r="D26" i="71" s="1"/>
  <c r="D27" i="71"/>
  <c r="V28" i="71"/>
  <c r="P66" i="71"/>
  <c r="D66" i="71"/>
  <c r="T40" i="71"/>
  <c r="T52" i="71"/>
  <c r="T60" i="71"/>
  <c r="T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AA21" i="21" s="1"/>
  <c r="D81" i="21"/>
  <c r="G20" i="20"/>
  <c r="B88" i="43" s="1"/>
  <c r="C22" i="20"/>
  <c r="B100" i="43" s="1"/>
  <c r="B77" i="43"/>
  <c r="B57" i="43"/>
  <c r="B68" i="43"/>
  <c r="C29" i="39"/>
  <c r="S25" i="40"/>
  <c r="S18" i="36"/>
  <c r="H25" i="40"/>
  <c r="AB25" i="40" s="1"/>
  <c r="J25" i="40"/>
  <c r="AC25" i="40" s="1"/>
  <c r="H29" i="39"/>
  <c r="AB29" i="39" s="1"/>
  <c r="J29" i="39"/>
  <c r="AC29" i="39" s="1"/>
  <c r="J18" i="36"/>
  <c r="AC18" i="36" s="1"/>
  <c r="H18" i="35"/>
  <c r="AB18" i="35" s="1"/>
  <c r="S18" i="35"/>
  <c r="G68" i="35"/>
  <c r="J18" i="35"/>
  <c r="F77" i="37"/>
  <c r="G77" i="37" s="1"/>
  <c r="H21" i="37"/>
  <c r="F21" i="37"/>
  <c r="AA21" i="37" s="1"/>
  <c r="H21" i="34"/>
  <c r="AB21" i="34" s="1"/>
  <c r="H21" i="33"/>
  <c r="U21" i="33" s="1"/>
  <c r="F21" i="33"/>
  <c r="AA21" i="33" s="1"/>
  <c r="E83" i="21"/>
  <c r="S21" i="21"/>
  <c r="H1" i="69"/>
  <c r="W25" i="40"/>
  <c r="U25" i="40"/>
  <c r="U29" i="39"/>
  <c r="W29" i="39"/>
  <c r="W18" i="36"/>
  <c r="AB21" i="37"/>
  <c r="U21" i="37"/>
  <c r="S21" i="33"/>
  <c r="U18" i="35"/>
  <c r="AC18" i="35"/>
  <c r="W18" i="35"/>
  <c r="J21" i="37"/>
  <c r="J21" i="34"/>
  <c r="W21" i="34" s="1"/>
  <c r="G83" i="33"/>
  <c r="J21" i="33"/>
  <c r="W21" i="33" s="1"/>
  <c r="F83" i="21"/>
  <c r="H21" i="21"/>
  <c r="U21" i="21" s="1"/>
  <c r="F38" i="69"/>
  <c r="E37" i="69"/>
  <c r="F36" i="69"/>
  <c r="F35" i="69"/>
  <c r="F21" i="69"/>
  <c r="F40" i="69" s="1"/>
  <c r="F20" i="69"/>
  <c r="F39" i="69" s="1"/>
  <c r="E10" i="69"/>
  <c r="E9" i="69"/>
  <c r="AC21" i="37"/>
  <c r="W21" i="37"/>
  <c r="G83" i="21"/>
  <c r="J21" i="21"/>
  <c r="AC21" i="21" s="1"/>
  <c r="F38" i="68"/>
  <c r="E37" i="68"/>
  <c r="F36" i="68"/>
  <c r="F35" i="68"/>
  <c r="F21" i="68"/>
  <c r="F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s="1"/>
  <c r="D114" i="34"/>
  <c r="F38" i="34"/>
  <c r="S38" i="34" s="1"/>
  <c r="D112" i="34"/>
  <c r="E112" i="34" s="1"/>
  <c r="F112" i="34" s="1"/>
  <c r="F40" i="33"/>
  <c r="D113" i="33"/>
  <c r="F37" i="33"/>
  <c r="AA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c r="D86" i="40"/>
  <c r="E86" i="40"/>
  <c r="F86" i="40" s="1"/>
  <c r="G86" i="40" s="1"/>
  <c r="D84" i="40"/>
  <c r="E84" i="40"/>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AA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H12" i="34"/>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H36" i="39"/>
  <c r="AB36" i="39" s="1"/>
  <c r="J35" i="39"/>
  <c r="AC35" i="39" s="1"/>
  <c r="F35" i="39"/>
  <c r="AA35" i="39" s="1"/>
  <c r="U9" i="39"/>
  <c r="W25" i="37"/>
  <c r="W31" i="37"/>
  <c r="F39" i="37"/>
  <c r="S39" i="37" s="1"/>
  <c r="F29" i="36"/>
  <c r="AA29" i="36" s="1"/>
  <c r="F16" i="36"/>
  <c r="AA16" i="36" s="1"/>
  <c r="W28" i="36"/>
  <c r="U31" i="36"/>
  <c r="J33" i="36"/>
  <c r="AC33" i="36" s="1"/>
  <c r="H22" i="35"/>
  <c r="AB22" i="35" s="1"/>
  <c r="AC27" i="35"/>
  <c r="U31" i="35"/>
  <c r="W22" i="35"/>
  <c r="S31" i="35"/>
  <c r="F36" i="34"/>
  <c r="S36" i="34" s="1"/>
  <c r="J35" i="34"/>
  <c r="H39" i="33"/>
  <c r="AB39" i="33" s="1"/>
  <c r="F26" i="33"/>
  <c r="AA26" i="33"/>
  <c r="S40" i="33"/>
  <c r="W33" i="33"/>
  <c r="W39" i="33"/>
  <c r="H39" i="37"/>
  <c r="AB39" i="37" s="1"/>
  <c r="S27" i="35"/>
  <c r="F11" i="40"/>
  <c r="AA11" i="40"/>
  <c r="H11" i="40"/>
  <c r="AB11" i="40"/>
  <c r="W8" i="40"/>
  <c r="AB39" i="40"/>
  <c r="AA9" i="40"/>
  <c r="U9" i="40"/>
  <c r="U38" i="40"/>
  <c r="W31" i="40"/>
  <c r="U34" i="40"/>
  <c r="S38" i="40"/>
  <c r="F42" i="39"/>
  <c r="AA42" i="39" s="1"/>
  <c r="F41" i="39"/>
  <c r="S41" i="39" s="1"/>
  <c r="H40" i="39"/>
  <c r="AB40" i="39" s="1"/>
  <c r="H39" i="39"/>
  <c r="U39" i="39" s="1"/>
  <c r="S38" i="39"/>
  <c r="H34" i="39"/>
  <c r="U34" i="39" s="1"/>
  <c r="E108" i="39"/>
  <c r="H31" i="39"/>
  <c r="AB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U34"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B12" i="33"/>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s="1"/>
  <c r="H101" i="37" s="1"/>
  <c r="I101" i="37" s="1"/>
  <c r="J101" i="37" s="1"/>
  <c r="K101" i="37" s="1"/>
  <c r="L101" i="37" s="1"/>
  <c r="M101" i="37" s="1"/>
  <c r="J34" i="37"/>
  <c r="W34" i="37" s="1"/>
  <c r="AA39" i="37"/>
  <c r="AB34" i="37"/>
  <c r="J33" i="37"/>
  <c r="AC33" i="37" s="1"/>
  <c r="E114" i="34"/>
  <c r="H36" i="34"/>
  <c r="U36" i="34" s="1"/>
  <c r="F28" i="34"/>
  <c r="AA28" i="34" s="1"/>
  <c r="F27" i="34"/>
  <c r="AA27" i="34" s="1"/>
  <c r="F25" i="34"/>
  <c r="S25" i="34" s="1"/>
  <c r="H23" i="34"/>
  <c r="U23" i="34" s="1"/>
  <c r="J23" i="34"/>
  <c r="W23" i="34" s="1"/>
  <c r="F19" i="34"/>
  <c r="H17" i="34"/>
  <c r="U17" i="34" s="1"/>
  <c r="F15" i="34"/>
  <c r="AA15" i="34" s="1"/>
  <c r="J15" i="34"/>
  <c r="W15" i="34" s="1"/>
  <c r="H15" i="34"/>
  <c r="AB15" i="34" s="1"/>
  <c r="W8" i="34"/>
  <c r="J28" i="34"/>
  <c r="W28" i="34" s="1"/>
  <c r="F41" i="33"/>
  <c r="AA41" i="33" s="1"/>
  <c r="E113" i="33"/>
  <c r="F113" i="33" s="1"/>
  <c r="G113" i="33" s="1"/>
  <c r="H113" i="33" s="1"/>
  <c r="I113" i="33" s="1"/>
  <c r="J113" i="33" s="1"/>
  <c r="K113" i="33" s="1"/>
  <c r="L113" i="33" s="1"/>
  <c r="M113" i="33" s="1"/>
  <c r="F32" i="33"/>
  <c r="AA32" i="33" s="1"/>
  <c r="J19" i="33"/>
  <c r="AC19" i="33" s="1"/>
  <c r="J15" i="33"/>
  <c r="AC15" i="33" s="1"/>
  <c r="F11" i="33"/>
  <c r="AA11" i="33" s="1"/>
  <c r="S26" i="33"/>
  <c r="W40" i="33"/>
  <c r="F37" i="40"/>
  <c r="AA37" i="40"/>
  <c r="F36" i="40"/>
  <c r="AA36" i="40"/>
  <c r="H28" i="40"/>
  <c r="U28" i="40"/>
  <c r="F23" i="40"/>
  <c r="AA23" i="40"/>
  <c r="F17" i="40"/>
  <c r="AA17" i="40"/>
  <c r="J17" i="40"/>
  <c r="W17" i="40"/>
  <c r="F15" i="40"/>
  <c r="S15" i="40"/>
  <c r="H15" i="40"/>
  <c r="AB15" i="40"/>
  <c r="S12" i="36"/>
  <c r="AA12" i="36"/>
  <c r="AB30" i="36"/>
  <c r="F29" i="35"/>
  <c r="S29" i="35" s="1"/>
  <c r="H29" i="35"/>
  <c r="AB29" i="35" s="1"/>
  <c r="H33" i="37"/>
  <c r="AB33" i="37" s="1"/>
  <c r="F33" i="37"/>
  <c r="AA33" i="37" s="1"/>
  <c r="U34" i="37"/>
  <c r="S34" i="37"/>
  <c r="AA34" i="37"/>
  <c r="J43" i="34"/>
  <c r="AB42"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H37" i="33"/>
  <c r="AB37" i="33" s="1"/>
  <c r="H15" i="33"/>
  <c r="AB15" i="33" s="1"/>
  <c r="H11" i="33"/>
  <c r="AB11" i="33" s="1"/>
  <c r="F28" i="40"/>
  <c r="AA28" i="40" s="1"/>
  <c r="AA42" i="34"/>
  <c r="S42" i="34"/>
  <c r="AC38" i="34"/>
  <c r="AA38" i="34"/>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AC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s="1"/>
  <c r="J10" i="36"/>
  <c r="AC10" i="36" s="1"/>
  <c r="AB26" i="33"/>
  <c r="AB30" i="21"/>
  <c r="AA14" i="37"/>
  <c r="W31" i="34"/>
  <c r="W13" i="36"/>
  <c r="S11" i="36"/>
  <c r="AB46" i="34"/>
  <c r="AA14" i="34"/>
  <c r="AB45" i="33"/>
  <c r="U31" i="33"/>
  <c r="AC28" i="21"/>
  <c r="BA586" i="3"/>
  <c r="BA585" i="3"/>
  <c r="F17" i="21"/>
  <c r="AA17" i="21" s="1"/>
  <c r="H17" i="21"/>
  <c r="AB17" i="21" s="1"/>
  <c r="F15" i="21"/>
  <c r="S15" i="21" s="1"/>
  <c r="J41" i="39"/>
  <c r="W41" i="39" s="1"/>
  <c r="AC45" i="39"/>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S28" i="31"/>
  <c r="S27" i="31"/>
  <c r="S26" i="31"/>
  <c r="U35" i="35"/>
  <c r="AA12" i="35"/>
  <c r="W23" i="35"/>
  <c r="AB28" i="37"/>
  <c r="U33" i="37"/>
  <c r="U39" i="37"/>
  <c r="W26" i="37"/>
  <c r="U26" i="37"/>
  <c r="AB13" i="34"/>
  <c r="AA13" i="33"/>
  <c r="AC31" i="33"/>
  <c r="AC45" i="33"/>
  <c r="U11" i="33"/>
  <c r="U19" i="21"/>
  <c r="W44" i="21"/>
  <c r="AC46" i="21"/>
  <c r="U12" i="21"/>
  <c r="F43" i="33"/>
  <c r="AA43" i="33" s="1"/>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G71" i="37"/>
  <c r="J15" i="37"/>
  <c r="W15" i="37"/>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E7" i="34" s="1"/>
  <c r="G7" i="34" s="1"/>
  <c r="I7" i="34" s="1"/>
  <c r="C7" i="36"/>
  <c r="W35" i="40"/>
  <c r="A118" i="9"/>
  <c r="A4" i="52"/>
  <c r="B41" i="72" s="1"/>
  <c r="J11" i="39"/>
  <c r="W11" i="39" s="1"/>
  <c r="F11" i="39"/>
  <c r="AA11" i="39" s="1"/>
  <c r="S11" i="39"/>
  <c r="G4" i="4"/>
  <c r="I4" i="4"/>
  <c r="A2" i="9"/>
  <c r="F61" i="43"/>
  <c r="H64" i="43" s="1"/>
  <c r="G64" i="43" s="1"/>
  <c r="M64" i="43" s="1"/>
  <c r="N64" i="43" s="1"/>
  <c r="AZ20" i="3"/>
  <c r="AZ32"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AZ378" i="3"/>
  <c r="BL378" i="3"/>
  <c r="G379" i="3"/>
  <c r="BA380" i="3"/>
  <c r="G388" i="3"/>
  <c r="BL389" i="3"/>
  <c r="G390" i="3"/>
  <c r="BL391" i="3"/>
  <c r="BA393" i="3"/>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AZ156" i="3" s="1"/>
  <c r="G157" i="3"/>
  <c r="BA159" i="3"/>
  <c r="AZ159" i="3"/>
  <c r="BL160" i="3"/>
  <c r="G161" i="3"/>
  <c r="BA163" i="3"/>
  <c r="AZ163" i="3"/>
  <c r="BL164" i="3"/>
  <c r="G165" i="3"/>
  <c r="BA167" i="3"/>
  <c r="AZ167" i="3" s="1"/>
  <c r="BL168" i="3"/>
  <c r="G169" i="3"/>
  <c r="BA171" i="3"/>
  <c r="AZ171" i="3" s="1"/>
  <c r="BL172" i="3"/>
  <c r="AZ172" i="3" s="1"/>
  <c r="G173" i="3"/>
  <c r="BA175" i="3"/>
  <c r="AZ175" i="3" s="1"/>
  <c r="BL176" i="3"/>
  <c r="AZ176" i="3" s="1"/>
  <c r="G177" i="3"/>
  <c r="BA179" i="3"/>
  <c r="AZ179" i="3" s="1"/>
  <c r="BL180" i="3"/>
  <c r="G181" i="3"/>
  <c r="BA183" i="3"/>
  <c r="AZ183" i="3" s="1"/>
  <c r="BL184" i="3"/>
  <c r="AZ184" i="3" s="1"/>
  <c r="G185" i="3"/>
  <c r="BA187" i="3"/>
  <c r="AZ187" i="3" s="1"/>
  <c r="BL188" i="3"/>
  <c r="AZ188" i="3" s="1"/>
  <c r="G189" i="3"/>
  <c r="BA191" i="3"/>
  <c r="AZ191" i="3"/>
  <c r="BL192" i="3"/>
  <c r="G193" i="3"/>
  <c r="BA195" i="3"/>
  <c r="AZ195" i="3"/>
  <c r="BL196" i="3"/>
  <c r="G197" i="3"/>
  <c r="BA199" i="3"/>
  <c r="BL200" i="3"/>
  <c r="G201" i="3"/>
  <c r="BA203" i="3"/>
  <c r="BL204" i="3"/>
  <c r="AZ204" i="3" s="1"/>
  <c r="AZ51" i="3"/>
  <c r="AZ55" i="3"/>
  <c r="AZ67" i="3"/>
  <c r="AZ71" i="3"/>
  <c r="AZ83" i="3"/>
  <c r="AZ136" i="3"/>
  <c r="AZ144" i="3"/>
  <c r="AZ160" i="3"/>
  <c r="AZ168" i="3"/>
  <c r="AZ192" i="3"/>
  <c r="AZ200" i="3"/>
  <c r="AZ85" i="3"/>
  <c r="AZ93" i="3"/>
  <c r="AZ101"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AZ320" i="3" s="1"/>
  <c r="BA321" i="3"/>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42" i="3"/>
  <c r="AZ150" i="3"/>
  <c r="AZ154" i="3"/>
  <c r="AZ158" i="3"/>
  <c r="AZ166" i="3"/>
  <c r="AZ170" i="3"/>
  <c r="AZ174" i="3"/>
  <c r="AZ182" i="3"/>
  <c r="AZ186" i="3"/>
  <c r="AZ190" i="3"/>
  <c r="AZ500" i="3"/>
  <c r="BA16" i="3"/>
  <c r="AZ16" i="3" s="1"/>
  <c r="BL303" i="3"/>
  <c r="G304" i="3"/>
  <c r="BA306" i="3"/>
  <c r="AZ306" i="3" s="1"/>
  <c r="BL307" i="3"/>
  <c r="AZ307" i="3" s="1"/>
  <c r="G308" i="3"/>
  <c r="BA310" i="3"/>
  <c r="AZ310" i="3" s="1"/>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22" i="3"/>
  <c r="AZ303" i="3"/>
  <c r="AZ335" i="3"/>
  <c r="G342" i="3"/>
  <c r="BL345" i="3"/>
  <c r="AZ345" i="3" s="1"/>
  <c r="G346" i="3"/>
  <c r="BL349" i="3"/>
  <c r="BL352" i="3"/>
  <c r="G353" i="3"/>
  <c r="BA357" i="3"/>
  <c r="AZ357" i="3" s="1"/>
  <c r="BL358" i="3"/>
  <c r="AZ358" i="3" s="1"/>
  <c r="G359" i="3"/>
  <c r="BA361" i="3"/>
  <c r="BL362" i="3"/>
  <c r="G363" i="3"/>
  <c r="BA365" i="3"/>
  <c r="AZ365" i="3" s="1"/>
  <c r="BL366" i="3"/>
  <c r="G367" i="3"/>
  <c r="BA369" i="3"/>
  <c r="AZ369" i="3"/>
  <c r="BL370" i="3"/>
  <c r="G371" i="3"/>
  <c r="BA373" i="3"/>
  <c r="AZ373" i="3"/>
  <c r="BL374" i="3"/>
  <c r="AZ374" i="3"/>
  <c r="G375" i="3"/>
  <c r="BA377" i="3"/>
  <c r="AZ377" i="3" s="1"/>
  <c r="AZ229" i="3"/>
  <c r="AZ241" i="3"/>
  <c r="AZ245" i="3"/>
  <c r="AZ257" i="3"/>
  <c r="AZ261" i="3"/>
  <c r="AZ265" i="3"/>
  <c r="AZ370" i="3"/>
  <c r="BA379" i="3"/>
  <c r="AZ379" i="3" s="1"/>
  <c r="BL380" i="3"/>
  <c r="G381" i="3"/>
  <c r="BA383" i="3"/>
  <c r="AZ383" i="3" s="1"/>
  <c r="BL384" i="3"/>
  <c r="G385" i="3"/>
  <c r="BA387" i="3"/>
  <c r="AZ387" i="3" s="1"/>
  <c r="BL388" i="3"/>
  <c r="G389" i="3"/>
  <c r="BA391" i="3"/>
  <c r="AZ391" i="3" s="1"/>
  <c r="BL392" i="3"/>
  <c r="G393" i="3"/>
  <c r="AZ263" i="3"/>
  <c r="AZ279" i="3"/>
  <c r="AZ283" i="3"/>
  <c r="AZ291" i="3"/>
  <c r="BO5" i="3"/>
  <c r="BM5" i="3"/>
  <c r="BJ5" i="3"/>
  <c r="BH5" i="3"/>
  <c r="BF5" i="3"/>
  <c r="BD5" i="3"/>
  <c r="AZ325"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BA15" i="3"/>
  <c r="BB5" i="3"/>
  <c r="BR5" i="3"/>
  <c r="AZ380" i="3"/>
  <c r="AZ388" i="3"/>
  <c r="AZ392" i="3"/>
  <c r="AZ394" i="3"/>
  <c r="AZ509" i="3"/>
  <c r="G509" i="3"/>
  <c r="BL493" i="3"/>
  <c r="AZ493" i="3" s="1"/>
  <c r="AZ491" i="3"/>
  <c r="AZ376" i="3"/>
  <c r="AZ382" i="3"/>
  <c r="U36" i="40"/>
  <c r="F83" i="43"/>
  <c r="H85" i="43" s="1"/>
  <c r="G85" i="43" s="1"/>
  <c r="K85" i="43" s="1"/>
  <c r="D85" i="43" s="1"/>
  <c r="F50" i="43"/>
  <c r="H54" i="43" s="1"/>
  <c r="G54" i="43" s="1"/>
  <c r="K54" i="43" s="1"/>
  <c r="J54" i="43" s="1"/>
  <c r="F72" i="43"/>
  <c r="H75" i="43" s="1"/>
  <c r="G75" i="43" s="1"/>
  <c r="M75" i="43" s="1"/>
  <c r="N75" i="43" s="1"/>
  <c r="U17" i="39"/>
  <c r="S14" i="35"/>
  <c r="U43" i="21"/>
  <c r="AC35" i="21"/>
  <c r="G8" i="1"/>
  <c r="G10" i="1"/>
  <c r="AC11" i="39"/>
  <c r="W37" i="37"/>
  <c r="W44" i="34"/>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AB34" i="33" s="1"/>
  <c r="F35" i="33"/>
  <c r="S35" i="33" s="1"/>
  <c r="F39" i="34"/>
  <c r="S39" i="34" s="1"/>
  <c r="J39" i="34"/>
  <c r="W39" i="34" s="1"/>
  <c r="F43" i="34"/>
  <c r="AA43" i="34" s="1"/>
  <c r="H44" i="34"/>
  <c r="AB44" i="34" s="1"/>
  <c r="AC38" i="39"/>
  <c r="F39" i="39"/>
  <c r="S39" i="39" s="1"/>
  <c r="J39" i="39"/>
  <c r="AC39" i="39" s="1"/>
  <c r="E96" i="39"/>
  <c r="F96" i="39" s="1"/>
  <c r="G96" i="39" s="1"/>
  <c r="AZ353" i="3"/>
  <c r="C40" i="11"/>
  <c r="AZ215" i="3"/>
  <c r="AZ227" i="3"/>
  <c r="AZ240" i="3"/>
  <c r="AZ243" i="3"/>
  <c r="AZ256" i="3"/>
  <c r="AZ259" i="3"/>
  <c r="AZ268" i="3"/>
  <c r="AZ296" i="3"/>
  <c r="AZ114" i="3"/>
  <c r="AZ130" i="3"/>
  <c r="AZ29" i="3"/>
  <c r="AZ31" i="3"/>
  <c r="AZ33" i="3"/>
  <c r="AZ37" i="3"/>
  <c r="AZ42" i="3"/>
  <c r="AZ53" i="3"/>
  <c r="AZ58" i="3"/>
  <c r="AZ69" i="3"/>
  <c r="AZ102" i="3"/>
  <c r="F23" i="39"/>
  <c r="AA23" i="39"/>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K6" i="1"/>
  <c r="AP6" i="1" s="1"/>
  <c r="G29" i="6"/>
  <c r="AC26" i="33"/>
  <c r="W26" i="33"/>
  <c r="AC27" i="34"/>
  <c r="AB34" i="36"/>
  <c r="U34" i="36"/>
  <c r="AB33" i="36"/>
  <c r="U33" i="36"/>
  <c r="AC12" i="39"/>
  <c r="W12" i="39"/>
  <c r="AC39" i="40"/>
  <c r="W39" i="40"/>
  <c r="W12" i="33"/>
  <c r="AC12" i="33"/>
  <c r="AA32" i="36"/>
  <c r="S32" i="36"/>
  <c r="AZ408" i="3"/>
  <c r="AZ437" i="3"/>
  <c r="AZ441" i="3"/>
  <c r="F28" i="6"/>
  <c r="BL14" i="3"/>
  <c r="AZ266" i="3"/>
  <c r="U30" i="33"/>
  <c r="AC13" i="34"/>
  <c r="AA47" i="34"/>
  <c r="W28" i="37"/>
  <c r="S19" i="39"/>
  <c r="F12" i="33"/>
  <c r="H12" i="39"/>
  <c r="AB12" i="39"/>
  <c r="F39" i="40"/>
  <c r="BA14" i="3"/>
  <c r="AZ14" i="3" s="1"/>
  <c r="AZ367" i="3"/>
  <c r="AZ213" i="3"/>
  <c r="AZ224" i="3"/>
  <c r="AZ238" i="3"/>
  <c r="AZ254" i="3"/>
  <c r="AZ281" i="3"/>
  <c r="AZ149" i="3"/>
  <c r="AZ165" i="3"/>
  <c r="AZ181" i="3"/>
  <c r="AZ197" i="3"/>
  <c r="AZ35"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A33" i="34"/>
  <c r="U44" i="34"/>
  <c r="AC39" i="34"/>
  <c r="AC42" i="34"/>
  <c r="U39" i="34"/>
  <c r="AB41" i="34"/>
  <c r="AA45" i="34"/>
  <c r="AA25" i="34"/>
  <c r="U28" i="34"/>
  <c r="S17" i="34"/>
  <c r="AA29" i="34"/>
  <c r="U27" i="34"/>
  <c r="S23" i="34"/>
  <c r="U15" i="34"/>
  <c r="S13" i="34"/>
  <c r="H10" i="34"/>
  <c r="AB10" i="34" s="1"/>
  <c r="F11" i="34"/>
  <c r="S11" i="34" s="1"/>
  <c r="F70" i="34"/>
  <c r="AA35" i="33"/>
  <c r="S27" i="33"/>
  <c r="S32" i="33"/>
  <c r="AA29" i="33"/>
  <c r="AB29" i="33"/>
  <c r="W38" i="33"/>
  <c r="H41" i="33"/>
  <c r="AB41" i="33" s="1"/>
  <c r="F36" i="33"/>
  <c r="AA36" i="33" s="1"/>
  <c r="G108" i="33"/>
  <c r="H108" i="33" s="1"/>
  <c r="I108" i="33" s="1"/>
  <c r="J108" i="33" s="1"/>
  <c r="K108" i="33" s="1"/>
  <c r="L108" i="33" s="1"/>
  <c r="M108" i="33" s="1"/>
  <c r="J35" i="33"/>
  <c r="W35" i="33" s="1"/>
  <c r="S37" i="33"/>
  <c r="F101" i="33"/>
  <c r="G101" i="33" s="1"/>
  <c r="H101" i="33" s="1"/>
  <c r="I101" i="33" s="1"/>
  <c r="J101" i="33" s="1"/>
  <c r="K101" i="33" s="1"/>
  <c r="L101" i="33" s="1"/>
  <c r="M101" i="33" s="1"/>
  <c r="J32" i="33"/>
  <c r="W32" i="33" s="1"/>
  <c r="S46" i="33"/>
  <c r="H27" i="33"/>
  <c r="U27" i="33" s="1"/>
  <c r="F87" i="33"/>
  <c r="H25" i="33"/>
  <c r="AB25" i="33" s="1"/>
  <c r="F25" i="33"/>
  <c r="AA25" i="33" s="1"/>
  <c r="J23" i="33"/>
  <c r="W23" i="33" s="1"/>
  <c r="H23" i="33"/>
  <c r="AB23" i="33" s="1"/>
  <c r="F81" i="33"/>
  <c r="G81" i="33" s="1"/>
  <c r="F19" i="33"/>
  <c r="S19" i="33" s="1"/>
  <c r="J17" i="33"/>
  <c r="AC17" i="33" s="1"/>
  <c r="F79" i="33"/>
  <c r="S15" i="33"/>
  <c r="U9" i="33"/>
  <c r="J10" i="33"/>
  <c r="W10" i="33" s="1"/>
  <c r="H10" i="33"/>
  <c r="U10" i="33" s="1"/>
  <c r="AC11" i="33"/>
  <c r="AB14" i="33"/>
  <c r="W43" i="21"/>
  <c r="W41" i="21"/>
  <c r="J15" i="21"/>
  <c r="W15" i="21" s="1"/>
  <c r="F77" i="21"/>
  <c r="G77" i="21"/>
  <c r="F23" i="21"/>
  <c r="S23" i="21" s="1"/>
  <c r="E85" i="21"/>
  <c r="F85" i="21" s="1"/>
  <c r="G85" i="21" s="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M67" i="43" s="1"/>
  <c r="N67"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U25" i="34"/>
  <c r="AC14" i="34"/>
  <c r="AC32" i="34"/>
  <c r="AC29" i="34"/>
  <c r="W29" i="34"/>
  <c r="W46" i="34"/>
  <c r="AC46" i="34"/>
  <c r="S32" i="34"/>
  <c r="AA32" i="34"/>
  <c r="U30" i="34"/>
  <c r="AB30" i="34"/>
  <c r="U38" i="34"/>
  <c r="AA19" i="34"/>
  <c r="S19" i="34"/>
  <c r="AA36" i="34"/>
  <c r="AA8" i="34"/>
  <c r="S8" i="34"/>
  <c r="S46" i="34"/>
  <c r="AA46" i="34"/>
  <c r="U32" i="34"/>
  <c r="AB32" i="34"/>
  <c r="U14" i="34"/>
  <c r="AB14" i="34"/>
  <c r="AC43" i="34"/>
  <c r="W43" i="34"/>
  <c r="AC23" i="34"/>
  <c r="AC35" i="34"/>
  <c r="W35" i="34"/>
  <c r="U12" i="34"/>
  <c r="AB12" i="34"/>
  <c r="W46" i="33"/>
  <c r="U39" i="33"/>
  <c r="U38" i="33"/>
  <c r="S33" i="33"/>
  <c r="U44" i="33"/>
  <c r="AB44" i="33"/>
  <c r="S30" i="33"/>
  <c r="AA30" i="33"/>
  <c r="AC14" i="33"/>
  <c r="W14" i="33"/>
  <c r="AC30" i="33"/>
  <c r="W30" i="33"/>
  <c r="S31" i="33"/>
  <c r="AA31" i="33"/>
  <c r="W13" i="33"/>
  <c r="AC13" i="33"/>
  <c r="U15" i="33"/>
  <c r="W9" i="33"/>
  <c r="W8" i="33"/>
  <c r="S44" i="21"/>
  <c r="U28" i="21"/>
  <c r="S45" i="21"/>
  <c r="I101" i="21"/>
  <c r="J101" i="21" s="1"/>
  <c r="K101" i="21" s="1"/>
  <c r="L101" i="21" s="1"/>
  <c r="M101" i="21" s="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s="1"/>
  <c r="F29" i="21"/>
  <c r="S29" i="21" s="1"/>
  <c r="F13" i="21"/>
  <c r="AA13" i="21" s="1"/>
  <c r="H32" i="21"/>
  <c r="AB32" i="21" s="1"/>
  <c r="H9" i="21"/>
  <c r="J9" i="21"/>
  <c r="W9" i="21" s="1"/>
  <c r="J32" i="21"/>
  <c r="W32" i="21" s="1"/>
  <c r="F32" i="21"/>
  <c r="AA32" i="21" s="1"/>
  <c r="AA31" i="21"/>
  <c r="U17" i="21"/>
  <c r="W2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W32" i="39" s="1"/>
  <c r="H32" i="39"/>
  <c r="AB32" i="39" s="1"/>
  <c r="AA32" i="39"/>
  <c r="S32" i="39"/>
  <c r="AB21" i="39"/>
  <c r="U21" i="39"/>
  <c r="AA21" i="39"/>
  <c r="S21" i="39"/>
  <c r="AC17" i="37"/>
  <c r="S17" i="37"/>
  <c r="J19" i="37"/>
  <c r="AC19" i="37" s="1"/>
  <c r="G75" i="37"/>
  <c r="S19" i="37"/>
  <c r="AA23" i="37"/>
  <c r="J23" i="37"/>
  <c r="G79" i="37"/>
  <c r="J10" i="37"/>
  <c r="W10" i="37" s="1"/>
  <c r="G63" i="37"/>
  <c r="H11" i="37"/>
  <c r="AB11" i="37" s="1"/>
  <c r="G70" i="34"/>
  <c r="H11" i="34"/>
  <c r="U11" i="34" s="1"/>
  <c r="J10" i="34"/>
  <c r="AC10" i="34" s="1"/>
  <c r="J36" i="33"/>
  <c r="W36" i="33" s="1"/>
  <c r="H36" i="33"/>
  <c r="U36" i="33" s="1"/>
  <c r="J27" i="33"/>
  <c r="AC27" i="33" s="1"/>
  <c r="U25" i="33"/>
  <c r="S25" i="33"/>
  <c r="G87" i="33"/>
  <c r="H87" i="33" s="1"/>
  <c r="I87" i="33" s="1"/>
  <c r="J87" i="33" s="1"/>
  <c r="K87" i="33" s="1"/>
  <c r="L87" i="33" s="1"/>
  <c r="M87" i="33" s="1"/>
  <c r="J25" i="33"/>
  <c r="W25" i="33" s="1"/>
  <c r="F23" i="33"/>
  <c r="AC23" i="33"/>
  <c r="H19" i="33"/>
  <c r="U19" i="33" s="1"/>
  <c r="G79" i="33"/>
  <c r="H17" i="33"/>
  <c r="U17" i="33" s="1"/>
  <c r="F17" i="33"/>
  <c r="W17" i="33"/>
  <c r="AA23" i="21"/>
  <c r="J23" i="21"/>
  <c r="W23" i="21" s="1"/>
  <c r="H23" i="21"/>
  <c r="U23" i="21" s="1"/>
  <c r="S13" i="21"/>
  <c r="D6" i="52"/>
  <c r="AP7" i="1"/>
  <c r="AB45" i="21"/>
  <c r="AB9" i="21"/>
  <c r="U9" i="21"/>
  <c r="AC9" i="21"/>
  <c r="U32" i="39"/>
  <c r="AC32" i="39"/>
  <c r="W19" i="37"/>
  <c r="W23" i="37"/>
  <c r="AC23" i="37"/>
  <c r="H63" i="37"/>
  <c r="I63" i="37" s="1"/>
  <c r="J63" i="37" s="1"/>
  <c r="K63" i="37" s="1"/>
  <c r="L63" i="37" s="1"/>
  <c r="M63" i="37" s="1"/>
  <c r="J11" i="37"/>
  <c r="AC11" i="37" s="1"/>
  <c r="H70" i="34"/>
  <c r="I70" i="34" s="1"/>
  <c r="J70" i="34" s="1"/>
  <c r="K70" i="34" s="1"/>
  <c r="L70" i="34" s="1"/>
  <c r="M70" i="34" s="1"/>
  <c r="J11" i="34"/>
  <c r="W11" i="34" s="1"/>
  <c r="AA23" i="33"/>
  <c r="S23" i="33"/>
  <c r="AA17" i="33"/>
  <c r="S17" i="33"/>
  <c r="H109" i="9"/>
  <c r="H112" i="9"/>
  <c r="D21" i="53" s="1"/>
  <c r="B39" i="72" s="1"/>
  <c r="H111" i="9"/>
  <c r="D126" i="9" s="1"/>
  <c r="AD3" i="71"/>
  <c r="J1" i="73"/>
  <c r="H69" i="43"/>
  <c r="G69" i="43" s="1"/>
  <c r="M69" i="43" s="1"/>
  <c r="N69" i="43" s="1"/>
  <c r="C22" i="71"/>
  <c r="D22" i="71" s="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T20" i="71"/>
  <c r="D19" i="71"/>
  <c r="D20" i="71"/>
  <c r="U20" i="71" s="1"/>
  <c r="E7" i="76"/>
  <c r="F8" i="67"/>
  <c r="D3" i="73"/>
  <c r="F4" i="73"/>
  <c r="D5" i="73"/>
  <c r="F37" i="67"/>
  <c r="F9" i="67"/>
  <c r="E11" i="76"/>
  <c r="M29" i="15"/>
  <c r="F6" i="73"/>
  <c r="M9" i="15"/>
  <c r="B7" i="76"/>
  <c r="F37" i="15"/>
  <c r="M8" i="15"/>
  <c r="B8" i="76"/>
  <c r="F43" i="67"/>
  <c r="F7" i="73"/>
  <c r="F6" i="15"/>
  <c r="F5" i="73"/>
  <c r="B11" i="76"/>
  <c r="B10" i="76"/>
  <c r="L48" i="15"/>
  <c r="M9" i="67"/>
  <c r="E2" i="68"/>
  <c r="L47" i="67"/>
  <c r="F13" i="67"/>
  <c r="B9" i="76"/>
  <c r="F40" i="15"/>
  <c r="M26" i="67"/>
  <c r="C76" i="15"/>
  <c r="F16" i="15"/>
  <c r="M22" i="15"/>
  <c r="F6" i="67"/>
  <c r="M26" i="15"/>
  <c r="M23" i="15"/>
  <c r="C76" i="67"/>
  <c r="E10" i="76"/>
  <c r="D7" i="73"/>
  <c r="M28" i="67"/>
  <c r="F26" i="67"/>
  <c r="M29" i="67"/>
  <c r="D6" i="73"/>
  <c r="E9" i="76"/>
  <c r="AO13" i="1"/>
  <c r="M28" i="15"/>
  <c r="J15" i="15"/>
  <c r="F13" i="15"/>
  <c r="M6" i="67"/>
  <c r="F3" i="73"/>
  <c r="M8" i="67"/>
  <c r="F8" i="15"/>
  <c r="F38" i="67"/>
  <c r="F36" i="15"/>
  <c r="F43" i="15"/>
  <c r="M23" i="67"/>
  <c r="F38" i="15"/>
  <c r="L47" i="15"/>
  <c r="E13" i="76"/>
  <c r="F26" i="15"/>
  <c r="J15" i="67"/>
  <c r="F7" i="15"/>
  <c r="F20" i="31"/>
  <c r="D4" i="73"/>
  <c r="L48" i="67"/>
  <c r="E2" i="69"/>
  <c r="B13" i="76"/>
  <c r="M22" i="67"/>
  <c r="F42" i="67"/>
  <c r="M24" i="67"/>
  <c r="E8" i="76"/>
  <c r="B12" i="76"/>
  <c r="F40" i="67"/>
  <c r="F7" i="67"/>
  <c r="M6" i="15"/>
  <c r="E12" i="76"/>
  <c r="F42" i="15"/>
  <c r="M24" i="15"/>
  <c r="F16" i="67"/>
  <c r="F9" i="15"/>
  <c r="F36" i="67"/>
  <c r="AZ393" i="3" l="1"/>
  <c r="AZ495" i="3"/>
  <c r="AZ513" i="3"/>
  <c r="AZ517" i="3"/>
  <c r="AZ567" i="3"/>
  <c r="AZ571" i="3"/>
  <c r="AZ575" i="3"/>
  <c r="AZ579" i="3"/>
  <c r="W11" i="40"/>
  <c r="AC11" i="40"/>
  <c r="AB15" i="21"/>
  <c r="AA29" i="21"/>
  <c r="AZ361" i="3"/>
  <c r="AZ318" i="3"/>
  <c r="AZ390" i="3"/>
  <c r="AZ372" i="3"/>
  <c r="AZ355" i="3"/>
  <c r="AZ337" i="3"/>
  <c r="AZ305" i="3"/>
  <c r="AC12" i="37"/>
  <c r="AZ503" i="3"/>
  <c r="AZ523" i="3"/>
  <c r="AZ531" i="3"/>
  <c r="AZ539" i="3"/>
  <c r="AZ547" i="3"/>
  <c r="AZ553" i="3"/>
  <c r="AZ583" i="3"/>
  <c r="AZ581" i="3"/>
  <c r="AZ526" i="3"/>
  <c r="AZ566" i="3"/>
  <c r="AZ574" i="3"/>
  <c r="AZ582" i="3"/>
  <c r="AZ584" i="3"/>
  <c r="W11" i="35"/>
  <c r="AC11" i="35"/>
  <c r="AB33" i="35"/>
  <c r="U33" i="35"/>
  <c r="AB40" i="40"/>
  <c r="U40" i="40"/>
  <c r="BL586" i="3"/>
  <c r="AZ586" i="3" s="1"/>
  <c r="BA551" i="3"/>
  <c r="AZ551" i="3" s="1"/>
  <c r="BL550" i="3"/>
  <c r="BA550" i="3"/>
  <c r="G14" i="3"/>
  <c r="BA398" i="3"/>
  <c r="AZ398" i="3" s="1"/>
  <c r="BA399" i="3"/>
  <c r="AZ399" i="3" s="1"/>
  <c r="BL401" i="3"/>
  <c r="AZ401" i="3" s="1"/>
  <c r="G403" i="3"/>
  <c r="G405" i="3"/>
  <c r="BL405" i="3"/>
  <c r="G407" i="3"/>
  <c r="BL407" i="3"/>
  <c r="AZ407" i="3" s="1"/>
  <c r="G410" i="3"/>
  <c r="BL410" i="3"/>
  <c r="BA411" i="3"/>
  <c r="AZ411" i="3" s="1"/>
  <c r="BA412" i="3"/>
  <c r="AZ412" i="3" s="1"/>
  <c r="G415" i="3"/>
  <c r="BL415" i="3"/>
  <c r="AZ415" i="3" s="1"/>
  <c r="BA416" i="3"/>
  <c r="AZ416" i="3" s="1"/>
  <c r="BA417" i="3"/>
  <c r="AZ417" i="3" s="1"/>
  <c r="BA418" i="3"/>
  <c r="BL418" i="3"/>
  <c r="G420" i="3"/>
  <c r="BL420" i="3"/>
  <c r="BA421" i="3"/>
  <c r="AZ421" i="3" s="1"/>
  <c r="BA422" i="3"/>
  <c r="AZ422" i="3" s="1"/>
  <c r="BL422" i="3"/>
  <c r="BA423" i="3"/>
  <c r="AZ423" i="3" s="1"/>
  <c r="G426" i="3"/>
  <c r="BL426" i="3"/>
  <c r="AZ426" i="3" s="1"/>
  <c r="BA427" i="3"/>
  <c r="AZ427" i="3" s="1"/>
  <c r="BA428" i="3"/>
  <c r="AZ428" i="3" s="1"/>
  <c r="G431" i="3"/>
  <c r="BL431" i="3"/>
  <c r="BA432" i="3"/>
  <c r="AZ432" i="3" s="1"/>
  <c r="BA433" i="3"/>
  <c r="AZ433" i="3" s="1"/>
  <c r="BA434" i="3"/>
  <c r="BL434" i="3"/>
  <c r="G436" i="3"/>
  <c r="BL436" i="3"/>
  <c r="AZ436" i="3" s="1"/>
  <c r="G441" i="3"/>
  <c r="G442" i="3"/>
  <c r="U40" i="33"/>
  <c r="C21" i="39"/>
  <c r="S34" i="39"/>
  <c r="S40" i="40"/>
  <c r="S34" i="40"/>
  <c r="AC9" i="40"/>
  <c r="AC40" i="40"/>
  <c r="U33" i="33"/>
  <c r="U34" i="34"/>
  <c r="W28" i="35"/>
  <c r="U30" i="37"/>
  <c r="W40" i="39"/>
  <c r="J36" i="39"/>
  <c r="BL585" i="3"/>
  <c r="AZ585" i="3" s="1"/>
  <c r="F9" i="33"/>
  <c r="AA9" i="33" s="1"/>
  <c r="H9" i="34"/>
  <c r="H43" i="34"/>
  <c r="J9" i="36"/>
  <c r="F26" i="37"/>
  <c r="F44" i="39"/>
  <c r="G574" i="3"/>
  <c r="G558" i="3"/>
  <c r="G542" i="3"/>
  <c r="BL15" i="3"/>
  <c r="AZ15" i="3" s="1"/>
  <c r="G6" i="1"/>
  <c r="I24" i="43"/>
  <c r="C24" i="43" s="1"/>
  <c r="AZ438" i="3"/>
  <c r="AZ246" i="3"/>
  <c r="AZ292" i="3"/>
  <c r="AZ113" i="3"/>
  <c r="AZ129"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6" i="3"/>
  <c r="AZ386" i="3" s="1"/>
  <c r="G392" i="3"/>
  <c r="BL393" i="3"/>
  <c r="BL396" i="3"/>
  <c r="AZ396" i="3" s="1"/>
  <c r="G208" i="3"/>
  <c r="BL208" i="3"/>
  <c r="AZ208" i="3" s="1"/>
  <c r="BA210" i="3"/>
  <c r="AZ210" i="3" s="1"/>
  <c r="G213" i="3"/>
  <c r="G214" i="3"/>
  <c r="G215" i="3"/>
  <c r="G216" i="3"/>
  <c r="BL216" i="3"/>
  <c r="AZ216" i="3" s="1"/>
  <c r="BA217" i="3"/>
  <c r="AZ217" i="3" s="1"/>
  <c r="BA218" i="3"/>
  <c r="AZ218" i="3" s="1"/>
  <c r="G221" i="3"/>
  <c r="BL221" i="3"/>
  <c r="AZ221" i="3" s="1"/>
  <c r="BL223" i="3"/>
  <c r="AZ223" i="3" s="1"/>
  <c r="G226" i="3"/>
  <c r="BL226" i="3"/>
  <c r="AZ226" i="3" s="1"/>
  <c r="G229" i="3"/>
  <c r="G230" i="3"/>
  <c r="BL230" i="3"/>
  <c r="AZ230" i="3" s="1"/>
  <c r="BA231" i="3"/>
  <c r="AZ231" i="3" s="1"/>
  <c r="BA232" i="3"/>
  <c r="AZ232" i="3" s="1"/>
  <c r="BA233" i="3"/>
  <c r="AZ233" i="3" s="1"/>
  <c r="BA234" i="3"/>
  <c r="AZ234" i="3" s="1"/>
  <c r="BA235" i="3"/>
  <c r="AZ235" i="3" s="1"/>
  <c r="BL237" i="3"/>
  <c r="AZ237" i="3" s="1"/>
  <c r="G240" i="3"/>
  <c r="G241" i="3"/>
  <c r="G242" i="3"/>
  <c r="BL242" i="3"/>
  <c r="AZ242" i="3" s="1"/>
  <c r="G245" i="3"/>
  <c r="G246" i="3"/>
  <c r="BL246" i="3"/>
  <c r="BA247" i="3"/>
  <c r="AZ247" i="3" s="1"/>
  <c r="BA248" i="3"/>
  <c r="AZ248" i="3" s="1"/>
  <c r="BA249" i="3"/>
  <c r="AZ249" i="3" s="1"/>
  <c r="BA250" i="3"/>
  <c r="AZ250" i="3" s="1"/>
  <c r="BA251" i="3"/>
  <c r="AZ251" i="3" s="1"/>
  <c r="BL253" i="3"/>
  <c r="AZ253" i="3" s="1"/>
  <c r="G256" i="3"/>
  <c r="G257" i="3"/>
  <c r="G258" i="3"/>
  <c r="BL258" i="3"/>
  <c r="AZ258" i="3" s="1"/>
  <c r="G261" i="3"/>
  <c r="G262" i="3"/>
  <c r="BL262" i="3"/>
  <c r="AZ262" i="3" s="1"/>
  <c r="G265" i="3"/>
  <c r="G266" i="3"/>
  <c r="G267" i="3"/>
  <c r="BL267" i="3"/>
  <c r="AZ267" i="3" s="1"/>
  <c r="BL269" i="3"/>
  <c r="AZ269" i="3" s="1"/>
  <c r="BA270" i="3"/>
  <c r="AZ270" i="3" s="1"/>
  <c r="BA271" i="3"/>
  <c r="AZ271" i="3" s="1"/>
  <c r="BL273" i="3"/>
  <c r="AZ273" i="3" s="1"/>
  <c r="BA274" i="3"/>
  <c r="AZ274" i="3" s="1"/>
  <c r="BA275" i="3"/>
  <c r="AZ275" i="3" s="1"/>
  <c r="G278" i="3"/>
  <c r="BL278" i="3"/>
  <c r="AZ278" i="3" s="1"/>
  <c r="BL280" i="3"/>
  <c r="AZ280" i="3" s="1"/>
  <c r="G283" i="3"/>
  <c r="G284" i="3"/>
  <c r="BL284" i="3"/>
  <c r="AZ284" i="3" s="1"/>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AZ302" i="3" s="1"/>
  <c r="BL113" i="3"/>
  <c r="G116" i="3"/>
  <c r="BA117" i="3"/>
  <c r="AZ117" i="3" s="1"/>
  <c r="G120" i="3"/>
  <c r="G123" i="3"/>
  <c r="G126" i="3"/>
  <c r="BL126" i="3"/>
  <c r="AZ126" i="3" s="1"/>
  <c r="BA128" i="3"/>
  <c r="AZ128" i="3" s="1"/>
  <c r="BL129" i="3"/>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AZ54" i="3"/>
  <c r="AB21" i="21"/>
  <c r="C25" i="40"/>
  <c r="B27" i="71"/>
  <c r="B26" i="71" s="1"/>
  <c r="S28" i="71"/>
  <c r="D30" i="71"/>
  <c r="C31" i="7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G35" i="3"/>
  <c r="G36" i="3"/>
  <c r="BL36" i="3"/>
  <c r="AZ36"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AZ92" i="3" s="1"/>
  <c r="BL94" i="3"/>
  <c r="AZ94" i="3" s="1"/>
  <c r="BA95" i="3"/>
  <c r="AZ95" i="3" s="1"/>
  <c r="BL97" i="3"/>
  <c r="AZ97" i="3" s="1"/>
  <c r="BA98" i="3"/>
  <c r="AZ98" i="3" s="1"/>
  <c r="G101" i="3"/>
  <c r="G102" i="3"/>
  <c r="G103" i="3"/>
  <c r="BL103" i="3"/>
  <c r="AZ103" i="3" s="1"/>
  <c r="BA104" i="3"/>
  <c r="AZ104" i="3" s="1"/>
  <c r="BA105" i="3"/>
  <c r="AZ105" i="3" s="1"/>
  <c r="BL107" i="3"/>
  <c r="AZ107" i="3" s="1"/>
  <c r="BA108" i="3"/>
  <c r="AZ108" i="3" s="1"/>
  <c r="BA109" i="3"/>
  <c r="AZ109" i="3" s="1"/>
  <c r="BA110" i="3"/>
  <c r="AZ110" i="3" s="1"/>
  <c r="BA111" i="3"/>
  <c r="AZ111" i="3" s="1"/>
  <c r="C35" i="71"/>
  <c r="D34" i="71"/>
  <c r="C55" i="71"/>
  <c r="D54" i="71"/>
  <c r="E23" i="71"/>
  <c r="E22" i="71" s="1"/>
  <c r="E21" i="71" s="1"/>
  <c r="E20" i="71" s="1"/>
  <c r="E19" i="71" s="1"/>
  <c r="E18" i="71" s="1"/>
  <c r="E17" i="71" s="1"/>
  <c r="E16" i="71" s="1"/>
  <c r="V24" i="71"/>
  <c r="O65" i="71"/>
  <c r="AB27" i="71"/>
  <c r="X28" i="71"/>
  <c r="X26" i="71"/>
  <c r="Y27" i="71"/>
  <c r="Z27" i="71" s="1"/>
  <c r="Y26" i="71"/>
  <c r="Z26" i="71" s="1"/>
  <c r="Y25" i="71"/>
  <c r="Z25" i="71" s="1"/>
  <c r="Y33" i="71"/>
  <c r="Z33" i="71" s="1"/>
  <c r="X32" i="71"/>
  <c r="X31" i="71"/>
  <c r="X30" i="71"/>
  <c r="B43" i="71"/>
  <c r="B44" i="71" s="1"/>
  <c r="S44" i="71" s="1"/>
  <c r="B47" i="71"/>
  <c r="B48" i="71" s="1"/>
  <c r="S48" i="71" s="1"/>
  <c r="B51" i="71"/>
  <c r="B52" i="71" s="1"/>
  <c r="S52" i="71" s="1"/>
  <c r="F118" i="34"/>
  <c r="G118" i="34" s="1"/>
  <c r="J40" i="34"/>
  <c r="F40" i="34"/>
  <c r="S40" i="34" s="1"/>
  <c r="H40" i="34"/>
  <c r="U40" i="34" s="1"/>
  <c r="H37" i="34"/>
  <c r="U37" i="34" s="1"/>
  <c r="G112" i="34"/>
  <c r="H112" i="34" s="1"/>
  <c r="I112" i="34" s="1"/>
  <c r="J112" i="34" s="1"/>
  <c r="K112" i="34" s="1"/>
  <c r="L112" i="34" s="1"/>
  <c r="M112" i="34" s="1"/>
  <c r="F37" i="34"/>
  <c r="J37" i="34"/>
  <c r="AC37" i="34" s="1"/>
  <c r="W41" i="34"/>
  <c r="AB40" i="34"/>
  <c r="AA39" i="34"/>
  <c r="S35" i="34"/>
  <c r="AB35" i="34"/>
  <c r="S43" i="34"/>
  <c r="AC36" i="34"/>
  <c r="AB36" i="34"/>
  <c r="W33" i="34"/>
  <c r="AB33" i="34"/>
  <c r="U21" i="34"/>
  <c r="S15" i="34"/>
  <c r="AC21" i="34"/>
  <c r="S21" i="34"/>
  <c r="U19" i="34"/>
  <c r="AC17" i="34"/>
  <c r="AB8" i="34"/>
  <c r="C40" i="68"/>
  <c r="C21" i="68"/>
  <c r="C40" i="69"/>
  <c r="M54" i="43"/>
  <c r="N54" i="43" s="1"/>
  <c r="K64" i="43"/>
  <c r="J64" i="43" s="1"/>
  <c r="K67" i="43"/>
  <c r="J67" i="43" s="1"/>
  <c r="K69" i="43"/>
  <c r="J69" i="43" s="1"/>
  <c r="K75" i="43"/>
  <c r="J75" i="43" s="1"/>
  <c r="M85" i="43"/>
  <c r="N85" i="43" s="1"/>
  <c r="H50" i="43"/>
  <c r="G50" i="43" s="1"/>
  <c r="K56" i="9"/>
  <c r="J51" i="15"/>
  <c r="W43" i="33"/>
  <c r="J41" i="33"/>
  <c r="AC41" i="33" s="1"/>
  <c r="U23" i="33"/>
  <c r="AB21" i="33"/>
  <c r="AC21" i="33"/>
  <c r="AA19" i="33"/>
  <c r="W19" i="33"/>
  <c r="AB19" i="33"/>
  <c r="AB17" i="33"/>
  <c r="W15" i="33"/>
  <c r="AC35" i="33"/>
  <c r="AC37" i="33"/>
  <c r="AC34" i="33"/>
  <c r="AB36" i="33"/>
  <c r="U35" i="33"/>
  <c r="S43" i="33"/>
  <c r="S39" i="33"/>
  <c r="AC32" i="33"/>
  <c r="S36" i="33"/>
  <c r="U42" i="33"/>
  <c r="S42" i="33"/>
  <c r="W42" i="33"/>
  <c r="U41" i="33"/>
  <c r="S41" i="33"/>
  <c r="S38" i="33"/>
  <c r="U37" i="33"/>
  <c r="AA34" i="33"/>
  <c r="U34" i="33"/>
  <c r="S28" i="33"/>
  <c r="AB28" i="33"/>
  <c r="W28" i="33"/>
  <c r="W27" i="33"/>
  <c r="AB27" i="33"/>
  <c r="AC25" i="33"/>
  <c r="S11" i="33"/>
  <c r="AC38" i="21"/>
  <c r="AC34" i="21"/>
  <c r="U26" i="21"/>
  <c r="AC23" i="21"/>
  <c r="S19" i="21"/>
  <c r="AC19" i="21"/>
  <c r="U32" i="21"/>
  <c r="U40" i="21"/>
  <c r="S35" i="21"/>
  <c r="AA43" i="21"/>
  <c r="S42" i="21"/>
  <c r="S34" i="21"/>
  <c r="S40" i="21"/>
  <c r="S37" i="21"/>
  <c r="AB42" i="21"/>
  <c r="AC40" i="21"/>
  <c r="AB23" i="21"/>
  <c r="W17" i="21"/>
  <c r="AC15" i="21"/>
  <c r="W39" i="21"/>
  <c r="S39" i="21"/>
  <c r="AB39" i="21"/>
  <c r="AA38" i="21"/>
  <c r="AB38" i="21"/>
  <c r="U35" i="21"/>
  <c r="AA36" i="21"/>
  <c r="W36" i="21"/>
  <c r="S32" i="21"/>
  <c r="AA26" i="21"/>
  <c r="F54" i="9"/>
  <c r="F28" i="15"/>
  <c r="F32" i="15"/>
  <c r="F60" i="15" s="1"/>
  <c r="F32" i="67"/>
  <c r="F60" i="67" s="1"/>
  <c r="F52" i="9"/>
  <c r="F28" i="67"/>
  <c r="F30" i="68"/>
  <c r="F48" i="68" s="1"/>
  <c r="D93" i="9"/>
  <c r="F29" i="6"/>
  <c r="F30" i="6" s="1"/>
  <c r="A15" i="62"/>
  <c r="B61" i="72" s="1"/>
  <c r="D19" i="53"/>
  <c r="B38" i="72" s="1"/>
  <c r="D16" i="53"/>
  <c r="B34" i="72" s="1"/>
  <c r="C28" i="67"/>
  <c r="V20" i="71"/>
  <c r="D17" i="71"/>
  <c r="C16" i="71"/>
  <c r="D16" i="71" s="1"/>
  <c r="G28" i="6"/>
  <c r="AZ362" i="3"/>
  <c r="S41" i="34"/>
  <c r="AA41" i="34"/>
  <c r="S12" i="21"/>
  <c r="AA12" i="21"/>
  <c r="AC9" i="34"/>
  <c r="W9" i="34"/>
  <c r="AC34" i="35"/>
  <c r="W34" i="35"/>
  <c r="AB9" i="36"/>
  <c r="U9" i="36"/>
  <c r="AB14" i="37"/>
  <c r="U14" i="37"/>
  <c r="AZ321" i="3"/>
  <c r="AZ557" i="3"/>
  <c r="W12" i="34"/>
  <c r="AC12" i="34"/>
  <c r="U12" i="35"/>
  <c r="AB12" i="35"/>
  <c r="AA25" i="21"/>
  <c r="W44" i="33"/>
  <c r="W47" i="34"/>
  <c r="W14" i="37"/>
  <c r="U14" i="40"/>
  <c r="U43" i="33"/>
  <c r="S44" i="34"/>
  <c r="W29" i="33"/>
  <c r="S45" i="33"/>
  <c r="AC30" i="34"/>
  <c r="U46" i="33"/>
  <c r="AA13" i="35"/>
  <c r="AA29" i="35"/>
  <c r="AB23" i="34"/>
  <c r="J12" i="21"/>
  <c r="B73" i="43"/>
  <c r="B79" i="43"/>
  <c r="B76" i="43"/>
  <c r="B75" i="43"/>
  <c r="F9" i="34"/>
  <c r="AA9" i="34" s="1"/>
  <c r="F12" i="34"/>
  <c r="F34" i="35"/>
  <c r="H34" i="35"/>
  <c r="J36" i="35"/>
  <c r="F23" i="36"/>
  <c r="H23" i="36"/>
  <c r="G551" i="3"/>
  <c r="G5" i="3" s="1"/>
  <c r="B3" i="3" s="1"/>
  <c r="BL548" i="3"/>
  <c r="AZ548" i="3" s="1"/>
  <c r="AZ405" i="3"/>
  <c r="AZ410" i="3"/>
  <c r="AZ420" i="3"/>
  <c r="AZ431" i="3"/>
  <c r="AZ448" i="3"/>
  <c r="AZ452" i="3"/>
  <c r="AZ461" i="3"/>
  <c r="AZ463" i="3"/>
  <c r="AZ468" i="3"/>
  <c r="AZ470" i="3"/>
  <c r="AZ479" i="3"/>
  <c r="AZ485" i="3"/>
  <c r="AZ219" i="3"/>
  <c r="AZ236" i="3"/>
  <c r="AZ252" i="3"/>
  <c r="AZ272" i="3"/>
  <c r="AZ276" i="3"/>
  <c r="AZ289" i="3"/>
  <c r="AZ294" i="3"/>
  <c r="AZ300" i="3"/>
  <c r="AZ118" i="3"/>
  <c r="AZ121" i="3"/>
  <c r="AZ134" i="3"/>
  <c r="AZ137" i="3"/>
  <c r="AZ145" i="3"/>
  <c r="AZ161" i="3"/>
  <c r="AZ177" i="3"/>
  <c r="AZ193" i="3"/>
  <c r="AZ40" i="3"/>
  <c r="AZ46" i="3"/>
  <c r="AZ49" i="3"/>
  <c r="AZ62" i="3"/>
  <c r="AZ65" i="3"/>
  <c r="AZ76" i="3"/>
  <c r="AZ81" i="3"/>
  <c r="AZ90" i="3"/>
  <c r="AZ96" i="3"/>
  <c r="AZ99" i="3"/>
  <c r="AZ106" i="3"/>
  <c r="AZ112" i="3"/>
  <c r="S21" i="37"/>
  <c r="D42" i="71"/>
  <c r="C43" i="71"/>
  <c r="C47" i="71"/>
  <c r="D47" i="71" s="1"/>
  <c r="D46" i="71"/>
  <c r="X9" i="71"/>
  <c r="X10" i="71"/>
  <c r="AB9" i="71"/>
  <c r="AB10" i="71"/>
  <c r="X22" i="71"/>
  <c r="AA24" i="71"/>
  <c r="AA22" i="71"/>
  <c r="X21" i="71"/>
  <c r="Y18" i="71"/>
  <c r="Z18" i="71" s="1"/>
  <c r="X17" i="71"/>
  <c r="Y17" i="71"/>
  <c r="Z17" i="71" s="1"/>
  <c r="AB18" i="71"/>
  <c r="Y14" i="71"/>
  <c r="Z14" i="71" s="1"/>
  <c r="AA17" i="71"/>
  <c r="U18" i="36"/>
  <c r="Y9" i="71"/>
  <c r="Z9" i="71" s="1"/>
  <c r="Y10" i="71"/>
  <c r="Z10" i="71" s="1"/>
  <c r="AA9" i="71"/>
  <c r="AA10" i="71"/>
  <c r="AB24" i="71"/>
  <c r="Y21" i="71"/>
  <c r="Z21" i="71" s="1"/>
  <c r="AB23" i="71"/>
  <c r="AB21" i="71"/>
  <c r="AA21" i="71"/>
  <c r="X18" i="71"/>
  <c r="AA18" i="71"/>
  <c r="X14" i="71"/>
  <c r="AA13" i="71"/>
  <c r="AB17" i="71"/>
  <c r="F67" i="71"/>
  <c r="X24" i="71"/>
  <c r="Y24" i="71"/>
  <c r="Z24" i="71" s="1"/>
  <c r="AB15" i="71"/>
  <c r="AB12" i="71"/>
  <c r="AB14" i="71"/>
  <c r="AA11" i="71"/>
  <c r="X11" i="71"/>
  <c r="Y13" i="71"/>
  <c r="Z13" i="71" s="1"/>
  <c r="Y12" i="71"/>
  <c r="Z12" i="71" s="1"/>
  <c r="Y23" i="71"/>
  <c r="Z23" i="71" s="1"/>
  <c r="Y22" i="71"/>
  <c r="Z22" i="71" s="1"/>
  <c r="AA23" i="71"/>
  <c r="X15" i="71"/>
  <c r="AA15" i="71"/>
  <c r="AB11" i="71"/>
  <c r="AB13" i="71"/>
  <c r="AA12" i="71"/>
  <c r="AA14" i="71"/>
  <c r="X13" i="71"/>
  <c r="X12" i="71"/>
  <c r="Y11" i="71"/>
  <c r="Z11" i="71" s="1"/>
  <c r="H83" i="43"/>
  <c r="G83" i="43" s="1"/>
  <c r="S22" i="31"/>
  <c r="R22" i="31"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E14" i="6"/>
  <c r="E63" i="39" s="1"/>
  <c r="I4" i="6"/>
  <c r="E29" i="6"/>
  <c r="K15" i="1" s="1"/>
  <c r="G30" i="6"/>
  <c r="G31" i="6" s="1"/>
  <c r="E28" i="6"/>
  <c r="L19" i="6"/>
  <c r="L27" i="6" s="1"/>
  <c r="M6" i="1"/>
  <c r="O6" i="1"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80" i="43"/>
  <c r="P61" i="15"/>
  <c r="C94" i="9"/>
  <c r="C92" i="9"/>
  <c r="C48" i="69"/>
  <c r="C31" i="12"/>
  <c r="C30" i="68"/>
  <c r="C77" i="9"/>
  <c r="C74" i="9" s="1"/>
  <c r="C30" i="11"/>
  <c r="C21" i="69"/>
  <c r="J85" i="43"/>
  <c r="D67" i="43"/>
  <c r="D65" i="43"/>
  <c r="D69" i="43"/>
  <c r="D75" i="43"/>
  <c r="D22" i="67"/>
  <c r="AQ13" i="1"/>
  <c r="Q16" i="1"/>
  <c r="F27" i="69" s="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G73" i="43" s="1"/>
  <c r="H90" i="43"/>
  <c r="G90" i="43" s="1"/>
  <c r="C23" i="43"/>
  <c r="O23" i="43"/>
  <c r="I18" i="43"/>
  <c r="E17" i="43" s="1"/>
  <c r="C17" i="43" s="1"/>
  <c r="A1" i="79"/>
  <c r="H55" i="43"/>
  <c r="G55" i="43" s="1"/>
  <c r="H86" i="43"/>
  <c r="G86" i="43" s="1"/>
  <c r="H87" i="43"/>
  <c r="G87" i="43" s="1"/>
  <c r="H89" i="43"/>
  <c r="G89" i="43" s="1"/>
  <c r="H88" i="43"/>
  <c r="G88" i="43" s="1"/>
  <c r="H84" i="43"/>
  <c r="G84" i="43" s="1"/>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15"/>
  <c r="C16" i="67"/>
  <c r="U16" i="71" l="1"/>
  <c r="M23" i="43"/>
  <c r="D55" i="71"/>
  <c r="C56" i="71"/>
  <c r="D35" i="71"/>
  <c r="C36" i="71"/>
  <c r="D31" i="71"/>
  <c r="C32" i="71"/>
  <c r="AA44" i="39"/>
  <c r="S44" i="39"/>
  <c r="U9" i="34"/>
  <c r="AB9" i="34"/>
  <c r="BA5" i="3"/>
  <c r="AA40" i="34"/>
  <c r="AC9" i="36"/>
  <c r="W9" i="36"/>
  <c r="K16" i="1"/>
  <c r="D64" i="43"/>
  <c r="BL5" i="3"/>
  <c r="AZ487" i="3"/>
  <c r="AZ481" i="3"/>
  <c r="AZ454" i="3"/>
  <c r="AA26" i="37"/>
  <c r="S26" i="37"/>
  <c r="AB43" i="34"/>
  <c r="U43" i="34"/>
  <c r="AC36" i="39"/>
  <c r="W36" i="39"/>
  <c r="AZ434" i="3"/>
  <c r="AZ418" i="3"/>
  <c r="AZ550" i="3"/>
  <c r="W40" i="34"/>
  <c r="AC40" i="34"/>
  <c r="AB37" i="34"/>
  <c r="AA37" i="34"/>
  <c r="S37" i="34"/>
  <c r="S9" i="34"/>
  <c r="M77" i="43"/>
  <c r="N77" i="43" s="1"/>
  <c r="K77" i="43"/>
  <c r="J77" i="43" s="1"/>
  <c r="D77" i="43" s="1"/>
  <c r="M68" i="43"/>
  <c r="N68" i="43" s="1"/>
  <c r="K68" i="43"/>
  <c r="J68" i="43" s="1"/>
  <c r="D68" i="43" s="1"/>
  <c r="K57" i="43"/>
  <c r="J57" i="43" s="1"/>
  <c r="D57" i="43" s="1"/>
  <c r="M57" i="43"/>
  <c r="N57" i="43" s="1"/>
  <c r="K79" i="43"/>
  <c r="M79" i="43"/>
  <c r="N79" i="43" s="1"/>
  <c r="M61" i="43"/>
  <c r="N61" i="43" s="1"/>
  <c r="K61" i="43"/>
  <c r="M72" i="43"/>
  <c r="N72" i="43" s="1"/>
  <c r="K72" i="43"/>
  <c r="K84" i="43"/>
  <c r="M84" i="43"/>
  <c r="N84" i="43" s="1"/>
  <c r="K89" i="43"/>
  <c r="M89" i="43"/>
  <c r="N89" i="43" s="1"/>
  <c r="K86" i="43"/>
  <c r="M86" i="43"/>
  <c r="N86" i="43" s="1"/>
  <c r="K90" i="43"/>
  <c r="M90" i="43"/>
  <c r="N90" i="43" s="1"/>
  <c r="K56" i="43"/>
  <c r="M56" i="43"/>
  <c r="N56" i="43" s="1"/>
  <c r="M58" i="43"/>
  <c r="N58" i="43" s="1"/>
  <c r="K58" i="43"/>
  <c r="K78" i="43"/>
  <c r="M78" i="43"/>
  <c r="N78" i="43" s="1"/>
  <c r="K83" i="43"/>
  <c r="M83" i="43"/>
  <c r="N83" i="43" s="1"/>
  <c r="K80" i="43"/>
  <c r="J80" i="43" s="1"/>
  <c r="M80" i="43"/>
  <c r="N80" i="43" s="1"/>
  <c r="M66" i="43"/>
  <c r="N66" i="43" s="1"/>
  <c r="K66" i="43"/>
  <c r="M74" i="43"/>
  <c r="N74" i="43" s="1"/>
  <c r="K74" i="43"/>
  <c r="M53" i="43"/>
  <c r="N53" i="43" s="1"/>
  <c r="K53" i="43"/>
  <c r="M63" i="43"/>
  <c r="N63" i="43" s="1"/>
  <c r="K63" i="43"/>
  <c r="M76" i="43"/>
  <c r="N76" i="43" s="1"/>
  <c r="K76" i="43"/>
  <c r="M52" i="43"/>
  <c r="N52" i="43" s="1"/>
  <c r="K52" i="43"/>
  <c r="K88" i="43"/>
  <c r="J88" i="43" s="1"/>
  <c r="D88" i="43" s="1"/>
  <c r="M88" i="43"/>
  <c r="N88" i="43" s="1"/>
  <c r="K87" i="43"/>
  <c r="M87" i="43"/>
  <c r="N87" i="43" s="1"/>
  <c r="M55" i="43"/>
  <c r="N55" i="43" s="1"/>
  <c r="K55" i="43"/>
  <c r="M73" i="43"/>
  <c r="N73" i="43" s="1"/>
  <c r="K73" i="43"/>
  <c r="M65" i="43"/>
  <c r="N65" i="43" s="1"/>
  <c r="K65" i="43"/>
  <c r="J65" i="43" s="1"/>
  <c r="M51" i="43"/>
  <c r="N51" i="43" s="1"/>
  <c r="K51" i="43"/>
  <c r="M62" i="43"/>
  <c r="N62" i="43" s="1"/>
  <c r="K62" i="43"/>
  <c r="K50" i="43"/>
  <c r="M50" i="43"/>
  <c r="N50" i="43" s="1"/>
  <c r="J7" i="37"/>
  <c r="H7" i="36"/>
  <c r="W41" i="33"/>
  <c r="C48" i="68"/>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AZ5" i="3"/>
  <c r="AY6" i="3" s="1"/>
  <c r="F66" i="71"/>
  <c r="Q67" i="71"/>
  <c r="C44" i="71"/>
  <c r="D43" i="71"/>
  <c r="AA23" i="36"/>
  <c r="S23" i="36"/>
  <c r="AB34" i="35"/>
  <c r="U34" i="35"/>
  <c r="S12" i="34"/>
  <c r="AA12" i="34"/>
  <c r="AC12" i="21"/>
  <c r="W12" i="21"/>
  <c r="C15" i="71"/>
  <c r="T16" i="71"/>
  <c r="B15" i="71"/>
  <c r="B14" i="71" s="1"/>
  <c r="B13" i="71" s="1"/>
  <c r="B12" i="71" s="1"/>
  <c r="S16" i="71"/>
  <c r="AB23" i="36"/>
  <c r="U23" i="36"/>
  <c r="AC36" i="35"/>
  <c r="W36" i="35"/>
  <c r="AA34" i="35"/>
  <c r="S34" i="35"/>
  <c r="E15" i="71"/>
  <c r="E14" i="71" s="1"/>
  <c r="E13" i="71" s="1"/>
  <c r="E12" i="71" s="1"/>
  <c r="V16" i="7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E27" i="6"/>
  <c r="K26" i="6" s="1"/>
  <c r="M26" i="6" s="1"/>
  <c r="I26" i="6" s="1"/>
  <c r="S26" i="6" s="1"/>
  <c r="F31" i="6"/>
  <c r="E51" i="40"/>
  <c r="E16" i="6"/>
  <c r="AC6" i="3"/>
  <c r="H6" i="3"/>
  <c r="E58" i="40"/>
  <c r="E62" i="39"/>
  <c r="E3" i="6"/>
  <c r="D33" i="43" s="1"/>
  <c r="D1" i="43" s="1"/>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D32" i="71" l="1"/>
  <c r="T32" i="71"/>
  <c r="D36" i="71"/>
  <c r="T36" i="71"/>
  <c r="D56" i="71"/>
  <c r="T56" i="71"/>
  <c r="J62" i="43"/>
  <c r="D62" i="43"/>
  <c r="J51" i="43"/>
  <c r="D51" i="43"/>
  <c r="J73" i="43"/>
  <c r="D73" i="43"/>
  <c r="J55" i="43"/>
  <c r="D55" i="43"/>
  <c r="J52" i="43"/>
  <c r="D52" i="43"/>
  <c r="J76" i="43"/>
  <c r="D76" i="43"/>
  <c r="J63" i="43"/>
  <c r="D63" i="43"/>
  <c r="J53" i="43"/>
  <c r="D53" i="43"/>
  <c r="J74" i="43"/>
  <c r="D74" i="43"/>
  <c r="J66" i="43"/>
  <c r="D66" i="43"/>
  <c r="J58" i="43"/>
  <c r="D58" i="43"/>
  <c r="J72" i="43"/>
  <c r="D72" i="43"/>
  <c r="E72" i="43" s="1"/>
  <c r="B70" i="43" s="1"/>
  <c r="J61" i="43"/>
  <c r="D61" i="43"/>
  <c r="E61" i="43" s="1"/>
  <c r="B59" i="43" s="1"/>
  <c r="C28" i="43" s="1"/>
  <c r="T15" i="43" s="1"/>
  <c r="V15" i="43" s="1"/>
  <c r="J50" i="43"/>
  <c r="D50" i="43"/>
  <c r="E50" i="43" s="1"/>
  <c r="B48" i="43" s="1"/>
  <c r="D87" i="43"/>
  <c r="J87" i="43"/>
  <c r="J83" i="43"/>
  <c r="D83" i="43"/>
  <c r="E83" i="43" s="1"/>
  <c r="B81" i="43" s="1"/>
  <c r="J78" i="43"/>
  <c r="D78" i="43"/>
  <c r="J56" i="43"/>
  <c r="D56" i="43"/>
  <c r="D90" i="43"/>
  <c r="J90" i="43"/>
  <c r="D86" i="43"/>
  <c r="J86" i="43"/>
  <c r="D89" i="43"/>
  <c r="J89" i="43"/>
  <c r="D84" i="43"/>
  <c r="J84" i="43"/>
  <c r="J79" i="43"/>
  <c r="D79" i="43"/>
  <c r="E11" i="71"/>
  <c r="E10" i="71" s="1"/>
  <c r="E9" i="71" s="1"/>
  <c r="E8" i="71" s="1"/>
  <c r="E7" i="71" s="1"/>
  <c r="E6" i="71" s="1"/>
  <c r="E5" i="71" s="1"/>
  <c r="V12" i="71"/>
  <c r="B11" i="71"/>
  <c r="B10" i="71" s="1"/>
  <c r="B9" i="71" s="1"/>
  <c r="B8" i="71" s="1"/>
  <c r="B7" i="71" s="1"/>
  <c r="B6" i="71" s="1"/>
  <c r="B5" i="71" s="1"/>
  <c r="S12" i="71"/>
  <c r="D15" i="71"/>
  <c r="C14" i="71"/>
  <c r="D44" i="71"/>
  <c r="T44" i="71"/>
  <c r="Q66" i="71"/>
  <c r="Q65" i="71"/>
  <c r="E65" i="39"/>
  <c r="L37" i="43"/>
  <c r="P36" i="43"/>
  <c r="N36" i="43"/>
  <c r="Q36" i="43"/>
  <c r="O36" i="43"/>
  <c r="M36" i="43"/>
  <c r="AC7" i="34"/>
  <c r="V49" i="34" s="1"/>
  <c r="I49" i="34" s="1"/>
  <c r="I53" i="34" s="1"/>
  <c r="J53" i="34" s="1"/>
  <c r="U7" i="34"/>
  <c r="AA7" i="34"/>
  <c r="R49" i="34" s="1"/>
  <c r="E49" i="34"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R50" i="34" l="1"/>
  <c r="C49" i="34" s="1"/>
  <c r="G54" i="34"/>
  <c r="H54" i="34" s="1"/>
  <c r="B14" i="74"/>
  <c r="B1" i="74" s="1"/>
  <c r="C38" i="43"/>
  <c r="C39" i="43"/>
  <c r="E39" i="43" s="1"/>
  <c r="C37" i="43"/>
  <c r="T6" i="43"/>
  <c r="V6" i="43" s="1"/>
  <c r="T3" i="43"/>
  <c r="V3" i="43" s="1"/>
  <c r="T8" i="43"/>
  <c r="V8" i="43" s="1"/>
  <c r="T12" i="43"/>
  <c r="V12" i="43" s="1"/>
  <c r="T16" i="43"/>
  <c r="V16" i="43" s="1"/>
  <c r="T9" i="43"/>
  <c r="V9" i="43" s="1"/>
  <c r="T13" i="43"/>
  <c r="V13" i="43" s="1"/>
  <c r="C42" i="43"/>
  <c r="E42" i="43" s="1"/>
  <c r="C41" i="43"/>
  <c r="E41" i="43" s="1"/>
  <c r="C40" i="43"/>
  <c r="E40" i="43" s="1"/>
  <c r="T5" i="43"/>
  <c r="V5" i="43" s="1"/>
  <c r="T2" i="43"/>
  <c r="V2" i="43" s="1"/>
  <c r="T4" i="43"/>
  <c r="V4" i="43" s="1"/>
  <c r="T10" i="43"/>
  <c r="V10" i="43" s="1"/>
  <c r="T14" i="43"/>
  <c r="V14" i="43" s="1"/>
  <c r="T7" i="43"/>
  <c r="V7" i="43" s="1"/>
  <c r="T11" i="43"/>
  <c r="V11" i="43"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G41" i="43"/>
  <c r="I41" i="43" s="1"/>
  <c r="E37" i="43"/>
  <c r="G37" i="43"/>
  <c r="I37" i="43" s="1"/>
  <c r="G38" i="43"/>
  <c r="I38" i="43" s="1"/>
  <c r="E38"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7" i="67"/>
  <c r="C14" i="67"/>
  <c r="C50" i="34" l="1"/>
  <c r="C25" i="11"/>
  <c r="C22" i="11" s="1"/>
  <c r="C31" i="11" s="1"/>
  <c r="G40" i="43"/>
  <c r="I40" i="43" s="1"/>
  <c r="G42" i="43"/>
  <c r="I42" i="43" s="1"/>
  <c r="C14" i="74"/>
  <c r="B2" i="74"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B29" i="1"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8" i="69" l="1"/>
  <c r="D8" i="74"/>
  <c r="D7" i="74"/>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I69" i="39"/>
  <c r="J67" i="39"/>
  <c r="I63" i="40"/>
  <c r="H65" i="40"/>
  <c r="I58" i="21"/>
  <c r="J58" i="21" s="1"/>
  <c r="K58" i="21" s="1"/>
  <c r="L58" i="21" s="1"/>
  <c r="M58" i="21" s="1"/>
  <c r="N58" i="21" s="1"/>
  <c r="O58" i="21" s="1"/>
  <c r="H7" i="21" s="1"/>
  <c r="F7" i="21"/>
  <c r="J48" i="35"/>
  <c r="H26" i="43" l="1"/>
  <c r="G26" i="43"/>
  <c r="N94" i="46"/>
  <c r="N370" i="46"/>
  <c r="F26" i="43"/>
  <c r="E26" i="43"/>
  <c r="Z7" i="43"/>
  <c r="J26" i="43"/>
  <c r="B116" i="43"/>
  <c r="C8" i="68"/>
  <c r="C5" i="68" s="1"/>
  <c r="C23" i="68" s="1"/>
  <c r="C18" i="12"/>
  <c r="C21" i="12" s="1"/>
  <c r="J7" i="21"/>
  <c r="AC7" i="21" s="1"/>
  <c r="V48" i="21" s="1"/>
  <c r="I48" i="21" s="1"/>
  <c r="D11" i="71"/>
  <c r="C10"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S7" i="21"/>
  <c r="AA7" i="21"/>
  <c r="R48" i="21" s="1"/>
  <c r="J63" i="40"/>
  <c r="I65" i="40"/>
  <c r="K48" i="35"/>
  <c r="L48" i="35" s="1"/>
  <c r="M48" i="35" s="1"/>
  <c r="N48" i="35" s="1"/>
  <c r="O48" i="35" s="1"/>
  <c r="H7" i="35" s="1"/>
  <c r="I122" i="43" l="1"/>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C20" i="68"/>
  <c r="C28" i="68" s="1"/>
  <c r="C27" i="68" s="1"/>
  <c r="C22" i="12"/>
  <c r="C30" i="12" s="1"/>
  <c r="C28" i="12" s="1"/>
  <c r="W7" i="21"/>
  <c r="J7" i="35"/>
  <c r="D10" i="71"/>
  <c r="C9" i="7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C118" i="43" l="1"/>
  <c r="D116" i="43"/>
  <c r="C33" i="43"/>
  <c r="C27" i="12"/>
  <c r="C25" i="12" s="1"/>
  <c r="C32" i="12" s="1"/>
  <c r="B2" i="12" s="1"/>
  <c r="B3" i="12" s="1"/>
  <c r="C25" i="68"/>
  <c r="C22" i="68" s="1"/>
  <c r="C31"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6" i="69" l="1"/>
  <c r="C34" i="43"/>
  <c r="E34" i="43" s="1"/>
  <c r="C31" i="43" s="1"/>
  <c r="E33" i="43"/>
  <c r="C30" i="43" s="1"/>
  <c r="C52" i="68"/>
  <c r="B2" i="68" s="1"/>
  <c r="B3"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E6" i="76"/>
  <c r="E2" i="76" l="1"/>
  <c r="B2" i="43"/>
  <c r="C7" i="69"/>
  <c r="C5" i="69"/>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B6" i="76"/>
  <c r="L51" i="67"/>
  <c r="B2" i="76" l="1"/>
  <c r="C23" i="69"/>
  <c r="C20" i="69"/>
  <c r="B3" i="43"/>
  <c r="B3" i="76"/>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4"/>
  <c r="L51" i="15"/>
  <c r="D2" i="36"/>
  <c r="C28" i="69" l="1"/>
  <c r="C27" i="69" s="1"/>
  <c r="C25" i="69"/>
  <c r="C22" i="69"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12" i="1"/>
  <c r="AO9" i="1"/>
  <c r="AO7" i="1"/>
  <c r="AO8" i="1"/>
  <c r="C31" i="69" l="1"/>
  <c r="C52" i="69" s="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20" i="9"/>
  <c r="D19" i="9"/>
  <c r="B2" i="69" l="1"/>
  <c r="C57" i="69"/>
  <c r="C56" i="69" s="1"/>
  <c r="D102" i="9"/>
  <c r="D21" i="9"/>
  <c r="B6" i="70"/>
  <c r="B2" i="70" s="1"/>
  <c r="B3" i="70" s="1"/>
  <c r="D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D35" i="9"/>
  <c r="C21" i="9" l="1"/>
  <c r="C102" i="9"/>
  <c r="G19" i="9"/>
  <c r="G21" i="9" s="1"/>
  <c r="D22" i="9"/>
  <c r="B3" i="69"/>
  <c r="C42" i="40"/>
  <c r="C43" i="40"/>
  <c r="E47" i="40"/>
  <c r="F47" i="40" s="1"/>
  <c r="E46" i="40"/>
  <c r="F46" i="40" s="1"/>
  <c r="I47" i="40"/>
  <c r="J47" i="40" s="1"/>
  <c r="C20" i="9"/>
  <c r="D34" i="9"/>
  <c r="C103" i="9" l="1"/>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H118" i="9" s="1"/>
  <c r="G118" i="9"/>
  <c r="H4" i="52" l="1"/>
  <c r="D14" i="74"/>
  <c r="H119" i="9"/>
  <c r="C104" i="9"/>
  <c r="H101" i="9"/>
  <c r="M48" i="9" s="1"/>
  <c r="G4" i="52"/>
  <c r="B52" i="72" s="1"/>
  <c r="F118" i="9"/>
  <c r="C105" i="9"/>
  <c r="I4" i="52"/>
  <c r="H102" i="9"/>
  <c r="D7" i="53" s="1"/>
  <c r="B21" i="72" s="1"/>
  <c r="E118" i="9"/>
  <c r="H107" i="9" l="1"/>
  <c r="H108" i="9" s="1"/>
  <c r="D15" i="53" s="1"/>
  <c r="B31" i="72" s="1"/>
  <c r="D5" i="53"/>
  <c r="B20" i="72" s="1"/>
  <c r="H5" i="52"/>
  <c r="D45" i="9"/>
  <c r="D52" i="9" s="1"/>
  <c r="E4" i="52"/>
  <c r="B48" i="72" s="1"/>
  <c r="D118" i="9"/>
  <c r="F4" i="52"/>
  <c r="B51" i="72" s="1"/>
  <c r="F119" i="9"/>
  <c r="F5" i="52" s="1"/>
  <c r="B53" i="72" s="1"/>
  <c r="B5" i="74"/>
  <c r="F14" i="74"/>
  <c r="E14" i="74"/>
  <c r="D6" i="53" l="1"/>
  <c r="B22" i="72" s="1"/>
  <c r="D122" i="9"/>
  <c r="D123" i="9" s="1"/>
  <c r="D9" i="52" s="1"/>
  <c r="C85" i="9"/>
  <c r="C78" i="9"/>
  <c r="C73" i="9" s="1"/>
  <c r="C93" i="9"/>
  <c r="C86" i="9" s="1"/>
  <c r="C72" i="9"/>
  <c r="M49" i="9"/>
  <c r="L64" i="9" s="1"/>
  <c r="M64" i="9" s="1"/>
  <c r="D13" i="53"/>
  <c r="D14" i="53" s="1"/>
  <c r="B32" i="72" s="1"/>
  <c r="D55" i="9"/>
  <c r="M53" i="9" s="1"/>
  <c r="C64" i="9"/>
  <c r="C63" i="9" s="1"/>
  <c r="C67" i="9" s="1"/>
  <c r="C68" i="9" s="1"/>
  <c r="D54" i="9" s="1"/>
  <c r="D53" i="9"/>
  <c r="D48" i="9" s="1"/>
  <c r="M52" i="9" s="1"/>
  <c r="D4" i="52"/>
  <c r="B47" i="72" s="1"/>
  <c r="D119" i="9"/>
  <c r="D5" i="52" s="1"/>
  <c r="B49" i="72" s="1"/>
  <c r="D5" i="74"/>
  <c r="C5" i="74"/>
  <c r="C79" i="9"/>
  <c r="D59" i="9"/>
  <c r="M55" i="9" s="1"/>
  <c r="D8" i="52"/>
  <c r="G14" i="74" l="1"/>
  <c r="B6" i="74" s="1"/>
  <c r="C6" i="74" s="1"/>
  <c r="C95" i="9"/>
  <c r="C96" i="9" s="1"/>
  <c r="E96" i="9" s="1"/>
  <c r="E97" i="9" s="1"/>
  <c r="L65" i="9"/>
  <c r="M65" i="9" s="1"/>
  <c r="L68" i="9"/>
  <c r="M68" i="9" s="1"/>
  <c r="L67" i="9"/>
  <c r="M67" i="9" s="1"/>
  <c r="B30" i="72"/>
  <c r="L63" i="9"/>
  <c r="M63" i="9" s="1"/>
  <c r="L66" i="9"/>
  <c r="M66" i="9" s="1"/>
  <c r="D6" i="74"/>
  <c r="C80" i="9"/>
  <c r="E80" i="9" s="1"/>
  <c r="E81" i="9" s="1"/>
  <c r="C97" i="9" l="1"/>
  <c r="D58" i="9" s="1"/>
  <c r="D56" i="9" s="1"/>
  <c r="M54" i="9" s="1"/>
  <c r="N57" i="9" s="1"/>
  <c r="N58" i="9" s="1"/>
  <c r="M69" i="9"/>
  <c r="N69"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<sst xmlns="http://schemas.openxmlformats.org/spreadsheetml/2006/main" count="8122" uniqueCount="3535">
  <si>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</si>
  <si>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</si>
  <si>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</si>
  <si>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</si>
  <si>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</si>
  <si>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</si>
  <si>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</si>
  <si>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</si>
  <si>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</si>
  <si>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</si>
  <si>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</si>
  <si>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</si>
  <si>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</si>
  <si>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</si>
  <si>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</si>
  <si>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</si>
  <si>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</si>
  <si>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</si>
  <si>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</si>
  <si>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</si>
  <si>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</si>
  <si>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</si>
  <si>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</si>
  <si>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</si>
  <si>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</si>
  <si>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</si>
  <si>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</si>
  <si>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</si>
  <si>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</si>
  <si>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</si>
  <si>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</si>
  <si>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</si>
  <si>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</si>
  <si>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</si>
  <si>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</si>
  <si>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</si>
  <si>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</si>
  <si>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</si>
  <si>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</si>
  <si>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</si>
  <si>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</si>
  <si>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</si>
  <si>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</si>
  <si>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</si>
  <si>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</si>
  <si>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</si>
  <si>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</si>
  <si>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</si>
  <si>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</si>
  <si>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</si>
  <si>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</si>
  <si>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</si>
  <si>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</si>
  <si>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</si>
  <si>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</si>
  <si>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</si>
  <si>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</si>
  <si>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</si>
  <si>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</si>
  <si>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</si>
  <si>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</si>
  <si>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</si>
  <si>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</si>
  <si>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</si>
  <si>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</si>
  <si>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</si>
  <si>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</si>
  <si>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</si>
  <si>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</si>
  <si>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</si>
  <si>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</si>
  <si>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</si>
  <si>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</si>
  <si>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</si>
  <si>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</si>
  <si>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</si>
  <si>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</si>
  <si>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</si>
  <si>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</si>
  <si>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</si>
  <si>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</si>
  <si>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</si>
  <si>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</si>
  <si>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</si>
  <si>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</si>
  <si>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</si>
  <si>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</si>
  <si>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</si>
  <si>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</si>
  <si>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</si>
  <si>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</si>
  <si>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</si>
  <si>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</si>
  <si>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</si>
  <si>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</si>
  <si>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</si>
  <si>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</si>
  <si>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</si>
  <si>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</si>
  <si>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</si>
  <si>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</si>
  <si>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</si>
  <si>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</si>
  <si>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</si>
  <si>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</si>
  <si>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</si>
  <si>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</si>
  <si>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</si>
  <si>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</si>
  <si>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</si>
  <si>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</si>
  <si>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</si>
  <si>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</si>
  <si>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</si>
  <si>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</si>
  <si>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</si>
  <si>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</si>
  <si>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</si>
  <si>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</si>
  <si>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</si>
  <si>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</si>
  <si>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</si>
  <si>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</si>
  <si>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</si>
  <si>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</si>
  <si>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</si>
  <si>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</si>
  <si>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</si>
  <si>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</si>
  <si>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</si>
  <si>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</si>
  <si>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</si>
  <si>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</si>
  <si>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</si>
  <si>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</si>
  <si>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</si>
  <si>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</si>
  <si>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</si>
  <si>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</si>
  <si>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</si>
  <si>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</si>
  <si>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</si>
  <si>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</si>
  <si>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</si>
  <si>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</si>
  <si>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</si>
  <si>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</si>
  <si>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</si>
  <si>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</si>
  <si>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</si>
  <si>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</si>
  <si>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</si>
  <si>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</si>
  <si>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</si>
  <si>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</si>
  <si>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</si>
  <si>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</si>
  <si>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</si>
  <si>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</si>
  <si>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</si>
  <si>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</si>
  <si>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</si>
  <si>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</si>
  <si>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</si>
  <si>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</si>
  <si>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</si>
  <si>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</si>
  <si>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</si>
  <si>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</si>
  <si>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</si>
  <si>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</si>
  <si>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</si>
  <si>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</si>
  <si>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</si>
  <si>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</si>
  <si>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</si>
  <si>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</si>
  <si>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</si>
  <si>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</si>
  <si>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</si>
  <si>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</si>
  <si>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</si>
  <si>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</si>
  <si>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</si>
  <si>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</si>
  <si>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</si>
  <si>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</si>
  <si>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</si>
  <si>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</si>
  <si>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</si>
  <si>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</si>
  <si>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</si>
  <si>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</si>
  <si>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</si>
  <si>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</si>
  <si>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</si>
  <si>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</si>
  <si>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</si>
  <si>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</si>
  <si>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</si>
  <si>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</si>
  <si>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</si>
  <si>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</si>
  <si>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</si>
  <si>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</si>
  <si>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</si>
  <si>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</si>
  <si>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</si>
  <si>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</si>
  <si>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</si>
  <si>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</si>
  <si>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</si>
  <si>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</si>
  <si>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</si>
  <si>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</si>
  <si>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</si>
  <si>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</si>
  <si>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</si>
  <si>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</si>
  <si>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</si>
  <si>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</si>
  <si>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</si>
  <si>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</si>
  <si>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</si>
  <si>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</si>
  <si>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</si>
  <si>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</si>
  <si>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</si>
  <si>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</si>
  <si>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</si>
  <si>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</si>
  <si>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</si>
  <si>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</si>
  <si>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</si>
  <si>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</si>
  <si>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</si>
  <si>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</si>
  <si>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</si>
  <si>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</si>
  <si>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</si>
  <si>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</si>
  <si>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</si>
  <si>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</si>
  <si>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</si>
  <si>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</si>
  <si>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</si>
  <si>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</si>
  <si>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</si>
  <si>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</si>
  <si>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</si>
  <si>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</si>
  <si>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</si>
  <si>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</si>
  <si>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</si>
  <si>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</si>
  <si>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</si>
  <si>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</si>
  <si>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</si>
  <si>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</si>
  <si>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</si>
  <si>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</si>
  <si>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</si>
  <si>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</si>
  <si>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</si>
  <si>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</si>
  <si>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</si>
  <si>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</si>
  <si>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</si>
  <si>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</si>
  <si>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</si>
  <si>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</si>
  <si>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</si>
  <si>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</si>
  <si>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</si>
  <si>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</si>
  <si>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</si>
  <si>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</si>
  <si>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</si>
  <si>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</si>
  <si>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</si>
  <si>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</si>
  <si>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</si>
  <si>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</si>
  <si>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</si>
  <si>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</si>
  <si>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</si>
  <si>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</si>
  <si>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</si>
  <si>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</si>
  <si>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</si>
  <si>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</si>
  <si>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</si>
  <si>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</si>
  <si>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</si>
  <si>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</si>
  <si>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</si>
  <si>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</si>
  <si>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</si>
  <si>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</si>
  <si>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</si>
  <si>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</si>
  <si>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</si>
  <si>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</si>
  <si>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</si>
  <si>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</si>
  <si>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</si>
  <si>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</si>
  <si>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</si>
  <si>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</si>
  <si>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</si>
  <si>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</si>
  <si>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</si>
  <si>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</si>
  <si>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</si>
  <si>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</si>
  <si>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</si>
  <si>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</si>
  <si>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</si>
  <si>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</si>
  <si>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</si>
  <si>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</si>
  <si>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</si>
  <si>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</si>
  <si>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</si>
  <si>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</si>
  <si>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</si>
  <si>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</si>
  <si>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</si>
  <si>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</si>
  <si>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</si>
  <si>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</si>
  <si>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</si>
  <si>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</si>
  <si>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</si>
  <si>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</si>
  <si>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</si>
  <si>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</si>
  <si>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</si>
  <si>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</si>
  <si>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</si>
  <si>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</si>
  <si>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</si>
  <si>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</si>
  <si>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</si>
  <si>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</si>
  <si>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</si>
  <si>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</si>
  <si>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</si>
  <si>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</si>
  <si>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</si>
  <si>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</si>
  <si>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</si>
  <si>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</si>
  <si>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</si>
  <si>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</si>
  <si>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</si>
  <si>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</si>
  <si>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</si>
  <si>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</si>
  <si>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</si>
  <si>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</si>
  <si>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</si>
  <si>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</si>
  <si>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</si>
  <si>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</si>
  <si>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</si>
  <si>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</si>
  <si>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</si>
  <si>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</si>
  <si>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</si>
  <si>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</si>
  <si>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</si>
  <si>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</si>
  <si>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</si>
  <si>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</si>
  <si>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</si>
  <si>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</si>
  <si>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</si>
  <si>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</si>
  <si>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</si>
  <si>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</si>
  <si>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</si>
  <si>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</si>
  <si>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</si>
  <si>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</si>
  <si>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</si>
  <si>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</si>
  <si>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</si>
  <si>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</si>
  <si>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</si>
  <si>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</si>
  <si>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</si>
  <si>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</si>
  <si>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</si>
  <si>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</si>
  <si>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</si>
  <si>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</si>
  <si>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</si>
  <si>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</si>
  <si>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</si>
  <si>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</si>
  <si>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</si>
  <si>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</si>
  <si>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</si>
  <si>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</si>
  <si>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</si>
  <si>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</si>
  <si>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</si>
  <si>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</si>
  <si>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</si>
  <si>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</si>
  <si>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</si>
  <si>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</si>
  <si>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</si>
  <si>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</si>
  <si>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</si>
  <si>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</si>
  <si>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</si>
  <si>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</si>
  <si>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</si>
  <si>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</si>
  <si>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</si>
  <si>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</si>
  <si>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</si>
  <si>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</si>
  <si>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</si>
  <si>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</si>
  <si>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</si>
  <si>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</si>
  <si>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</si>
  <si>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</si>
  <si>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</si>
  <si>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</si>
  <si>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</si>
  <si>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</si>
  <si>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</si>
  <si>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</si>
  <si>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</si>
  <si>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</si>
  <si>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</si>
  <si>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</si>
  <si>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</si>
  <si>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</si>
  <si>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</si>
  <si>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</si>
  <si>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</si>
  <si>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</si>
  <si>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</si>
  <si>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</si>
  <si>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</si>
  <si>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</si>
  <si>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</si>
  <si>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</si>
  <si>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</si>
  <si>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</si>
  <si>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</si>
  <si>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</si>
  <si>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</si>
  <si>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</si>
  <si>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</si>
  <si>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</si>
  <si>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</si>
  <si>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</si>
  <si>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</si>
  <si>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</si>
  <si>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</si>
  <si>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</si>
  <si>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</si>
  <si>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</si>
  <si>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</si>
  <si>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</si>
  <si>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</si>
  <si>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</si>
  <si>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</si>
  <si>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</si>
  <si>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</si>
  <si>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</si>
  <si>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</si>
  <si>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</si>
  <si>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</si>
  <si>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</si>
  <si>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</si>
  <si>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</si>
  <si>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</si>
  <si>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</si>
  <si>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</si>
  <si>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</si>
  <si>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</si>
  <si>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</si>
  <si>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</si>
  <si>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</si>
  <si>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</si>
  <si>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</si>
  <si>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</si>
  <si>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</si>
  <si>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</si>
  <si>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</si>
  <si>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</si>
  <si>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</si>
  <si>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</si>
  <si>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</si>
  <si>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</si>
  <si>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</si>
  <si>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</si>
  <si>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</si>
  <si>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</si>
  <si>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</si>
  <si>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</si>
  <si>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</si>
  <si>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</si>
  <si>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</si>
  <si>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</si>
  <si>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</si>
  <si>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</si>
  <si>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</si>
  <si>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</si>
  <si>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</si>
  <si>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</si>
  <si>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</si>
  <si>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</si>
  <si>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</si>
  <si>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</si>
  <si>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</si>
  <si>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</si>
  <si>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</si>
  <si>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</si>
  <si>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</si>
  <si>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</si>
  <si>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</si>
  <si>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</si>
  <si>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</si>
  <si>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</si>
  <si>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</si>
  <si>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</si>
  <si>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</si>
  <si>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</si>
  <si>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</si>
  <si>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</si>
  <si>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</si>
  <si>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</si>
  <si>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</si>
  <si>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</si>
  <si>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</si>
  <si>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</si>
  <si>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</si>
  <si>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</si>
  <si>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</si>
  <si>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</si>
  <si>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</si>
  <si>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</si>
  <si>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</si>
  <si>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</si>
  <si>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</si>
  <si>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</si>
  <si>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</si>
  <si>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</si>
  <si>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</si>
  <si>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</si>
  <si>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</si>
  <si>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</si>
  <si>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</si>
  <si>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</si>
  <si>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</si>
  <si>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</si>
  <si>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</si>
  <si>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</si>
  <si>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</si>
  <si>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</si>
  <si>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</si>
  <si>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</si>
  <si>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</si>
  <si>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</si>
  <si>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</si>
  <si>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</si>
  <si>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</si>
  <si>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</si>
  <si>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</si>
  <si>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</si>
  <si>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</si>
  <si>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</si>
  <si>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</si>
  <si>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</si>
  <si>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</si>
  <si>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</si>
  <si>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</si>
  <si>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</si>
  <si>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</si>
  <si>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</si>
  <si>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</si>
  <si>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</si>
  <si>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</si>
  <si>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</si>
  <si>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</si>
  <si>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</si>
  <si>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</si>
  <si>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</si>
  <si>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</si>
  <si>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</si>
  <si>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</si>
  <si>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</si>
  <si>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</si>
  <si>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</si>
  <si>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</si>
  <si>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</si>
  <si>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</si>
  <si>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</si>
  <si>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</si>
  <si>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</si>
  <si>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</si>
  <si>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</si>
  <si>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</si>
  <si>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</si>
  <si>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</si>
  <si>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</si>
  <si>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</si>
  <si>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</si>
  <si>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</si>
  <si>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</si>
  <si>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</si>
  <si>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</si>
  <si>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</si>
  <si>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</si>
  <si>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</si>
  <si>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</si>
  <si>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</si>
  <si>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</si>
  <si>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</si>
  <si>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</si>
  <si>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</si>
  <si>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</si>
  <si>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</si>
  <si>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</si>
  <si>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</si>
  <si>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</si>
  <si>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</si>
  <si>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</si>
  <si>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</si>
  <si>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</si>
  <si>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</si>
  <si>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</si>
  <si>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</si>
  <si>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</si>
  <si>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</si>
  <si>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</si>
  <si>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</si>
  <si>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</si>
  <si>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</si>
  <si>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</si>
  <si>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</si>
  <si>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</si>
  <si>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</si>
  <si>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</si>
  <si>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</si>
  <si>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</si>
  <si>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</si>
  <si>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</si>
  <si>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</si>
  <si>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</si>
  <si>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</si>
  <si>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</si>
  <si>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</si>
  <si>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</si>
  <si>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</si>
  <si>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</si>
  <si>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</si>
  <si>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</si>
  <si>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</si>
  <si>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</si>
  <si>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</si>
  <si>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</si>
  <si>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</si>
  <si>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</si>
  <si>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</si>
  <si>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</si>
  <si>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</si>
  <si>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</si>
  <si>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</si>
  <si>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</si>
  <si>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</si>
  <si>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</si>
  <si>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</si>
  <si>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</si>
  <si>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</si>
  <si>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</si>
  <si>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</si>
  <si>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</si>
  <si>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</si>
  <si>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</si>
  <si>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</si>
  <si>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</si>
  <si>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</si>
  <si>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</si>
  <si>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</si>
  <si>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</si>
  <si>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</si>
  <si>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</si>
  <si>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</si>
  <si>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</si>
  <si>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</si>
  <si>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</si>
  <si>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</si>
  <si>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</si>
  <si>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</si>
  <si>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</si>
  <si>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</si>
  <si>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</si>
  <si>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</si>
  <si>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</si>
  <si>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</si>
  <si>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</si>
  <si>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</si>
  <si>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</si>
  <si>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</si>
  <si>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</si>
  <si>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</si>
  <si>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</si>
  <si>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</si>
  <si>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</si>
  <si>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</si>
  <si>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</si>
  <si>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</si>
  <si>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</si>
  <si>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</si>
  <si>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</si>
  <si>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</si>
  <si>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</si>
  <si>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</si>
  <si>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</si>
  <si>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</si>
  <si>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</si>
  <si>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</si>
  <si>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</si>
  <si>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</si>
  <si>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</si>
  <si>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</si>
  <si>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</si>
  <si>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</si>
  <si>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</si>
  <si>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</si>
  <si>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</si>
  <si>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</si>
  <si>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</si>
  <si>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</si>
  <si>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</si>
  <si>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</si>
  <si>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</si>
  <si>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</si>
  <si>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</si>
  <si>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</si>
  <si>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</si>
  <si>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</si>
  <si>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</si>
  <si>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</si>
  <si>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</si>
  <si>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</si>
  <si>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</si>
  <si>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</si>
  <si>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</si>
  <si>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</si>
  <si>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</si>
  <si>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</si>
  <si>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</si>
  <si>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</si>
  <si>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</si>
  <si>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</si>
  <si>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</si>
  <si>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</si>
  <si>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</si>
  <si>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</si>
  <si>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</si>
  <si>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</si>
  <si>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</si>
  <si>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</si>
  <si>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</si>
  <si>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</si>
  <si>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</si>
  <si>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</si>
  <si>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</si>
  <si>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</si>
  <si>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</si>
  <si>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</si>
  <si>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</si>
  <si>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</si>
  <si>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</si>
  <si>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</si>
  <si>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</si>
  <si>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</si>
  <si>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</si>
  <si>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</si>
  <si>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</si>
  <si>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</si>
  <si>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</si>
  <si>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</si>
  <si>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</si>
  <si>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</si>
  <si>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</si>
  <si>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</si>
  <si>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</si>
  <si>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</si>
  <si>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</si>
  <si>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</si>
  <si>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</si>
  <si>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</si>
  <si>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</si>
  <si>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</si>
  <si>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</si>
  <si>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</si>
  <si>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</si>
  <si>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</si>
  <si>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</si>
  <si>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</si>
  <si>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</si>
  <si>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</si>
  <si>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</si>
  <si>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</si>
  <si>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</si>
  <si>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</si>
  <si>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</si>
  <si>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</si>
  <si>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</si>
  <si>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</si>
  <si>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</si>
  <si>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</si>
  <si>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</si>
  <si>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</si>
  <si>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</si>
  <si>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</si>
  <si>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</si>
  <si>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</si>
  <si>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</si>
  <si>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</si>
  <si>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</si>
  <si>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</si>
  <si>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</si>
  <si>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</si>
  <si>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</si>
  <si>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</si>
  <si>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</si>
  <si>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</si>
  <si>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</si>
  <si>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</si>
  <si>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</si>
  <si>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</si>
  <si>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</si>
  <si>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</si>
  <si>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</si>
  <si>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</si>
  <si>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</si>
  <si>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</si>
  <si>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</si>
  <si>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</si>
  <si>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</si>
  <si>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</si>
  <si>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</si>
  <si>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</si>
  <si>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</si>
  <si>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</si>
  <si>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</si>
  <si>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</si>
  <si>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</si>
  <si>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</si>
  <si>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</si>
  <si>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</si>
  <si>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</si>
  <si>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</si>
  <si>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</si>
  <si>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</si>
  <si>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</si>
  <si>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</si>
  <si>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</si>
  <si>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</si>
  <si>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</si>
  <si>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</si>
  <si>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</si>
  <si>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</si>
  <si>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</si>
  <si>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</si>
  <si>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</si>
  <si>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</si>
  <si>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</si>
  <si>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</si>
  <si>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</si>
  <si>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</si>
  <si>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</si>
  <si>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</si>
  <si>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</si>
  <si>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</si>
  <si>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</si>
  <si>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</si>
  <si>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</si>
  <si>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</si>
  <si>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</si>
  <si>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</si>
  <si>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</si>
  <si>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</si>
  <si>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</si>
  <si>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</si>
  <si>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</si>
  <si>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</si>
  <si>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</si>
  <si>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</si>
  <si>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</si>
  <si>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</si>
  <si>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</si>
  <si>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</si>
  <si>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</si>
  <si>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</si>
  <si>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</si>
  <si>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</si>
  <si>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</si>
  <si>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</si>
  <si>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</si>
  <si>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</si>
  <si>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</si>
  <si>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</si>
  <si>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</si>
  <si>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</si>
  <si>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</si>
  <si>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</si>
  <si>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</si>
  <si>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</si>
  <si>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</si>
  <si>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</si>
  <si>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</si>
  <si>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</si>
  <si>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</si>
  <si>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</si>
  <si>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</si>
  <si>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</si>
  <si>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</si>
  <si>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</si>
  <si>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</si>
  <si>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</si>
  <si>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</si>
  <si>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</si>
  <si>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</si>
  <si>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</si>
  <si>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</si>
  <si>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</si>
  <si>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</si>
  <si>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</si>
  <si>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</si>
  <si>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</si>
  <si>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</si>
  <si>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</si>
  <si>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</si>
  <si>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</si>
  <si>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</si>
  <si>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</si>
  <si>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</si>
  <si>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</si>
  <si>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</si>
  <si>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</si>
  <si>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</si>
  <si>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</si>
  <si>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</si>
  <si>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</si>
  <si>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</si>
  <si>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</si>
  <si>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</si>
  <si>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</si>
  <si>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</si>
  <si>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</si>
  <si>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</si>
  <si>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</si>
  <si>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</si>
  <si>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</si>
  <si>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</si>
  <si>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</si>
  <si>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</si>
  <si>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</si>
  <si>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</si>
  <si>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</si>
  <si>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</si>
  <si>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</si>
  <si>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</si>
  <si>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</si>
  <si>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</si>
  <si>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</si>
  <si>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</si>
  <si>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</si>
  <si>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</si>
  <si>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</si>
  <si>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</si>
  <si>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</si>
  <si>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</si>
  <si>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</si>
  <si>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</si>
  <si>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</si>
  <si>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</si>
  <si>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</si>
  <si>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</si>
  <si>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</si>
  <si>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</si>
  <si>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</si>
  <si>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</si>
  <si>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</si>
  <si>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</si>
  <si>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</si>
  <si>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</si>
  <si>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</si>
  <si>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</si>
  <si>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</si>
  <si>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</si>
  <si>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</si>
  <si>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</si>
  <si>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</si>
  <si>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</si>
  <si>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</si>
  <si>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</si>
  <si>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</si>
  <si>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</si>
  <si>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</si>
  <si>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</si>
  <si>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</si>
  <si>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</si>
  <si>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</si>
  <si>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</si>
  <si>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</si>
  <si>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</si>
  <si>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</si>
  <si>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</si>
  <si>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</si>
  <si>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</si>
  <si>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</si>
  <si>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</si>
  <si>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</si>
  <si>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</si>
  <si>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</si>
  <si>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</si>
  <si>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</si>
  <si>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</si>
  <si>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</si>
  <si>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</si>
  <si>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</si>
  <si>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</si>
  <si>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</si>
  <si>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</si>
  <si>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</si>
  <si>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</si>
  <si>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</si>
  <si>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</si>
  <si>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</si>
  <si>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</si>
  <si>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</si>
  <si>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</si>
  <si>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</si>
  <si>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</si>
  <si>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</si>
  <si>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</si>
  <si>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</si>
  <si>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</si>
  <si>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</si>
  <si>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</si>
  <si>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</si>
  <si>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</si>
  <si>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</si>
  <si>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</si>
  <si>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</si>
  <si>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</si>
  <si>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</si>
  <si>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</si>
  <si>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</si>
  <si>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</si>
  <si>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</si>
  <si>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</si>
  <si>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</si>
  <si>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</si>
  <si>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</si>
  <si>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</si>
  <si>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</si>
  <si>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</si>
  <si>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</si>
  <si>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</si>
  <si>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</si>
  <si>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</si>
  <si>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</si>
  <si>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</si>
  <si>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</si>
  <si>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</si>
  <si>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</si>
  <si>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</si>
  <si>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</si>
  <si>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</si>
  <si>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</si>
  <si>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</si>
  <si>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</si>
  <si>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</si>
  <si>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</si>
  <si>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</si>
  <si>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</si>
  <si>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</si>
  <si>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</si>
  <si>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</si>
  <si>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</si>
  <si>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</si>
  <si>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</si>
  <si>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</si>
  <si>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</si>
  <si>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</si>
  <si>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</si>
  <si>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</si>
  <si>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</si>
  <si>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</si>
  <si>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</si>
  <si>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</si>
  <si>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</si>
  <si>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</si>
  <si>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</si>
  <si>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</si>
  <si>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</si>
  <si>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</si>
  <si>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</si>
  <si>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</si>
  <si>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</si>
  <si>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</si>
  <si>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</si>
  <si>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</si>
  <si>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</si>
  <si>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</si>
  <si>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</si>
  <si>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</si>
  <si>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</si>
  <si>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</si>
  <si>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</si>
  <si>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</si>
  <si>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</si>
  <si>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</si>
  <si>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</si>
  <si>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</si>
  <si>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</si>
  <si>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</si>
  <si>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</si>
  <si>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</si>
  <si>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</si>
  <si>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</si>
  <si>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</si>
  <si>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</si>
  <si>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</si>
  <si>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</si>
  <si>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</si>
  <si>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</si>
  <si>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</si>
  <si>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</si>
  <si>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</si>
  <si>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</si>
  <si>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</si>
  <si>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</si>
  <si>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</si>
  <si>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</si>
  <si>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</si>
  <si>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</si>
  <si>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</si>
  <si>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</si>
  <si>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</si>
  <si>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</si>
  <si>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</si>
  <si>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</si>
  <si>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</si>
  <si>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</si>
  <si>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</si>
  <si>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</si>
  <si>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</si>
  <si>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</si>
  <si>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</si>
  <si>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</si>
  <si>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</si>
  <si>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</si>
  <si>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</si>
  <si>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</si>
  <si>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</si>
  <si>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</si>
  <si>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</si>
  <si>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</si>
  <si>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</si>
  <si>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</si>
  <si>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</si>
  <si>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</si>
  <si>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</si>
  <si>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</si>
  <si>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</si>
  <si>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</si>
  <si>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</si>
  <si>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</si>
  <si>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</si>
  <si>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</si>
  <si>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</si>
  <si>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</si>
  <si>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</si>
  <si>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</si>
  <si>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</si>
  <si>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</si>
  <si>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</si>
  <si>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</si>
  <si>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</si>
  <si>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</si>
  <si>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</si>
  <si>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</si>
  <si>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</si>
  <si>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</si>
  <si>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</si>
  <si>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</si>
  <si>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</si>
  <si>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</si>
  <si>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</si>
  <si>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</si>
  <si>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</si>
  <si>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</si>
  <si>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</si>
  <si>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</si>
  <si>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</si>
  <si>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</si>
  <si>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</si>
  <si>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</si>
  <si>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</si>
  <si>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</si>
  <si>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</si>
  <si>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</si>
  <si>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</si>
  <si>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</si>
  <si>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</si>
  <si>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</si>
  <si>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</si>
  <si>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</si>
  <si>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</si>
  <si>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</si>
  <si>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</si>
  <si>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</si>
  <si>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</si>
  <si>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</si>
  <si>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</si>
  <si>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</si>
  <si>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</si>
  <si>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</si>
  <si>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</si>
  <si>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</si>
  <si>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</si>
  <si>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</si>
  <si>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</si>
  <si>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</si>
  <si>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</si>
  <si>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</si>
  <si>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</si>
  <si>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</si>
  <si>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</si>
  <si>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</si>
  <si>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</si>
  <si>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</si>
  <si>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</si>
  <si>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</si>
  <si>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</si>
  <si>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</si>
  <si>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</si>
  <si>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</si>
  <si>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</si>
  <si>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</si>
  <si>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</si>
  <si>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</si>
  <si>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</si>
  <si>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</si>
  <si>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</si>
  <si>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</si>
  <si>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</si>
  <si>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</si>
  <si>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</si>
  <si>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</si>
  <si>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</si>
  <si>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</si>
  <si>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</si>
  <si>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</si>
  <si>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</si>
  <si>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</si>
  <si>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</si>
  <si>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</si>
  <si>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</si>
  <si>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</si>
  <si>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</si>
  <si>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</si>
  <si>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</si>
  <si>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</si>
  <si>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</si>
  <si>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</si>
  <si>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</si>
  <si>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</si>
  <si>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</si>
  <si>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</si>
  <si>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</si>
  <si>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</si>
  <si>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</si>
  <si>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</si>
  <si>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</si>
  <si>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</si>
  <si>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</si>
  <si>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</si>
  <si>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</si>
  <si>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</si>
  <si>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</si>
  <si>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</si>
  <si>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</si>
  <si>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</si>
  <si>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</si>
  <si>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</si>
  <si>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</si>
  <si>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</si>
  <si>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</si>
  <si>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</si>
  <si>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</si>
  <si>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</si>
  <si>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</si>
  <si>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</si>
  <si>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</si>
  <si>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</si>
  <si>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</si>
  <si>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</si>
  <si>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</si>
  <si>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</si>
  <si>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</si>
  <si>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</si>
  <si>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</si>
  <si>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</si>
  <si>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</si>
  <si>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</si>
  <si>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</si>
  <si>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</si>
  <si>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</si>
  <si>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</si>
  <si>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</si>
  <si>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</si>
  <si>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</si>
  <si>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</si>
  <si>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</si>
  <si>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</si>
  <si>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</si>
  <si>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</si>
  <si>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</si>
  <si>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</si>
  <si>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</si>
  <si>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</si>
  <si>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</si>
  <si>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</si>
  <si>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</si>
  <si>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</si>
  <si>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</si>
  <si>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</si>
  <si>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</si>
  <si>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</si>
  <si>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</si>
  <si>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</si>
  <si>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</si>
  <si>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</si>
  <si>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</si>
  <si>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</si>
  <si>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</si>
  <si>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</si>
  <si>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</si>
  <si>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</si>
  <si>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</si>
  <si>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</si>
  <si>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</si>
  <si>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</si>
  <si>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</si>
  <si>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</si>
  <si>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</si>
  <si>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</si>
  <si>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</si>
  <si>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</si>
  <si>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</si>
  <si>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</si>
  <si>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</si>
  <si>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</si>
  <si>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</si>
  <si>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</si>
  <si>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</si>
  <si>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</si>
  <si>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</si>
  <si>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</si>
  <si>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</si>
  <si>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</si>
  <si>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</si>
  <si>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</si>
  <si>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</si>
  <si>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</si>
  <si>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</si>
  <si>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</si>
  <si>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</si>
  <si>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</si>
  <si>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</si>
  <si>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</si>
  <si>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</si>
  <si>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</si>
  <si>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</si>
  <si>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</si>
  <si>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</si>
  <si>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</si>
  <si>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</si>
  <si>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</si>
  <si>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</si>
  <si>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</si>
  <si>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</si>
  <si>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</si>
  <si>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</si>
  <si>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</si>
  <si>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</si>
  <si>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</si>
  <si>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</si>
  <si>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</si>
  <si>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</si>
  <si>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</si>
  <si>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</si>
  <si>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</si>
  <si>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</si>
  <si>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</si>
  <si>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</si>
  <si>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</si>
  <si>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</si>
  <si>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</si>
  <si>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</si>
  <si>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</si>
  <si>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</si>
  <si>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</si>
  <si>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</si>
  <si>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</si>
  <si>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</si>
  <si>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</si>
  <si>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</si>
  <si>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</si>
  <si>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</si>
  <si>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</si>
  <si>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</si>
  <si>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</si>
  <si>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</si>
  <si>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</si>
  <si>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</si>
  <si>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</si>
  <si>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</si>
  <si>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</si>
  <si>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</si>
  <si>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</si>
  <si>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</si>
  <si>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</si>
  <si>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</si>
  <si>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</si>
  <si>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</si>
  <si>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</si>
  <si>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</si>
  <si>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</si>
  <si>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</si>
  <si>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</si>
  <si>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</si>
  <si>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</si>
  <si>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</si>
  <si>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</si>
  <si>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</si>
  <si>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</si>
  <si>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</si>
  <si>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</si>
  <si>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</si>
  <si>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</si>
  <si>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</si>
  <si>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</si>
  <si>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</si>
  <si>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</si>
  <si>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</si>
  <si>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</si>
  <si>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</si>
  <si>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</si>
  <si>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</si>
  <si>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</si>
  <si>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</si>
  <si>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</si>
  <si>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</si>
  <si>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</si>
  <si>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</si>
  <si>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</si>
  <si>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</si>
  <si>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</si>
  <si>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</si>
  <si>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</si>
  <si>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</si>
  <si>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</si>
  <si>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</si>
  <si>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</si>
  <si>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</si>
  <si>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</si>
  <si>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</si>
  <si>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</si>
  <si>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</si>
  <si>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</si>
  <si>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</si>
  <si>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</si>
  <si>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</si>
  <si>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</si>
  <si>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</si>
  <si>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</si>
  <si>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</si>
  <si>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</si>
  <si>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</si>
  <si>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</si>
  <si>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</si>
  <si>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</si>
  <si>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</si>
  <si>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</si>
  <si>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</si>
  <si>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</si>
  <si>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</si>
  <si>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</si>
  <si>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</si>
  <si>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</si>
  <si>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</si>
  <si>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</si>
  <si>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</si>
  <si>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</si>
  <si>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</si>
  <si>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</si>
  <si>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</si>
  <si>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</si>
  <si>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</si>
  <si>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</si>
  <si>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</si>
  <si>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</si>
  <si>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</si>
  <si>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</si>
  <si>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</si>
  <si>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</si>
  <si>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</si>
  <si>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</si>
  <si>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</si>
  <si>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</si>
  <si>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</si>
  <si>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</si>
  <si>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</si>
  <si>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</si>
  <si>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</si>
  <si>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</si>
  <si>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</si>
  <si>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</si>
  <si>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</si>
  <si>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</si>
  <si>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</si>
  <si>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</si>
  <si>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</si>
  <si>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</si>
  <si>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</si>
  <si>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</si>
  <si>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</si>
  <si>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</si>
  <si>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</si>
  <si>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</si>
  <si>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</si>
  <si>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</si>
  <si>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</si>
  <si>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</si>
  <si>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</si>
  <si>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</si>
  <si>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</si>
  <si>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</si>
  <si>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</si>
  <si>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</si>
  <si>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</si>
  <si>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</si>
  <si>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</si>
  <si>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</si>
  <si>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</si>
  <si>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</si>
  <si>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</si>
  <si>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</si>
  <si>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</si>
  <si>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</si>
  <si>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</si>
  <si>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</si>
  <si>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</si>
  <si>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</si>
  <si>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</si>
  <si>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</si>
  <si>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</si>
  <si>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</si>
  <si>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</si>
  <si>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</si>
  <si>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</si>
  <si>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</si>
  <si>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</si>
  <si>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</si>
  <si>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</si>
  <si>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</si>
  <si>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</si>
  <si>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</si>
  <si>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</si>
  <si>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</si>
  <si>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</si>
  <si>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</si>
  <si>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</si>
  <si>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</si>
  <si>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</si>
  <si>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</si>
  <si>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</si>
  <si>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</si>
  <si>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</si>
  <si>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</si>
  <si>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</si>
  <si>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</si>
  <si>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</si>
  <si>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</si>
  <si>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</si>
  <si>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</si>
  <si>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</si>
  <si>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</si>
  <si>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</si>
  <si>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</si>
  <si>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</si>
  <si>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</si>
  <si>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</si>
  <si>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</si>
  <si>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</si>
  <si>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</si>
  <si>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</si>
  <si>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</si>
  <si>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</si>
  <si>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</si>
  <si>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</si>
  <si>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</si>
  <si>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</si>
  <si>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</si>
  <si>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</si>
  <si>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</si>
  <si>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</si>
  <si>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</si>
  <si>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</si>
  <si>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</si>
  <si>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</si>
  <si>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</si>
  <si>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</si>
  <si>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</si>
  <si>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</si>
  <si>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</si>
  <si>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</si>
  <si>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</si>
  <si>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</si>
  <si>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</si>
  <si>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</si>
  <si>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</si>
  <si>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</si>
  <si>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</si>
  <si>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</si>
  <si>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</si>
  <si>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</si>
  <si>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</si>
  <si>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</si>
  <si>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</si>
  <si>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</si>
  <si>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</si>
  <si>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</si>
  <si>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</si>
  <si>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</si>
  <si>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</si>
  <si>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</si>
  <si>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</si>
  <si>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</si>
  <si>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</si>
  <si>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</si>
  <si>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</si>
  <si>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</si>
  <si>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</si>
  <si>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</si>
  <si>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</si>
  <si>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</si>
  <si>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</si>
  <si>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</si>
  <si>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</si>
  <si>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</si>
  <si>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</si>
  <si>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</si>
  <si>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</si>
  <si>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</si>
  <si>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</si>
  <si>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</si>
  <si>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</si>
  <si>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</si>
  <si>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</si>
  <si>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</si>
  <si>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</si>
  <si>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</si>
  <si>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</si>
  <si>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</si>
  <si>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</si>
  <si>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</si>
  <si>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</si>
  <si>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</si>
  <si>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</si>
  <si>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</si>
  <si>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</si>
  <si>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</si>
  <si>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</si>
  <si>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</si>
  <si>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</si>
  <si>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</si>
  <si>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</si>
  <si>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</si>
  <si>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</si>
  <si>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</si>
  <si>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</si>
  <si>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</si>
  <si>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</si>
  <si>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</si>
  <si>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</si>
  <si>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</si>
  <si>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</si>
  <si>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</si>
  <si>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</si>
  <si>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</si>
  <si>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</si>
  <si>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</si>
  <si>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</si>
  <si>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</si>
  <si>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</si>
  <si>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</si>
  <si>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</si>
  <si>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</si>
  <si>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</si>
  <si>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</si>
  <si>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</si>
  <si>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</si>
  <si>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</si>
  <si>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</si>
  <si>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</si>
  <si>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</si>
  <si>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</si>
  <si>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</si>
  <si>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</si>
  <si>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</si>
  <si>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</si>
  <si>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</si>
  <si>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</si>
  <si>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</si>
  <si>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</si>
  <si>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</si>
  <si>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</si>
  <si>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</si>
  <si>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</si>
  <si>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</si>
  <si>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</si>
  <si>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</si>
  <si>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</si>
  <si>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</si>
  <si>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</si>
  <si>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</si>
  <si>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</si>
  <si>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</si>
  <si>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</si>
  <si>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</si>
  <si>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</si>
  <si>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</si>
  <si>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</si>
  <si>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</si>
  <si>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</si>
  <si>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</si>
  <si>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</si>
  <si>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</si>
  <si>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</si>
  <si>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</si>
  <si>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</si>
  <si>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</si>
  <si>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</si>
  <si>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</si>
  <si>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</si>
  <si>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</si>
  <si>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</si>
  <si>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</si>
  <si>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</si>
  <si>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</si>
  <si>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</si>
  <si>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</si>
  <si>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</si>
  <si>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</si>
  <si>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</si>
  <si>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</si>
  <si>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</si>
  <si>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</si>
  <si>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</si>
  <si>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</si>
  <si>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</si>
  <si>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</si>
  <si>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</si>
  <si>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</si>
  <si>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</si>
  <si>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</si>
  <si>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</si>
  <si>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</si>
  <si>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</si>
  <si>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</si>
  <si>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</si>
  <si>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</si>
  <si>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</si>
  <si>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</si>
  <si>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</si>
  <si>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</si>
  <si>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</si>
  <si>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</si>
  <si>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</si>
  <si>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</si>
  <si>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</si>
  <si>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</si>
  <si>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</si>
  <si>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</si>
  <si>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</si>
  <si>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</si>
  <si>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</si>
  <si>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</si>
  <si>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</si>
  <si>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</si>
  <si>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</si>
  <si>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</si>
  <si>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</si>
  <si>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</si>
  <si>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</si>
  <si>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</si>
  <si>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</si>
  <si>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</si>
  <si>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</si>
  <si>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</si>
  <si>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</si>
  <si>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</si>
  <si>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</si>
  <si>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</si>
  <si>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</si>
  <si>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</si>
  <si>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</si>
  <si>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</si>
  <si>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</si>
  <si>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</si>
  <si>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</si>
  <si>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</si>
  <si>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</si>
  <si>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</si>
  <si>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</si>
  <si>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</si>
  <si>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</si>
  <si>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</si>
  <si>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</si>
  <si>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</si>
  <si>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</si>
  <si>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</si>
  <si>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</si>
  <si>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</si>
  <si>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</si>
  <si>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</si>
  <si>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</si>
  <si>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</si>
  <si>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</si>
  <si>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</si>
  <si>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</si>
  <si>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</si>
  <si>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</si>
  <si>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</si>
  <si>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</si>
  <si>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</si>
  <si>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</si>
  <si>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</si>
  <si>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</si>
  <si>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</si>
  <si>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</si>
  <si>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</si>
  <si>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</si>
  <si>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</si>
  <si>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</si>
  <si>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</si>
  <si>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</si>
  <si>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</si>
  <si>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</si>
  <si>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</si>
  <si>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</si>
  <si>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</si>
  <si>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</si>
  <si>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</si>
  <si>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</si>
  <si>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</si>
  <si>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</si>
  <si>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</si>
  <si>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</si>
  <si>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</si>
  <si>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</si>
  <si>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</si>
  <si>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</si>
  <si>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</si>
  <si>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</si>
  <si>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</si>
  <si>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</si>
  <si>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</si>
  <si>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</si>
  <si>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</si>
  <si>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</si>
  <si>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</si>
  <si>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</si>
  <si>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</si>
  <si>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</si>
  <si>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</si>
  <si>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</si>
  <si>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</si>
  <si>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</si>
  <si>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</si>
  <si>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</si>
  <si>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</si>
  <si>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</si>
  <si>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</si>
  <si>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</si>
  <si>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</si>
  <si>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</si>
  <si>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</si>
  <si>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</si>
  <si>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</si>
  <si>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</si>
  <si>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</si>
  <si>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</si>
  <si>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</si>
  <si>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</si>
  <si>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</si>
  <si>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</si>
  <si>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</si>
  <si>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</si>
  <si>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</si>
  <si>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</si>
  <si>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</si>
  <si>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</si>
  <si>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</si>
  <si>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</si>
  <si>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</si>
  <si>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</si>
  <si>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</si>
  <si>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</si>
  <si>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</si>
  <si>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</si>
  <si>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</si>
  <si>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</si>
  <si>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</si>
  <si>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</si>
  <si>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</si>
  <si>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</si>
  <si>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</si>
  <si>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</si>
  <si>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</si>
  <si>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</si>
  <si>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</si>
  <si>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</si>
  <si>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</si>
  <si>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</si>
  <si>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</si>
  <si>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</si>
  <si>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</si>
  <si>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</si>
  <si>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</si>
  <si>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</si>
  <si>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</si>
  <si>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</si>
  <si>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</si>
  <si>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</si>
  <si>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</si>
  <si>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</si>
  <si>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</si>
  <si>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</si>
  <si>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</si>
  <si>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</si>
  <si>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</si>
  <si>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</si>
  <si>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</si>
  <si>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</si>
  <si>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</si>
  <si>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</si>
  <si>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</si>
  <si>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</si>
  <si>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</si>
  <si>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</si>
  <si>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</si>
  <si>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</si>
  <si>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</si>
  <si>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</si>
  <si>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</si>
  <si>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</si>
  <si>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</si>
  <si>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</si>
  <si>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</si>
  <si>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</si>
  <si>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</si>
  <si>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</si>
  <si>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</si>
  <si>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</si>
  <si>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</si>
  <si>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</si>
  <si>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</si>
  <si>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</si>
  <si>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</si>
  <si>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</si>
  <si>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</si>
  <si>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</si>
  <si>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</si>
  <si>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</si>
  <si>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</si>
  <si>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</si>
  <si>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</si>
  <si>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</si>
  <si>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</si>
  <si>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</si>
  <si>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</si>
  <si>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</si>
  <si>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</si>
  <si>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</si>
  <si>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</si>
  <si>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</si>
  <si>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</si>
  <si>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</si>
  <si>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</si>
  <si>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</si>
  <si>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</si>
  <si>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</si>
  <si>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</si>
  <si>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</si>
  <si>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</si>
  <si>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</si>
  <si>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</si>
  <si>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</si>
  <si>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</si>
  <si>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</si>
  <si>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</si>
  <si>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</si>
  <si>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</si>
  <si>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</si>
  <si>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</si>
  <si>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</si>
  <si>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</si>
  <si>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</si>
  <si>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</si>
  <si>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</si>
  <si>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</si>
  <si>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</si>
  <si>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</si>
  <si>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</si>
  <si>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</si>
  <si>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</si>
  <si>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</si>
  <si>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</si>
  <si>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</si>
  <si>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</si>
  <si>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</si>
  <si>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</si>
  <si>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</si>
  <si>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</si>
  <si>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</si>
  <si>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</si>
  <si>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</si>
  <si>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</si>
  <si>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</si>
  <si>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</si>
  <si>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</si>
  <si>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</si>
  <si>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</si>
  <si>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</si>
  <si>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</si>
  <si>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</si>
  <si>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</si>
  <si>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</si>
  <si>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</si>
  <si>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</si>
  <si>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</si>
  <si>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</si>
  <si>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</si>
  <si>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</si>
  <si>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</si>
  <si>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</si>
  <si>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</si>
  <si>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</si>
  <si>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</si>
  <si>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</si>
  <si>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</si>
  <si>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</si>
  <si>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</si>
  <si>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</si>
  <si>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</si>
  <si>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</si>
  <si>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</si>
  <si>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</si>
  <si>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</si>
  <si>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</si>
  <si>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</si>
  <si>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</si>
  <si>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</si>
  <si>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</si>
  <si>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</si>
  <si>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</si>
  <si>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</si>
  <si>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</si>
  <si>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</si>
  <si>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</si>
  <si>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</si>
  <si>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</si>
  <si>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</si>
  <si>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</si>
  <si>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</si>
  <si>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</si>
  <si>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</si>
  <si>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</si>
  <si>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</si>
  <si>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</si>
  <si>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</si>
  <si>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</si>
  <si>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</si>
  <si>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</si>
  <si>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</si>
  <si>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</si>
  <si>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</si>
  <si>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</si>
  <si>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</si>
  <si>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</si>
  <si>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</si>
  <si>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</si>
  <si>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</si>
  <si>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</si>
  <si>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</si>
  <si>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</si>
  <si>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</si>
  <si>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</si>
  <si>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</si>
  <si>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</si>
  <si>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</si>
  <si>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</si>
  <si>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</si>
  <si>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</si>
  <si>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</si>
  <si>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</si>
  <si>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</si>
  <si>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</si>
  <si>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</si>
  <si>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</si>
  <si>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</si>
  <si>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</si>
  <si>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</si>
  <si>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</si>
  <si>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</si>
  <si>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</si>
  <si>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</si>
  <si>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</si>
  <si>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</si>
  <si>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</si>
  <si>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</si>
  <si>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</si>
  <si>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</si>
  <si>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</si>
  <si>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</si>
  <si>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</si>
  <si>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</si>
  <si>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</si>
  <si>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</si>
  <si>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</si>
  <si>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</si>
  <si>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</si>
  <si>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</si>
  <si>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</si>
  <si>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</si>
  <si>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</si>
  <si>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</si>
  <si>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</si>
  <si>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</si>
  <si>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</si>
  <si>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</si>
  <si>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</si>
  <si>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</si>
  <si>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</si>
  <si>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</si>
  <si>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</si>
  <si>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</si>
  <si>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</si>
  <si>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</si>
  <si>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</si>
  <si>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</si>
  <si>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</si>
  <si>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</si>
  <si>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</si>
  <si>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</si>
  <si>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</si>
  <si>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</si>
  <si>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</si>
  <si>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</si>
  <si>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</si>
  <si>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</si>
  <si>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</si>
  <si>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</si>
  <si>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</si>
  <si>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</si>
  <si>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</si>
  <si>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</si>
  <si>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</si>
  <si>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</si>
  <si>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</si>
  <si>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</si>
  <si>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</si>
  <si>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</si>
  <si>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</si>
  <si>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</si>
  <si>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</si>
  <si>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</si>
  <si>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</si>
  <si>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</si>
  <si>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</si>
  <si>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</si>
  <si>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</si>
  <si>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</si>
  <si>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</si>
  <si>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</si>
  <si>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</si>
  <si>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</si>
  <si>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</si>
  <si>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</si>
  <si>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</si>
  <si>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</si>
  <si>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</si>
  <si>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</si>
  <si>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</si>
  <si>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</si>
  <si>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</si>
  <si>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</si>
  <si>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</si>
  <si>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</si>
  <si>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</si>
  <si>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</si>
  <si>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</si>
  <si>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</si>
  <si>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</si>
  <si>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</si>
  <si>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</si>
  <si>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</si>
  <si>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</si>
  <si>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</si>
  <si>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</si>
  <si>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</si>
  <si>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</si>
  <si>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</si>
  <si>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</si>
  <si>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</si>
  <si>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</si>
  <si>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</si>
  <si>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</si>
  <si>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</si>
  <si>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</si>
  <si>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</si>
  <si>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</si>
  <si>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</si>
  <si>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</si>
  <si>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</si>
  <si>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</si>
  <si>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</si>
  <si>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</si>
  <si>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</si>
  <si>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</si>
  <si>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</si>
  <si>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</si>
  <si>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</si>
  <si>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</si>
  <si>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</si>
  <si>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</si>
  <si>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</si>
  <si>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</si>
  <si>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</si>
  <si>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</si>
  <si>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</si>
  <si>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</si>
  <si>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</si>
  <si>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</si>
  <si>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</si>
  <si>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</si>
  <si>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</si>
  <si>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</si>
  <si>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</si>
  <si>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</si>
  <si>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</si>
  <si>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</si>
  <si>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</si>
  <si>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</si>
  <si>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</si>
  <si>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</si>
  <si>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</si>
  <si>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</si>
  <si>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</si>
  <si>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</si>
  <si>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</si>
  <si>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</si>
  <si>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</si>
  <si>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</si>
  <si>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</si>
  <si>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</si>
  <si>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</si>
  <si>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</si>
  <si>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</si>
  <si>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</si>
  <si>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</si>
  <si>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</si>
  <si>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</si>
  <si>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</si>
  <si>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</si>
  <si>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</si>
  <si>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</si>
  <si>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</si>
  <si>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</si>
  <si>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</si>
  <si>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</si>
  <si>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</si>
  <si>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</si>
  <si>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</si>
  <si>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</si>
  <si>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</si>
  <si>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</si>
  <si>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</si>
  <si>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</si>
  <si>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</si>
  <si>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</si>
  <si>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</si>
  <si>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</si>
  <si>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</si>
  <si>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</si>
  <si>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</si>
  <si>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</si>
  <si>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</si>
  <si>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</si>
  <si>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</si>
  <si>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</si>
  <si>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</si>
  <si>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</si>
  <si>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</si>
  <si>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</si>
  <si>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</si>
  <si>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</si>
  <si>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</si>
  <si>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</si>
  <si>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</si>
  <si>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</si>
  <si>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</si>
  <si>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</si>
  <si>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</si>
  <si>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</si>
  <si>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</si>
  <si>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</si>
  <si>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</si>
  <si>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</si>
  <si>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</si>
  <si>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</si>
  <si>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</si>
  <si>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</si>
  <si>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</si>
  <si>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</si>
  <si>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</si>
  <si>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</si>
  <si>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</si>
  <si>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</si>
  <si>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</si>
  <si>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</si>
  <si>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</si>
  <si>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</si>
  <si>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</si>
  <si>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</si>
  <si>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</si>
  <si>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</si>
  <si>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</si>
  <si>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</si>
  <si>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</si>
  <si>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</si>
  <si>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</si>
  <si>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</si>
  <si>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</si>
  <si>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</si>
  <si>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</si>
  <si>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</si>
  <si>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</si>
  <si>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</si>
  <si>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</si>
  <si>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</si>
  <si>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</si>
  <si>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</si>
  <si>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</si>
  <si>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</si>
  <si>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</si>
  <si>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</si>
  <si>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</si>
  <si>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</si>
  <si>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</si>
  <si>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</si>
  <si>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</si>
  <si>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</si>
  <si>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</si>
  <si>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</si>
  <si>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</si>
  <si>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</si>
  <si>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</si>
  <si>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</si>
  <si>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</si>
  <si>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</si>
  <si>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</si>
  <si>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</si>
  <si>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</si>
  <si>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</si>
  <si>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</si>
  <si>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</si>
  <si>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</si>
  <si>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</si>
  <si>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</si>
  <si>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</si>
  <si>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</si>
  <si>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</si>
  <si>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</si>
  <si>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</si>
  <si>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</si>
  <si>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</si>
  <si>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</si>
  <si>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</si>
  <si>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</si>
  <si>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</si>
  <si>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</si>
  <si>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</si>
  <si>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</si>
  <si>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</si>
  <si>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</si>
  <si>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</si>
  <si>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</si>
  <si>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</si>
  <si>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</si>
  <si>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</si>
  <si>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</si>
  <si>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</si>
  <si>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</si>
  <si>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</si>
  <si>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</si>
  <si>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</si>
  <si>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</si>
  <si>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</si>
  <si>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</si>
  <si>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</si>
  <si>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</si>
  <si>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</si>
  <si>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</si>
  <si>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</si>
  <si>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</si>
  <si>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</si>
  <si>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</si>
  <si>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</si>
  <si>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</si>
  <si>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</si>
  <si>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</si>
  <si>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</si>
  <si>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</si>
  <si>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</si>
  <si>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</si>
  <si>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</si>
  <si>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</si>
  <si>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</si>
  <si>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</si>
  <si>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</si>
  <si>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</si>
  <si>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</si>
  <si>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</si>
  <si>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</si>
  <si>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</si>
  <si>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</si>
  <si>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</si>
  <si>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</si>
  <si>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</si>
  <si>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</si>
  <si>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</si>
  <si>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</si>
  <si>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</si>
  <si>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</si>
  <si>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</si>
  <si>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</si>
  <si>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</si>
  <si>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</si>
  <si>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</si>
  <si>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</si>
  <si>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</si>
  <si>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</si>
  <si>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</si>
  <si>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</si>
  <si>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</si>
  <si>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</si>
  <si>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</si>
  <si>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</si>
  <si>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</si>
  <si>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</si>
  <si>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</si>
  <si>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</si>
  <si>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</si>
  <si>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</si>
  <si>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</si>
  <si>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</si>
  <si>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</si>
  <si>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</si>
  <si>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</si>
  <si>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</si>
  <si>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</si>
  <si>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</si>
  <si>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</si>
  <si>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</si>
  <si>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</si>
  <si>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</si>
  <si>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</si>
  <si>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</si>
  <si>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</si>
  <si>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</si>
  <si>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</si>
  <si>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</si>
  <si>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</si>
  <si>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</si>
  <si>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</si>
  <si>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</si>
  <si>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</si>
  <si>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</si>
  <si>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</si>
  <si>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</si>
  <si>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</si>
  <si>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</si>
  <si>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</si>
  <si>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</si>
  <si>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</si>
  <si>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</si>
  <si>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</si>
  <si>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</si>
  <si>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</si>
  <si>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</si>
  <si>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</si>
  <si>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</si>
  <si>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</si>
  <si>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</si>
  <si>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</si>
  <si>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</si>
  <si>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</si>
  <si>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</si>
  <si>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</si>
  <si>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</si>
  <si>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</si>
  <si>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</si>
  <si>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</si>
  <si>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</si>
  <si>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</si>
  <si>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</si>
  <si>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</si>
  <si>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</si>
  <si>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</si>
  <si>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</si>
  <si>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</si>
  <si>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</si>
  <si>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</si>
  <si>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</si>
  <si>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</si>
  <si>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</si>
  <si>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</si>
  <si>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</si>
  <si>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</si>
  <si>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</si>
  <si>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</si>
  <si>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</si>
  <si>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</si>
  <si>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</si>
  <si>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</si>
  <si>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</si>
  <si>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</si>
  <si>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</si>
  <si>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</si>
  <si>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</si>
  <si>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</si>
  <si>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</si>
  <si>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</si>
  <si>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</si>
  <si>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</si>
  <si>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</si>
  <si>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</si>
  <si>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</si>
  <si>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</si>
  <si>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</si>
  <si>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</si>
  <si>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</si>
  <si>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</si>
  <si>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</si>
  <si>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</si>
  <si>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</si>
  <si>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</si>
  <si>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</si>
  <si>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</si>
  <si>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</si>
  <si>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</si>
  <si>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</si>
  <si>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</si>
  <si>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</si>
  <si>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</si>
  <si>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</si>
  <si>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</si>
  <si>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</si>
  <si>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</si>
  <si>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</si>
  <si>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</si>
  <si>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</si>
  <si>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</si>
  <si>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</si>
  <si>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</si>
  <si>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</si>
  <si>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</si>
  <si>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</si>
  <si>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</si>
  <si>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</si>
  <si>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</si>
  <si>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</si>
  <si>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</si>
  <si>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</si>
  <si>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</si>
  <si>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</si>
  <si>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</si>
  <si>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</si>
  <si>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</si>
  <si>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</si>
  <si>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</si>
  <si>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</si>
  <si>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</si>
  <si>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</si>
  <si>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</si>
  <si>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</si>
  <si>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</si>
  <si>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</si>
  <si>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</si>
  <si>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</si>
  <si>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</si>
  <si>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</si>
  <si>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</si>
  <si>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</si>
  <si>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</si>
  <si>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</si>
  <si>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</si>
  <si>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</si>
  <si>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</si>
  <si>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</si>
  <si>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</si>
  <si>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</si>
  <si>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</si>
  <si>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</si>
  <si>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</si>
  <si>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</si>
  <si>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</si>
  <si>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</si>
  <si>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</si>
  <si>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</si>
  <si>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</si>
  <si>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</si>
  <si>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</si>
  <si>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</si>
  <si>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</si>
  <si>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</si>
  <si>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</si>
  <si>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</si>
  <si>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</si>
  <si>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</si>
  <si>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</si>
  <si>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</si>
  <si>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</si>
  <si>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</si>
  <si>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</si>
  <si>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</si>
  <si>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</si>
  <si>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</si>
  <si>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</si>
  <si>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</si>
  <si>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</si>
  <si>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</si>
  <si>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</si>
  <si>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</si>
  <si>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</si>
  <si>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</si>
  <si>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</si>
  <si>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</si>
  <si>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</si>
  <si>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</si>
  <si>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</si>
  <si>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</si>
  <si>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</si>
  <si>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</si>
  <si>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</si>
  <si>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</si>
  <si>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</si>
  <si>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</si>
  <si>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</si>
  <si>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</si>
  <si>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</si>
  <si>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</si>
  <si>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</si>
  <si>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</si>
  <si>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</si>
  <si>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</si>
  <si>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</si>
  <si>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</si>
  <si>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</si>
  <si>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</si>
  <si>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</si>
  <si>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</si>
  <si>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</si>
  <si>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</si>
  <si>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</si>
  <si>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</si>
  <si>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</si>
  <si>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</si>
  <si>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</si>
  <si>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</si>
  <si>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</si>
  <si>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</si>
  <si>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</si>
  <si>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</si>
  <si>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</si>
  <si>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</si>
  <si>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</si>
  <si>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</si>
  <si>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</si>
  <si>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</si>
  <si>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</si>
  <si>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</si>
  <si>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</si>
  <si>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</si>
  <si>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</si>
  <si>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</si>
  <si>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</si>
  <si>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</si>
  <si>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</si>
  <si>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</si>
  <si>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</si>
  <si>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</si>
  <si>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</si>
  <si>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</si>
  <si>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</si>
  <si>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</si>
  <si>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</si>
  <si>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</si>
  <si>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</si>
  <si>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</si>
  <si>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</si>
  <si>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</si>
  <si>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</si>
  <si>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</si>
  <si>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</si>
  <si>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</si>
  <si>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</si>
  <si>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</si>
  <si>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</si>
  <si>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</si>
  <si>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</si>
  <si>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</si>
  <si>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</si>
  <si>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</si>
  <si>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</si>
  <si>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</si>
  <si>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</si>
  <si>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</si>
  <si>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</si>
  <si>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</si>
  <si>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</si>
  <si>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</si>
  <si>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</si>
  <si>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</si>
  <si>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</si>
  <si>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</si>
  <si>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</si>
  <si>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</si>
  <si>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</si>
  <si>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</si>
  <si>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</si>
  <si>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</si>
  <si>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</si>
  <si>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</si>
  <si>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</si>
  <si>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</si>
  <si>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</si>
  <si>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</si>
  <si>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</si>
  <si>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</si>
  <si>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</si>
  <si>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</si>
  <si>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</si>
  <si>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</si>
  <si>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</si>
  <si>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</si>
  <si>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</si>
  <si>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</si>
  <si>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</si>
  <si>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</si>
  <si>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</si>
  <si>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</si>
  <si>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</si>
  <si>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</si>
  <si>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</si>
  <si>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</si>
  <si>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</si>
  <si>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</si>
  <si>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</si>
  <si>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</si>
  <si>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</si>
  <si>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</si>
  <si>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</si>
  <si>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</si>
  <si>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</si>
  <si>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</si>
  <si>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</si>
  <si>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</si>
  <si>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</si>
  <si>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</si>
  <si>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</si>
  <si>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</si>
  <si>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</si>
  <si>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</si>
  <si>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</si>
  <si>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</si>
  <si>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</si>
  <si>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</si>
  <si>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</si>
  <si>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</si>
  <si>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</si>
  <si>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</si>
  <si>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</si>
  <si>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</si>
  <si>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</si>
  <si>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</si>
  <si>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</si>
  <si>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</si>
  <si>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</si>
  <si>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</si>
  <si>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</si>
  <si>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</si>
  <si>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</si>
  <si>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</si>
  <si>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</si>
  <si>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</si>
  <si>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</si>
  <si>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</si>
  <si>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</si>
  <si>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</si>
  <si>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</si>
  <si>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</si>
  <si>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</si>
  <si>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</si>
  <si>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</si>
  <si>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</si>
  <si>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</si>
  <si>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</si>
  <si>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</si>
  <si>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</si>
  <si>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</si>
  <si>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</si>
  <si>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</si>
  <si>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</si>
  <si>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</si>
  <si>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</si>
  <si>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</si>
  <si>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</si>
  <si>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</si>
  <si>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</si>
  <si>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</si>
  <si>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</si>
  <si>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</si>
  <si>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</si>
  <si>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</si>
  <si>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</si>
  <si>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</si>
  <si>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</si>
  <si>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</si>
  <si>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</si>
  <si>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</si>
  <si>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</si>
  <si>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</si>
  <si>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</si>
  <si>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</si>
  <si>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</si>
  <si>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</si>
  <si>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</si>
  <si>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</si>
  <si>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</si>
  <si>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</si>
  <si>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</si>
  <si>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</si>
  <si>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</si>
  <si>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</si>
  <si>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</si>
  <si>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</si>
  <si>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</si>
  <si>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</si>
  <si>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</si>
  <si>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</si>
  <si>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</si>
  <si>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</si>
  <si>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</si>
  <si>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</si>
  <si>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</si>
  <si>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</si>
  <si>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</si>
  <si>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</si>
  <si>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</si>
  <si>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</si>
  <si>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</si>
  <si>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</si>
  <si>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</si>
  <si>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</si>
  <si>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</si>
  <si>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</si>
  <si>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</si>
  <si>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</si>
  <si>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</si>
  <si>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</si>
  <si>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</si>
  <si>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</si>
  <si>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</si>
  <si>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</si>
  <si>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</si>
  <si>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</si>
  <si>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</si>
  <si>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</si>
  <si>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</si>
  <si>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</si>
  <si>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</si>
  <si>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</si>
  <si>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</si>
  <si>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</si>
  <si>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</si>
  <si>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</si>
  <si>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</si>
  <si>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</si>
  <si>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</si>
  <si>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</si>
  <si>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</si>
  <si>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</si>
  <si>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</si>
  <si>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</si>
  <si>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</si>
  <si>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</si>
  <si>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</si>
  <si>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</si>
  <si>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</si>
  <si>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</si>
  <si>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</si>
  <si>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</si>
  <si>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</si>
  <si>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</si>
  <si>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</si>
  <si>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</si>
  <si>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</si>
  <si>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</si>
  <si>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</si>
  <si>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</si>
  <si>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</si>
  <si>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</si>
  <si>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</si>
  <si>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</si>
  <si>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</si>
  <si>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</si>
  <si>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</si>
  <si>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</si>
  <si>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</si>
  <si>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</si>
  <si>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</si>
  <si>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</si>
  <si>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</si>
  <si>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</si>
  <si>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</si>
  <si>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</si>
  <si>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</si>
  <si>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</si>
  <si>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</si>
  <si>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</si>
  <si>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</si>
  <si>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</si>
  <si>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</si>
  <si>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</si>
  <si>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</si>
  <si>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</si>
  <si>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</si>
  <si>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</si>
  <si>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</si>
  <si>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</si>
  <si>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</si>
  <si>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</si>
  <si>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</si>
  <si>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</si>
  <si>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</si>
  <si>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</si>
  <si>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</si>
  <si>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</si>
  <si>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</si>
  <si>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</si>
  <si>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</si>
  <si>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</si>
  <si>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</si>
  <si>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</si>
  <si>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</si>
  <si>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</si>
  <si>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</si>
  <si>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</si>
  <si>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</si>
  <si>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</si>
  <si>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</si>
  <si>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</si>
  <si>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</si>
  <si>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</si>
  <si>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</si>
  <si>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</si>
  <si>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</si>
  <si>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</si>
  <si>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</si>
  <si>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</si>
  <si>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</si>
  <si>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</si>
  <si>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</si>
  <si>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</si>
  <si>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</si>
  <si>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</si>
  <si>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</si>
  <si>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</si>
  <si>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</si>
  <si>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</si>
  <si>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</si>
  <si>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</si>
  <si>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</si>
  <si>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</si>
  <si>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</si>
  <si>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</si>
  <si>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</si>
  <si>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</si>
  <si>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</si>
  <si>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</si>
  <si>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</si>
  <si>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</si>
  <si>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</si>
  <si>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</si>
  <si>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</si>
  <si>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</si>
  <si>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</si>
  <si>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</si>
  <si>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</si>
  <si>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</si>
  <si>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</si>
  <si>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</si>
  <si>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</si>
  <si>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</si>
  <si>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</si>
  <si>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</si>
  <si>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</si>
  <si>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</si>
  <si>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</si>
  <si>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</si>
  <si>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</si>
  <si>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</si>
  <si>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</si>
  <si>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</si>
  <si>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</si>
  <si>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</si>
  <si>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</si>
  <si>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</si>
  <si>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</si>
  <si>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</si>
  <si>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</si>
  <si>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</si>
  <si>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</si>
  <si>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</si>
  <si>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</si>
  <si>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</si>
  <si>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</si>
  <si>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</si>
  <si>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</si>
  <si>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</si>
  <si>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</si>
  <si>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</si>
  <si>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</si>
  <si>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</si>
  <si>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</si>
  <si>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</si>
  <si>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</si>
  <si>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</si>
  <si>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</si>
  <si>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</si>
  <si>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</si>
  <si>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</si>
  <si>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</si>
  <si>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</si>
  <si>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</si>
  <si>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</si>
  <si>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</si>
  <si>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</si>
  <si>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</si>
  <si>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</si>
  <si>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</si>
  <si>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</si>
  <si>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</si>
  <si>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</si>
  <si>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</si>
  <si>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</si>
  <si>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</si>
  <si>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</si>
  <si>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</si>
  <si>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</si>
  <si>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</si>
  <si>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</si>
  <si>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</si>
  <si>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</si>
  <si>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</si>
  <si>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</si>
  <si>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</si>
  <si>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</si>
  <si>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</si>
  <si>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</si>
  <si>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</si>
  <si>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</si>
  <si>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</si>
  <si>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</si>
  <si>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</si>
  <si>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</si>
  <si>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</si>
  <si>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</si>
  <si>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</si>
  <si>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</si>
  <si>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</si>
  <si>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</si>
  <si>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</si>
  <si>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</si>
  <si>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</si>
  <si>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</si>
  <si>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</si>
  <si>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</si>
  <si>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</si>
  <si>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</si>
  <si>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</si>
  <si>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</si>
  <si>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</si>
  <si>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</si>
  <si>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</si>
  <si>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</si>
  <si>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</si>
  <si>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</si>
  <si>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</si>
  <si>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</si>
  <si>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</si>
  <si>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</si>
  <si>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</si>
  <si>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</si>
  <si>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</si>
  <si>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</si>
  <si>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</si>
  <si>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</si>
  <si>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</si>
  <si>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</si>
  <si>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</si>
  <si>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</si>
  <si>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</si>
  <si>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</si>
  <si>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</si>
  <si>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</si>
  <si>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</si>
  <si>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</si>
  <si>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</si>
  <si>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</si>
  <si>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</si>
  <si>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</si>
  <si>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</si>
  <si>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</si>
  <si>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</si>
  <si>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</si>
  <si>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</si>
  <si>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</si>
  <si>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</si>
  <si>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</si>
  <si>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</si>
  <si>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</si>
  <si>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</si>
  <si>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</si>
  <si>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</si>
  <si>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</si>
  <si>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</si>
  <si>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</si>
  <si>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</si>
  <si>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</si>
  <si>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</si>
  <si>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</si>
  <si>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</si>
  <si>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</si>
  <si>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</si>
  <si>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</si>
  <si>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</si>
  <si>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</si>
  <si>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</si>
  <si>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</si>
  <si>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</si>
  <si>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</si>
  <si>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</si>
  <si>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</si>
  <si>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</si>
  <si>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</si>
  <si>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</si>
  <si>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</si>
  <si>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</si>
  <si>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</si>
  <si>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</si>
  <si>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</si>
  <si>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</si>
  <si>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</si>
  <si>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</si>
  <si>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</si>
  <si>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</si>
  <si>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</si>
  <si>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</si>
  <si>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</si>
  <si>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</si>
  <si>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</si>
  <si>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</si>
  <si>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</si>
  <si>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</si>
  <si>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</si>
  <si>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</si>
  <si>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</si>
  <si>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</si>
  <si>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</si>
  <si>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</si>
  <si>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</si>
  <si>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</si>
  <si>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</si>
  <si>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</si>
  <si>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</si>
  <si>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</si>
  <si>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</si>
  <si>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</si>
  <si>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</si>
  <si>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</si>
  <si>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</si>
  <si>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</si>
  <si>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</si>
  <si>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</si>
  <si>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</si>
  <si>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</si>
  <si>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</si>
  <si>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</si>
  <si>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</si>
  <si>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</si>
  <si>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</si>
  <si>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</si>
  <si>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</si>
  <si>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</si>
  <si>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</si>
  <si>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</si>
  <si>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</si>
  <si>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</si>
  <si>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</si>
  <si>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</si>
  <si>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</si>
  <si>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</si>
  <si>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</si>
  <si>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</si>
  <si>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</si>
  <si>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</si>
  <si>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</si>
  <si>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</si>
  <si>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</si>
  <si>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</si>
  <si>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</si>
  <si>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</si>
  <si>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</si>
  <si>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</si>
  <si>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</si>
  <si>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</si>
  <si>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</si>
  <si>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</si>
  <si>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</si>
  <si>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</si>
  <si>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</si>
  <si>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</si>
  <si>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</si>
  <si>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</si>
  <si>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</si>
  <si>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</si>
  <si>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</si>
  <si>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</si>
  <si>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</si>
  <si>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</si>
  <si>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</si>
  <si>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</si>
  <si>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</si>
  <si>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</si>
  <si>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</si>
  <si>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</si>
  <si>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</si>
  <si>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</si>
  <si>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</si>
  <si>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</si>
  <si>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</si>
  <si>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</si>
  <si>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</si>
  <si>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</si>
  <si>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</si>
  <si>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</si>
  <si>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</si>
  <si>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</si>
  <si>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</si>
  <si>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</si>
  <si>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</si>
  <si>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</si>
  <si>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</si>
  <si>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</si>
  <si>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</si>
  <si>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</si>
  <si>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</si>
  <si>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</si>
  <si>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</si>
  <si>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</si>
  <si>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</si>
  <si>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</si>
  <si>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</si>
  <si>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</si>
  <si>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</si>
  <si>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</si>
  <si>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</si>
  <si>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</si>
  <si>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</si>
  <si>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</si>
  <si>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</si>
  <si>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</si>
  <si>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</si>
  <si>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</si>
  <si>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</si>
  <si>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</si>
  <si>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</si>
  <si>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</si>
  <si>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</si>
  <si>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</si>
  <si>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</si>
  <si>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</si>
  <si>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</si>
  <si>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</si>
  <si>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</si>
  <si>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</si>
  <si>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</si>
  <si>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</si>
  <si>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</si>
  <si>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</si>
  <si>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</si>
  <si>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</si>
  <si>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</si>
  <si>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</si>
  <si>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</si>
  <si>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</si>
  <si>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</si>
  <si>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</si>
  <si>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</si>
  <si>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</si>
  <si>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</si>
  <si>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</si>
  <si>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</si>
  <si>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</si>
  <si>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</si>
  <si>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</si>
  <si>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</si>
  <si>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</si>
  <si>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</si>
  <si>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</si>
  <si>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</si>
  <si>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</si>
  <si>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</si>
  <si>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</si>
  <si>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</si>
  <si>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</si>
  <si>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</si>
  <si>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</si>
  <si>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</si>
  <si>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</si>
  <si>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</si>
  <si>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</si>
  <si>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</si>
  <si>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</si>
  <si>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抵押</t>
  </si>
  <si>
    <t>房地产抵押价值</t>
  </si>
  <si>
    <t>房地产市场价值</t>
  </si>
  <si>
    <t>北京市</t>
  </si>
  <si>
    <t>《不动产权证书》</t>
  </si>
  <si>
    <t>无</t>
  </si>
  <si>
    <t>否</t>
  </si>
  <si>
    <t>现房</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</si>
  <si>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</si>
  <si>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</si>
  <si>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</si>
  <si>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</si>
  <si>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</si>
  <si>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</si>
  <si>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</si>
  <si>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</si>
  <si>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</si>
  <si>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</si>
  <si>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</si>
  <si>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成新度</t>
  </si>
  <si>
    <t>较好</t>
  </si>
  <si>
    <t>七通</t>
  </si>
  <si>
    <t>较好</t>
    <phoneticPr fontId="24" type="noConversion"/>
  </si>
  <si>
    <t>情况3</t>
  </si>
  <si>
    <t>正常</t>
  </si>
  <si>
    <t>自行开发建设</t>
  </si>
  <si>
    <t>非个人房产</t>
  </si>
  <si>
    <t>买卖合同</t>
  </si>
  <si>
    <t>2016年5月1日后购买</t>
  </si>
  <si>
    <t>出让金+开发费</t>
  </si>
  <si>
    <t>未包含在土地购买价格中</t>
  </si>
  <si>
    <t>已包含在土地取得成本中</t>
  </si>
  <si>
    <t>已全部缴纳</t>
  </si>
  <si>
    <t>押一</t>
  </si>
  <si>
    <t>钢混</t>
  </si>
  <si>
    <t>非生产用房</t>
  </si>
  <si>
    <t>报价</t>
  </si>
  <si>
    <t>60-70</t>
  </si>
  <si>
    <t>50-60</t>
  </si>
  <si>
    <t>40-50</t>
  </si>
  <si>
    <t>30-40</t>
  </si>
  <si>
    <t>20-30</t>
  </si>
  <si>
    <t>10-20</t>
  </si>
  <si>
    <t>0-10</t>
  </si>
  <si>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</si>
  <si>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</si>
  <si>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</si>
  <si>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</si>
  <si>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</si>
  <si>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</si>
  <si>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</si>
  <si>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</si>
  <si>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</si>
  <si>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</si>
  <si>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</si>
  <si>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</si>
  <si>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</si>
  <si>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</si>
  <si>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</si>
  <si>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</si>
  <si>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</si>
  <si>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</si>
  <si>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</si>
  <si>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</si>
  <si>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钢混</t>
    <phoneticPr fontId="3" type="noConversion"/>
  </si>
  <si>
    <t>精装修</t>
    <phoneticPr fontId="3" type="noConversion"/>
  </si>
  <si>
    <t>普通装修</t>
    <phoneticPr fontId="3" type="noConversion"/>
  </si>
  <si>
    <t>简单装修</t>
    <phoneticPr fontId="3" type="noConversion"/>
  </si>
  <si>
    <t>毛坯</t>
    <phoneticPr fontId="3" type="noConversion"/>
  </si>
  <si>
    <t>高档</t>
    <phoneticPr fontId="3" type="noConversion"/>
  </si>
  <si>
    <t>中档</t>
    <phoneticPr fontId="3" type="noConversion"/>
  </si>
  <si>
    <t>低档</t>
    <phoneticPr fontId="3" type="noConversion"/>
  </si>
  <si>
    <t>专业物业</t>
    <phoneticPr fontId="3" type="noConversion"/>
  </si>
  <si>
    <t>普通物业</t>
    <phoneticPr fontId="3" type="noConversion"/>
  </si>
  <si>
    <t>五居室</t>
    <phoneticPr fontId="3" type="noConversion"/>
  </si>
  <si>
    <t>四居室</t>
    <phoneticPr fontId="3" type="noConversion"/>
  </si>
  <si>
    <t>三居室</t>
    <phoneticPr fontId="3" type="noConversion"/>
  </si>
  <si>
    <t>二居室</t>
    <phoneticPr fontId="3" type="noConversion"/>
  </si>
  <si>
    <t>一居室</t>
    <phoneticPr fontId="3" type="noConversion"/>
  </si>
  <si>
    <t>开间</t>
    <phoneticPr fontId="3" type="noConversion"/>
  </si>
  <si>
    <t>普通装修</t>
  </si>
  <si>
    <t>专业物业</t>
  </si>
  <si>
    <t>报价</t>
    <phoneticPr fontId="3" type="noConversion"/>
  </si>
  <si>
    <t>30-40</t>
    <phoneticPr fontId="3" type="noConversion"/>
  </si>
  <si>
    <t>20-30</t>
    <phoneticPr fontId="3" type="noConversion"/>
  </si>
  <si>
    <t>10-20</t>
    <phoneticPr fontId="3" type="noConversion"/>
  </si>
  <si>
    <t>0-10</t>
    <phoneticPr fontId="3" type="noConversion"/>
  </si>
  <si>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</si>
  <si>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</si>
  <si>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</si>
  <si>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</si>
  <si>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</si>
  <si>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</si>
  <si>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</si>
  <si>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</si>
  <si>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</si>
  <si>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</si>
  <si>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</si>
  <si>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小</t>
    <phoneticPr fontId="3" type="noConversion"/>
  </si>
  <si>
    <t>较小</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</si>
  <si>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</si>
  <si>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</si>
  <si>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</si>
  <si>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</si>
  <si>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t>购物中心</t>
    <phoneticPr fontId="3" type="noConversion"/>
  </si>
  <si>
    <t>商业街商铺</t>
    <phoneticPr fontId="3" type="noConversion"/>
  </si>
  <si>
    <t>写字楼底商</t>
    <phoneticPr fontId="3" type="noConversion"/>
  </si>
  <si>
    <t>社区配套</t>
    <phoneticPr fontId="3" type="noConversion"/>
  </si>
  <si>
    <t>砖混</t>
    <phoneticPr fontId="3" type="noConversion"/>
  </si>
  <si>
    <t>可做餐饮</t>
    <phoneticPr fontId="3" type="noConversion"/>
  </si>
  <si>
    <t>不可做餐饮</t>
    <phoneticPr fontId="3" type="noConversion"/>
  </si>
  <si>
    <t>非标层高</t>
    <phoneticPr fontId="3" type="noConversion"/>
  </si>
  <si>
    <t>标准层高</t>
    <phoneticPr fontId="3" type="noConversion"/>
  </si>
  <si>
    <t>适宜</t>
    <phoneticPr fontId="3" type="noConversion"/>
  </si>
  <si>
    <t>较适宜</t>
    <phoneticPr fontId="3" type="noConversion"/>
  </si>
  <si>
    <t>较不适宜</t>
    <phoneticPr fontId="3" type="noConversion"/>
  </si>
  <si>
    <t>不适宜</t>
    <phoneticPr fontId="3" type="noConversion"/>
  </si>
  <si>
    <t>商业</t>
    <phoneticPr fontId="3" type="noConversion"/>
  </si>
  <si>
    <t>较适宜</t>
  </si>
  <si>
    <t>项目模式</t>
  </si>
  <si>
    <t>售价</t>
  </si>
  <si>
    <t>不临65条商业街</t>
  </si>
  <si>
    <t>一般</t>
  </si>
  <si>
    <t>好</t>
  </si>
  <si>
    <t>中国银行</t>
    <phoneticPr fontId="6" type="noConversion"/>
  </si>
  <si>
    <r>
      <rPr>
        <sz val="10"/>
        <color theme="9" tint="-0.249977111117893"/>
        <rFont val="宋体"/>
        <family val="3"/>
        <charset val="134"/>
      </rPr>
      <t>朝阳区日坛北路</t>
    </r>
    <r>
      <rPr>
        <sz val="10"/>
        <color theme="9" tint="-0.249977111117893"/>
        <rFont val="Arial"/>
        <family val="2"/>
      </rPr>
      <t>17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7</t>
    </r>
    <r>
      <rPr>
        <sz val="10"/>
        <color theme="9" tint="-0.249977111117893"/>
        <rFont val="宋体"/>
        <family val="3"/>
        <charset val="134"/>
      </rPr>
      <t>层</t>
    </r>
    <r>
      <rPr>
        <sz val="10"/>
        <color theme="9" tint="-0.249977111117893"/>
        <rFont val="Arial"/>
        <family val="2"/>
      </rPr>
      <t>728</t>
    </r>
    <r>
      <rPr>
        <sz val="10"/>
        <color theme="9" tint="-0.249977111117893"/>
        <rFont val="宋体"/>
        <family val="3"/>
        <charset val="134"/>
      </rPr>
      <t>号</t>
    </r>
    <phoneticPr fontId="6" type="noConversion"/>
  </si>
  <si>
    <t>自然人</t>
  </si>
  <si>
    <t>陈淼</t>
    <phoneticPr fontId="6" type="noConversion"/>
  </si>
  <si>
    <t>复印件</t>
  </si>
  <si>
    <t>办公项目</t>
  </si>
  <si>
    <t>地上</t>
  </si>
  <si>
    <t>办公楼</t>
  </si>
  <si>
    <t>办公用房</t>
  </si>
  <si>
    <t>办公用房</t>
    <phoneticPr fontId="7" type="noConversion"/>
  </si>
  <si>
    <t>商务金融用地</t>
  </si>
  <si>
    <t>估价对象容积率</t>
  </si>
  <si>
    <t>与级别开发程度不一致</t>
  </si>
  <si>
    <t>收益法 (元)</t>
  </si>
  <si>
    <t>成本法 (元)</t>
  </si>
  <si>
    <r>
      <rPr>
        <sz val="10"/>
        <color indexed="8"/>
        <rFont val="宋体"/>
        <family val="3"/>
        <charset val="134"/>
      </rPr>
      <t>需求</t>
    </r>
    <r>
      <rPr>
        <sz val="10"/>
        <color indexed="8"/>
        <rFont val="Arial"/>
        <family val="2"/>
      </rPr>
      <t>33000</t>
    </r>
    <phoneticPr fontId="8" type="noConversion"/>
  </si>
  <si>
    <t>好</t>
    <phoneticPr fontId="24" type="noConversion"/>
  </si>
  <si>
    <t>好</t>
    <phoneticPr fontId="24" type="noConversion"/>
  </si>
  <si>
    <t>楼面单价</t>
  </si>
  <si>
    <t>正常操作</t>
  </si>
  <si>
    <t>项目局部</t>
  </si>
  <si>
    <t>单套模式</t>
  </si>
  <si>
    <t>租金</t>
  </si>
  <si>
    <t>日坛国际贸易中心</t>
    <phoneticPr fontId="3" type="noConversion"/>
  </si>
  <si>
    <t>朝外门</t>
    <phoneticPr fontId="3" type="noConversion"/>
  </si>
  <si>
    <t>华普国际大厦</t>
    <phoneticPr fontId="3" type="noConversion"/>
  </si>
  <si>
    <t>报价</t>
    <phoneticPr fontId="31" type="noConversion"/>
  </si>
  <si>
    <t>办公</t>
    <phoneticPr fontId="31" type="noConversion"/>
  </si>
  <si>
    <t>高区</t>
    <phoneticPr fontId="31" type="noConversion"/>
  </si>
  <si>
    <t>中区</t>
    <phoneticPr fontId="31" type="noConversion"/>
  </si>
  <si>
    <t>低区</t>
    <phoneticPr fontId="31" type="noConversion"/>
  </si>
  <si>
    <t>标准写字楼</t>
  </si>
  <si>
    <t>标准写字楼</t>
    <phoneticPr fontId="31" type="noConversion"/>
  </si>
  <si>
    <t>商务楼</t>
  </si>
  <si>
    <t>商务楼</t>
    <phoneticPr fontId="31" type="noConversion"/>
  </si>
  <si>
    <t>钢混</t>
    <phoneticPr fontId="31" type="noConversion"/>
  </si>
  <si>
    <t>普通装修</t>
    <phoneticPr fontId="31" type="noConversion"/>
  </si>
  <si>
    <t>专业物业</t>
    <phoneticPr fontId="31" type="noConversion"/>
  </si>
  <si>
    <t>精装修</t>
    <phoneticPr fontId="31" type="noConversion"/>
  </si>
  <si>
    <t>普通装修</t>
    <phoneticPr fontId="31" type="noConversion"/>
  </si>
  <si>
    <t>简单装修</t>
    <phoneticPr fontId="31" type="noConversion"/>
  </si>
  <si>
    <t>毛坯</t>
    <phoneticPr fontId="31" type="noConversion"/>
  </si>
  <si>
    <t>五通</t>
  </si>
  <si>
    <t>加权平均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</si>
</sst>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77" fillId="0" borderId="24"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77" fillId="7" borderId="5" xfId="0" applyFont="1" applyFill="1" applyBorder="1" applyAlignment="1" applyProtection="1">
      <alignment vertical="center"/>
      <protection locked="0"/>
    </xf>
    <xf numFmtId="0" fontId="77" fillId="7" borderId="54" xfId="0" applyFont="1" applyFill="1" applyBorder="1" applyAlignment="1" applyProtection="1">
      <alignment vertical="center" wrapText="1"/>
      <protection locked="0"/>
    </xf>
    <xf numFmtId="9"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181" fontId="44" fillId="22" borderId="1" xfId="0" applyNumberFormat="1" applyFont="1" applyFill="1" applyBorder="1" applyAlignment="1" applyProtection="1">
      <alignment vertical="center"/>
      <protection locked="0"/>
    </xf>
    <xf numFmtId="179" fontId="44" fillId="22" borderId="2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104419</xdr:colOff>
      <xdr:row>37</xdr:row>
      <xdr:rowOff>151589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847619" cy="6495239"/>
        </a:xfrm>
        <a:prstGeom prst="rect">
          <a:avLst/>
        </a:prstGeom>
      </xdr:spPr>
    </xdr:pic>
    <xdr:clientData/>
  </xdr:twoCellAnchor>
  <xdr:twoCellAnchor editAs="oneCell">
    <xdr:from>
      <xdr:col>4</xdr:col>
      <xdr:colOff>0</xdr:colOff>
      <xdr:row>0</xdr:row>
      <xdr:rowOff>0</xdr:rowOff>
    </xdr:from>
    <xdr:to>
      <xdr:col>8</xdr:col>
      <xdr:colOff>399657</xdr:colOff>
      <xdr:row>38</xdr:row>
      <xdr:rowOff>18234</xdr:rowOff>
    </xdr:to>
    <xdr:pic>
      <xdr:nvPicPr>
        <xdr:cNvPr id="3" name="图片 2"/>
        <xdr:cNvPicPr>
          <a:picLocks noChangeAspect="1"/>
        </xdr:cNvPicPr>
      </xdr:nvPicPr>
      <xdr:blipFill>
        <a:blip xmlns:r="http://schemas.openxmlformats.org/officeDocument/2006/relationships" r:embed="rId2"/>
        <a:stretch>
          <a:fillRect/>
        </a:stretch>
      </xdr:blipFill>
      <xdr:spPr>
        <a:xfrm>
          <a:off x="2743200" y="0"/>
          <a:ext cx="3142857" cy="6533334"/>
        </a:xfrm>
        <a:prstGeom prst="rect">
          <a:avLst/>
        </a:prstGeom>
      </xdr:spPr>
    </xdr:pic>
    <xdr:clientData/>
  </xdr:twoCellAnchor>
  <xdr:twoCellAnchor editAs="oneCell">
    <xdr:from>
      <xdr:col>9</xdr:col>
      <xdr:colOff>0</xdr:colOff>
      <xdr:row>0</xdr:row>
      <xdr:rowOff>0</xdr:rowOff>
    </xdr:from>
    <xdr:to>
      <xdr:col>13</xdr:col>
      <xdr:colOff>323467</xdr:colOff>
      <xdr:row>32</xdr:row>
      <xdr:rowOff>170743</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0" y="0"/>
          <a:ext cx="3066667" cy="5657143"/>
        </a:xfrm>
        <a:prstGeom prst="rect">
          <a:avLst/>
        </a:prstGeom>
      </xdr:spPr>
    </xdr:pic>
    <xdr:clientData/>
  </xdr:twoCellAnchor>
  <xdr:twoCellAnchor editAs="oneCell">
    <xdr:from>
      <xdr:col>14</xdr:col>
      <xdr:colOff>85725</xdr:colOff>
      <xdr:row>0</xdr:row>
      <xdr:rowOff>114300</xdr:rowOff>
    </xdr:from>
    <xdr:to>
      <xdr:col>23</xdr:col>
      <xdr:colOff>456383</xdr:colOff>
      <xdr:row>39</xdr:row>
      <xdr:rowOff>84893</xdr:rowOff>
    </xdr:to>
    <xdr:pic>
      <xdr:nvPicPr>
        <xdr:cNvPr id="5" name="图片 4"/>
        <xdr:cNvPicPr>
          <a:picLocks noChangeAspect="1"/>
        </xdr:cNvPicPr>
      </xdr:nvPicPr>
      <xdr:blipFill>
        <a:blip xmlns:r="http://schemas.openxmlformats.org/officeDocument/2006/relationships" r:embed="rId4"/>
        <a:stretch>
          <a:fillRect/>
        </a:stretch>
      </xdr:blipFill>
      <xdr:spPr>
        <a:xfrm>
          <a:off x="9686925" y="114300"/>
          <a:ext cx="6542858" cy="6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北京市朝阳区日坛北路17号院1号楼7层728号房地产市场价值预评估</v>
      </c>
    </row>
    <row r="3" spans="1:2" s="1202" customFormat="1">
      <c r="A3" s="1200" t="s">
        <v>523</v>
      </c>
      <c r="B3" s="1201">
        <f>'预评函-封皮'!B40</f>
        <v>0</v>
      </c>
    </row>
    <row r="4" spans="1:2" s="1202" customFormat="1">
      <c r="A4" s="1200" t="s">
        <v>524</v>
      </c>
      <c r="B4" s="1201" t="str">
        <f ca="1">'预评函-封皮'!B46</f>
        <v>郑燚（注册号：1120070131)、郑燚（注册号：1120070131)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受贵公司委托，我公司对北京市朝阳区日坛北路17号院1号楼7层728号房地产市场价值进行了预评估。</v>
      </c>
    </row>
    <row r="7" spans="1:2" s="1202" customFormat="1">
      <c r="A7" s="1200" t="s">
        <v>566</v>
      </c>
      <c r="B7" s="1201" t="str">
        <f>'预评函-1'!A7</f>
        <v>估价对象为北京市朝阳区日坛北路17号院1号楼7层728号房地产，为陈淼所有。根据《国有土地使用证》[]，估价对象（分摊）出让国有建设用地使用权面积为30.64平方米，建筑面积为120.57平方米。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朝阳区日坛北路17号院1号楼7层728号房地产,属陈淼开发建设的办公项目，该项目尚在开发建设中。根据《国有土地使用证》[]，估价对象（分摊）出让国有建设用地使用权面积为30.64平方米，规划建筑面积为120.57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为估价委托人在向中国银行办理贷款手续过程中，确定房地产抵押贷款额度提供参考依据而评估房地产抵押价值。</v>
      </c>
    </row>
    <row r="12" spans="1:2" s="1202" customFormat="1">
      <c r="A12" s="1200" t="s">
        <v>528</v>
      </c>
      <c r="B12" s="1201" t="str">
        <f>'预评函-1'!A15</f>
        <v>2023年7月28日（评估专业人员实地查勘之日）</v>
      </c>
    </row>
    <row r="13" spans="1:2" s="1202" customFormat="1">
      <c r="A13" s="1200" t="s">
        <v>529</v>
      </c>
      <c r="B13" s="1201" t="str">
        <f>'预评函-1'!A18</f>
        <v>本次估价的“房地产价值”是指在正常市场情况下，在价值时点2023年7月28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f ca="1">'预评函-2'!D5</f>
        <v>398</v>
      </c>
    </row>
    <row r="21" spans="1:2" s="1202" customFormat="1">
      <c r="A21" s="1200" t="s">
        <v>537</v>
      </c>
      <c r="B21" s="1201">
        <f ca="1">'预评函-2'!D7</f>
        <v>33001</v>
      </c>
    </row>
    <row r="22" spans="1:2" s="1202" customFormat="1">
      <c r="A22" s="1200" t="s">
        <v>538</v>
      </c>
      <c r="B22" s="1201" t="str">
        <f ca="1">'预评函-2'!D6</f>
        <v>叁佰玖拾捌万元整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398</v>
      </c>
    </row>
    <row r="31" spans="1:2" s="1202" customFormat="1">
      <c r="A31" s="1200" t="s">
        <v>576</v>
      </c>
      <c r="B31" s="1201">
        <f ca="1">'预评函-2'!D15</f>
        <v>33001</v>
      </c>
    </row>
    <row r="32" spans="1:2" s="1202" customFormat="1">
      <c r="A32" s="1200" t="s">
        <v>543</v>
      </c>
      <c r="B32" s="1201" t="str">
        <f ca="1">'预评函-2'!D14</f>
        <v>叁佰玖拾捌万元整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北京市朝阳区日坛北路17号院1号楼7层728号房地产</v>
      </c>
    </row>
    <row r="42" spans="1:2" s="1202" customFormat="1">
      <c r="A42" s="1200" t="s">
        <v>590</v>
      </c>
      <c r="B42" s="1201" t="str">
        <f>'预评函-3'!B2</f>
        <v>建筑面积</v>
      </c>
    </row>
    <row r="43" spans="1:2" s="1202" customFormat="1">
      <c r="A43" s="1200" t="s">
        <v>591</v>
      </c>
      <c r="B43" s="1201">
        <f>'预评函-3'!B4</f>
        <v>120.57</v>
      </c>
    </row>
    <row r="44" spans="1:2" s="1202" customFormat="1">
      <c r="A44" s="1200" t="s">
        <v>575</v>
      </c>
      <c r="B44" s="1201" t="str">
        <f>'预评函-3'!C2</f>
        <v>(分摊)土地面积</v>
      </c>
    </row>
    <row r="45" spans="1:2" s="1202" customFormat="1">
      <c r="A45" s="1200" t="s">
        <v>547</v>
      </c>
      <c r="B45" s="1201">
        <f>'预评函-3'!C4</f>
        <v>30.64</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（1）根据估价对象《不动产权证书》复印件、，截至价值时点，估价对象抵押权未见登记。</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3329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3334</v>
      </c>
    </row>
    <row r="8" spans="1:23">
      <c r="A8" s="1545" t="s">
        <v>1026</v>
      </c>
      <c r="B8" s="1545" t="s">
        <v>1027</v>
      </c>
      <c r="C8" s="1546" t="s">
        <v>319</v>
      </c>
      <c r="F8" s="1547" t="s">
        <v>1028</v>
      </c>
      <c r="H8" s="1547" t="s">
        <v>2567</v>
      </c>
      <c r="I8" s="1547" t="s">
        <v>3335</v>
      </c>
    </row>
    <row r="9" spans="1:23">
      <c r="A9" s="1545" t="s">
        <v>1029</v>
      </c>
      <c r="B9" s="1545" t="s">
        <v>1030</v>
      </c>
      <c r="C9" s="1546" t="s">
        <v>320</v>
      </c>
      <c r="F9" s="1547" t="s">
        <v>1031</v>
      </c>
      <c r="H9" s="1547"/>
      <c r="I9" s="1550" t="s">
        <v>3336</v>
      </c>
    </row>
    <row r="10" spans="1:23">
      <c r="A10" s="1545" t="s">
        <v>1032</v>
      </c>
      <c r="B10" s="1545" t="s">
        <v>1033</v>
      </c>
      <c r="C10" s="1546" t="s">
        <v>321</v>
      </c>
      <c r="F10" s="1547" t="s">
        <v>2568</v>
      </c>
      <c r="I10" s="1550" t="s">
        <v>3337</v>
      </c>
    </row>
    <row r="11" spans="1:23">
      <c r="A11" s="1545" t="s">
        <v>1034</v>
      </c>
      <c r="B11" s="1545" t="s">
        <v>1035</v>
      </c>
      <c r="C11" s="1546" t="s">
        <v>322</v>
      </c>
      <c r="F11" s="1547" t="s">
        <v>13</v>
      </c>
      <c r="I11" s="1550" t="s">
        <v>3338</v>
      </c>
    </row>
    <row r="12" spans="1:23">
      <c r="A12" s="1545" t="s">
        <v>1036</v>
      </c>
      <c r="B12" s="1545" t="s">
        <v>1037</v>
      </c>
      <c r="C12" s="1546" t="s">
        <v>323</v>
      </c>
      <c r="I12" s="1550" t="s">
        <v>3339</v>
      </c>
    </row>
    <row r="13" spans="1:23">
      <c r="A13" s="1545" t="s">
        <v>1038</v>
      </c>
      <c r="B13" s="1545" t="s">
        <v>1039</v>
      </c>
      <c r="C13" s="1546" t="s">
        <v>324</v>
      </c>
      <c r="I13" s="1550" t="s">
        <v>3340</v>
      </c>
    </row>
    <row r="14" spans="1:23">
      <c r="A14" s="1545" t="s">
        <v>1040</v>
      </c>
      <c r="B14" s="1545" t="s">
        <v>1041</v>
      </c>
      <c r="C14" s="1547" t="s">
        <v>13</v>
      </c>
      <c r="I14" s="1550" t="s">
        <v>3341</v>
      </c>
    </row>
    <row r="15" spans="1:23">
      <c r="A15" s="1545" t="s">
        <v>1042</v>
      </c>
      <c r="B15" s="1545" t="s">
        <v>1043</v>
      </c>
      <c r="C15" s="1546"/>
      <c r="I15" s="1550" t="s">
        <v>3342</v>
      </c>
    </row>
    <row r="16" spans="1:23">
      <c r="A16" s="1545" t="s">
        <v>1044</v>
      </c>
      <c r="B16" s="1545" t="s">
        <v>312</v>
      </c>
      <c r="C16" s="1546"/>
    </row>
    <row r="17" spans="1:3">
      <c r="A17" s="1545" t="s">
        <v>1045</v>
      </c>
      <c r="B17" s="1545" t="s">
        <v>2279</v>
      </c>
      <c r="C17" s="1546"/>
    </row>
    <row r="18" spans="1:3">
      <c r="A18" s="1545" t="s">
        <v>1046</v>
      </c>
      <c r="B18" s="1545" t="s">
        <v>2423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为估价委托人在向中国银行办理贷款手续过程中，确定房地产抵押贷款额度提供参考依据而评估房地产抵押价值。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日坛北路17号院1号楼7层728号房地产作为抵押担保物，向中国银行办理贷款手续。中国银行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3" t="s">
        <v>385</v>
      </c>
      <c r="C54" s="1550" t="s">
        <v>583</v>
      </c>
    </row>
    <row r="55" spans="1:4">
      <c r="A55" s="3502"/>
      <c r="B55" s="1553" t="s">
        <v>386</v>
      </c>
      <c r="C55" s="1550" t="s">
        <v>584</v>
      </c>
    </row>
    <row r="56" spans="1:4">
      <c r="A56" s="3502"/>
      <c r="B56" s="1553" t="s">
        <v>387</v>
      </c>
      <c r="C56" s="1550" t="s">
        <v>588</v>
      </c>
    </row>
    <row r="57" spans="1:4">
      <c r="A57" s="350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2490</v>
      </c>
      <c r="B1" s="3008"/>
      <c r="C1" s="3008"/>
      <c r="D1" s="3008"/>
      <c r="E1" s="3008"/>
      <c r="F1" s="3009"/>
      <c r="I1" s="3431" t="s">
        <v>2583</v>
      </c>
      <c r="J1" s="3220"/>
      <c r="K1" s="3220"/>
      <c r="L1" s="3220"/>
      <c r="M1" s="3220"/>
      <c r="N1" s="3432"/>
      <c r="O1" s="3432"/>
      <c r="P1" s="3432"/>
      <c r="Q1" s="3432"/>
      <c r="R1" s="3432"/>
    </row>
    <row r="2" spans="1:18">
      <c r="A2" s="3011"/>
      <c r="B2" s="3012"/>
      <c r="C2" s="3012"/>
      <c r="D2" s="3012"/>
      <c r="E2" s="3012"/>
      <c r="F2" s="3013"/>
      <c r="I2" s="3503" t="s">
        <v>2570</v>
      </c>
      <c r="J2" s="3503"/>
      <c r="K2" s="3503"/>
      <c r="L2" s="3503"/>
      <c r="M2" s="3503"/>
      <c r="N2" s="3503"/>
      <c r="O2" s="3503"/>
      <c r="P2" s="3503"/>
      <c r="Q2" s="3503"/>
      <c r="R2" s="3503"/>
    </row>
    <row r="3" spans="1:18">
      <c r="A3" s="3014" t="s">
        <v>2491</v>
      </c>
      <c r="B3" s="3015">
        <f>项目基本情况!D3</f>
        <v>45135</v>
      </c>
      <c r="C3" s="3017"/>
      <c r="D3" s="3017"/>
      <c r="E3" s="3017"/>
      <c r="F3" s="3013"/>
      <c r="I3" s="3433"/>
      <c r="J3" s="3433" t="s">
        <v>2574</v>
      </c>
      <c r="K3" s="3433" t="s">
        <v>2575</v>
      </c>
      <c r="L3" s="3433" t="s">
        <v>2576</v>
      </c>
      <c r="M3" s="3433" t="s">
        <v>2577</v>
      </c>
      <c r="N3" s="3434" t="s">
        <v>2578</v>
      </c>
      <c r="O3" s="3434" t="s">
        <v>2579</v>
      </c>
      <c r="P3" s="3434" t="s">
        <v>2580</v>
      </c>
      <c r="Q3" s="3434" t="s">
        <v>2581</v>
      </c>
      <c r="R3" s="3434" t="s">
        <v>2582</v>
      </c>
    </row>
    <row r="4" spans="1:18">
      <c r="A4" s="3014" t="s">
        <v>2492</v>
      </c>
      <c r="B4" s="3017" t="s">
        <v>2493</v>
      </c>
      <c r="C4" s="3017" t="s">
        <v>2494</v>
      </c>
      <c r="D4" s="3017" t="s">
        <v>2495</v>
      </c>
      <c r="E4" s="3017" t="s">
        <v>2496</v>
      </c>
      <c r="F4" s="3013"/>
      <c r="I4" s="3433" t="s">
        <v>2571</v>
      </c>
      <c r="J4" s="3433">
        <v>80</v>
      </c>
      <c r="K4" s="3433">
        <v>70</v>
      </c>
      <c r="L4" s="3433">
        <v>20</v>
      </c>
      <c r="M4" s="3433">
        <v>30</v>
      </c>
      <c r="N4" s="3017">
        <v>45</v>
      </c>
      <c r="O4" s="3017">
        <v>60</v>
      </c>
      <c r="P4" s="3017">
        <v>50</v>
      </c>
      <c r="Q4" s="3017">
        <v>20</v>
      </c>
      <c r="R4" s="3017">
        <v>375</v>
      </c>
    </row>
    <row r="5" spans="1:18">
      <c r="A5" s="3018">
        <v>40</v>
      </c>
      <c r="B5" s="3015">
        <v>46375</v>
      </c>
      <c r="C5" s="3017">
        <f>ROUNDDOWN(MIN((B5-B3)/365,A5),2)</f>
        <v>3.39</v>
      </c>
      <c r="D5" s="3019">
        <f>IF(ISERROR(ROUND(POWER(1+E5,A5-C5)*(POWER(1+E5,C5)-1)/(POWER(1+E5,A5)-1),3)),0,ROUND(POWER(1+E5,A5-C5)*(POWER(1+E5,C5)-1)/(POWER(1+E5,A5)-1),4))</f>
        <v>0.1573</v>
      </c>
      <c r="E5" s="3020">
        <v>0.04</v>
      </c>
      <c r="F5" s="3013"/>
      <c r="I5" s="3433" t="s">
        <v>2572</v>
      </c>
      <c r="J5" s="3433">
        <v>70</v>
      </c>
      <c r="K5" s="3433">
        <v>60</v>
      </c>
      <c r="L5" s="3433">
        <v>15</v>
      </c>
      <c r="M5" s="3433">
        <v>25</v>
      </c>
      <c r="N5" s="3017">
        <v>40</v>
      </c>
      <c r="O5" s="3017">
        <v>50</v>
      </c>
      <c r="P5" s="3017">
        <v>40</v>
      </c>
      <c r="Q5" s="3017">
        <v>15</v>
      </c>
      <c r="R5" s="3017">
        <v>315</v>
      </c>
    </row>
    <row r="6" spans="1:18">
      <c r="A6" s="3018">
        <v>50</v>
      </c>
      <c r="B6" s="3015">
        <v>50028</v>
      </c>
      <c r="C6" s="3017">
        <f>ROUNDDOWN(MIN((B6-B3)/365,A6),2)</f>
        <v>13.4</v>
      </c>
      <c r="D6" s="3019">
        <f>IF(ISERROR(ROUND(POWER(1+E6,A6-C6)*(POWER(1+E6,C6)-1)/(POWER(1+E6,A6)-1),3)),0,ROUND(POWER(1+E6,A6-C6)*(POWER(1+E6,C6)-1)/(POWER(1+E6,A6)-1),4))</f>
        <v>0.47570000000000001</v>
      </c>
      <c r="E6" s="3020">
        <v>0.04</v>
      </c>
      <c r="F6" s="3013"/>
      <c r="I6" s="3433" t="s">
        <v>2573</v>
      </c>
      <c r="J6" s="3433">
        <v>60</v>
      </c>
      <c r="K6" s="3433">
        <v>50</v>
      </c>
      <c r="L6" s="3433">
        <v>10</v>
      </c>
      <c r="M6" s="3433">
        <v>20</v>
      </c>
      <c r="N6" s="3017">
        <v>35</v>
      </c>
      <c r="O6" s="3017">
        <v>40</v>
      </c>
      <c r="P6" s="3017">
        <v>30</v>
      </c>
      <c r="Q6" s="3017">
        <v>10</v>
      </c>
      <c r="R6" s="3017">
        <v>255</v>
      </c>
    </row>
    <row r="7" spans="1:18">
      <c r="A7" s="3018">
        <v>70</v>
      </c>
      <c r="B7" s="3015">
        <v>57333</v>
      </c>
      <c r="C7" s="3017">
        <f>ROUNDDOWN(MIN((B7-B3)/365,A7),2)</f>
        <v>33.409999999999997</v>
      </c>
      <c r="D7" s="3019">
        <f>IF(ISERROR(ROUND(POWER(1+E7,A7-C7)*(POWER(1+E7,C7)-1)/(POWER(1+E7,A7)-1),3)),0,ROUND(POWER(1+E7,A7-C7)*(POWER(1+E7,C7)-1)/(POWER(1+E7,A7)-1),4))</f>
        <v>0.78039999999999998</v>
      </c>
      <c r="E7" s="3020">
        <v>0.04</v>
      </c>
      <c r="F7" s="3013"/>
    </row>
    <row r="8" spans="1:18">
      <c r="A8" s="3011"/>
      <c r="B8" s="3012"/>
      <c r="C8" s="3012"/>
      <c r="D8" s="3012"/>
      <c r="E8" s="3012"/>
      <c r="F8" s="3013"/>
    </row>
    <row r="9" spans="1:18">
      <c r="A9" s="3014" t="s">
        <v>2497</v>
      </c>
      <c r="B9" s="3017"/>
      <c r="C9" s="3017"/>
      <c r="D9" s="3017"/>
      <c r="E9" s="3017"/>
      <c r="F9" s="3021"/>
    </row>
    <row r="10" spans="1:18">
      <c r="A10" s="3014" t="s">
        <v>2498</v>
      </c>
      <c r="B10" s="3017"/>
      <c r="C10" s="3017"/>
      <c r="D10" s="3017" t="s">
        <v>2496</v>
      </c>
      <c r="E10" s="3017"/>
      <c r="F10" s="3021" t="s">
        <v>2495</v>
      </c>
    </row>
    <row r="11" spans="1:18">
      <c r="A11" s="3014" t="s">
        <v>2499</v>
      </c>
      <c r="B11" s="3022">
        <v>70</v>
      </c>
      <c r="C11" s="3017" t="s">
        <v>2500</v>
      </c>
      <c r="D11" s="3023">
        <v>4.4999999999999998E-2</v>
      </c>
      <c r="E11" s="3017" t="s">
        <v>2501</v>
      </c>
      <c r="F11" s="3024">
        <f>ROUND(1-(1/(POWER(1+D11,B11))),4)</f>
        <v>0.95409999999999995</v>
      </c>
    </row>
    <row r="12" spans="1:18">
      <c r="A12" s="3014" t="s">
        <v>2502</v>
      </c>
      <c r="B12" s="3022">
        <v>40</v>
      </c>
      <c r="C12" s="3017" t="s">
        <v>2503</v>
      </c>
      <c r="D12" s="3023">
        <v>4.4999999999999998E-2</v>
      </c>
      <c r="E12" s="3017" t="s">
        <v>2504</v>
      </c>
      <c r="F12" s="3024">
        <f>ROUND(1-(1/(POWER(1+D12,B12))),4)</f>
        <v>0.82809999999999995</v>
      </c>
    </row>
    <row r="13" spans="1:18">
      <c r="A13" s="3014" t="s">
        <v>2505</v>
      </c>
      <c r="B13" s="3017"/>
      <c r="C13" s="3017"/>
      <c r="D13" s="3012"/>
      <c r="E13" s="3012"/>
      <c r="F13" s="3013"/>
    </row>
    <row r="14" spans="1:18">
      <c r="A14" s="3014" t="s">
        <v>2506</v>
      </c>
      <c r="B14" s="3022">
        <v>5000</v>
      </c>
      <c r="C14" s="3016"/>
      <c r="D14" s="3012"/>
      <c r="E14" s="3012"/>
      <c r="F14" s="3013"/>
    </row>
    <row r="15" spans="1:18">
      <c r="A15" s="3014" t="s">
        <v>2507</v>
      </c>
      <c r="B15" s="3017">
        <f>ROUND(B14*F12/F11,2)</f>
        <v>4339.6899999999996</v>
      </c>
      <c r="C15" s="3017">
        <f>ROUND(F12/F11,4)</f>
        <v>0.8679</v>
      </c>
      <c r="D15" s="3012"/>
      <c r="E15" s="3012"/>
      <c r="F15" s="3013"/>
    </row>
    <row r="16" spans="1:18">
      <c r="A16" s="3014" t="s">
        <v>2508</v>
      </c>
      <c r="B16" s="3017"/>
      <c r="C16" s="3017"/>
      <c r="D16" s="3012"/>
      <c r="E16" s="3012"/>
      <c r="F16" s="3013"/>
    </row>
    <row r="17" spans="1:13">
      <c r="A17" s="3014" t="s">
        <v>2507</v>
      </c>
      <c r="B17" s="3023">
        <v>4810</v>
      </c>
      <c r="C17" s="3016"/>
      <c r="D17" s="3012"/>
      <c r="E17" s="3012"/>
      <c r="F17" s="3013"/>
    </row>
    <row r="18" spans="1:13" ht="14.25" thickBot="1">
      <c r="A18" s="3025" t="s">
        <v>2506</v>
      </c>
      <c r="B18" s="3026">
        <f>ROUND(B17*F11/F12,2)</f>
        <v>5541.87</v>
      </c>
      <c r="C18" s="3026">
        <f>ROUND(F11/F12,4)</f>
        <v>1.1521999999999999</v>
      </c>
      <c r="D18" s="3027"/>
      <c r="E18" s="3027"/>
      <c r="F18" s="3028"/>
    </row>
    <row r="19" spans="1:13" ht="14.25" thickBot="1"/>
    <row r="20" spans="1:13" s="3063" customFormat="1" ht="14.25" thickTop="1">
      <c r="A20" s="3060" t="s">
        <v>2509</v>
      </c>
      <c r="B20" s="3061"/>
      <c r="C20" s="3061"/>
      <c r="D20" s="3061"/>
      <c r="E20" s="3061"/>
      <c r="F20" s="3061"/>
      <c r="G20" s="3062"/>
      <c r="I20" s="3064" t="s">
        <v>2554</v>
      </c>
      <c r="J20" s="3064" t="s">
        <v>2559</v>
      </c>
      <c r="K20" s="3064"/>
      <c r="L20" s="3064"/>
      <c r="M20" s="3064"/>
    </row>
    <row r="21" spans="1:13">
      <c r="A21" s="3029"/>
      <c r="B21" s="3030" t="s">
        <v>2510</v>
      </c>
      <c r="C21" s="3030" t="s">
        <v>2511</v>
      </c>
      <c r="D21" s="3030" t="s">
        <v>2512</v>
      </c>
      <c r="E21" s="3030" t="s">
        <v>2513</v>
      </c>
      <c r="F21" s="3030" t="s">
        <v>2514</v>
      </c>
      <c r="G21" s="3031" t="s">
        <v>2515</v>
      </c>
      <c r="I21" s="3052">
        <v>5</v>
      </c>
      <c r="J21" s="3052">
        <v>54.2</v>
      </c>
    </row>
    <row r="22" spans="1:13">
      <c r="A22" s="3029" t="s">
        <v>2516</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2517</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2557</v>
      </c>
      <c r="M23" s="3052" t="s">
        <v>2558</v>
      </c>
    </row>
    <row r="24" spans="1:13">
      <c r="A24" s="3029" t="s">
        <v>2518</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2556</v>
      </c>
      <c r="M24" s="3052">
        <v>10</v>
      </c>
    </row>
    <row r="25" spans="1:13">
      <c r="A25" s="3029" t="s">
        <v>2519</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2560</v>
      </c>
      <c r="M25" s="3052">
        <v>8</v>
      </c>
    </row>
    <row r="26" spans="1:13">
      <c r="A26" s="3034"/>
      <c r="B26" s="3035"/>
      <c r="C26" s="3035"/>
      <c r="D26" s="3035"/>
      <c r="E26" s="3035"/>
      <c r="F26" s="3035"/>
      <c r="G26" s="3036"/>
      <c r="I26" s="3052">
        <v>30</v>
      </c>
      <c r="J26" s="3052">
        <v>90.5</v>
      </c>
      <c r="K26" s="3052">
        <f t="shared" si="2"/>
        <v>4.2000000000000028</v>
      </c>
      <c r="L26" s="3052" t="s">
        <v>2561</v>
      </c>
      <c r="M26" s="3052">
        <v>5</v>
      </c>
    </row>
    <row r="27" spans="1:13">
      <c r="A27" s="3034" t="s">
        <v>2520</v>
      </c>
      <c r="B27" s="3035"/>
      <c r="C27" s="3035"/>
      <c r="D27" s="3035"/>
      <c r="E27" s="3035"/>
      <c r="F27" s="3035"/>
      <c r="G27" s="3036"/>
      <c r="I27" s="3052">
        <v>35</v>
      </c>
      <c r="J27" s="3052">
        <v>93.8</v>
      </c>
      <c r="K27" s="3052">
        <f t="shared" si="2"/>
        <v>3.2999999999999972</v>
      </c>
      <c r="L27" s="3052" t="s">
        <v>2562</v>
      </c>
      <c r="M27" s="3052">
        <v>3</v>
      </c>
    </row>
    <row r="28" spans="1:13">
      <c r="A28" s="3034" t="s">
        <v>2521</v>
      </c>
      <c r="B28" s="3035"/>
      <c r="C28" s="3035"/>
      <c r="D28" s="3035"/>
      <c r="E28" s="3035"/>
      <c r="F28" s="3035"/>
      <c r="G28" s="3036"/>
      <c r="I28" s="3052">
        <v>40</v>
      </c>
      <c r="J28" s="3052">
        <v>96.4</v>
      </c>
      <c r="K28" s="3052">
        <f t="shared" si="2"/>
        <v>2.6000000000000085</v>
      </c>
      <c r="L28" s="3052" t="s">
        <v>2563</v>
      </c>
      <c r="M28" s="3052">
        <v>2</v>
      </c>
    </row>
    <row r="29" spans="1:13">
      <c r="A29" s="3034" t="s">
        <v>2522</v>
      </c>
      <c r="B29" s="3035"/>
      <c r="C29" s="3035"/>
      <c r="D29" s="3035"/>
      <c r="E29" s="3035"/>
      <c r="F29" s="3035"/>
      <c r="G29" s="3036"/>
      <c r="I29" s="3052">
        <v>45</v>
      </c>
      <c r="J29" s="3052">
        <v>98.4</v>
      </c>
      <c r="K29" s="3052">
        <f t="shared" si="2"/>
        <v>2</v>
      </c>
    </row>
    <row r="30" spans="1:13">
      <c r="A30" s="3034" t="s">
        <v>2523</v>
      </c>
      <c r="B30" s="3035"/>
      <c r="C30" s="3035"/>
      <c r="D30" s="3035"/>
      <c r="E30" s="3035"/>
      <c r="F30" s="3035"/>
      <c r="G30" s="3036"/>
      <c r="I30" s="3052">
        <v>50</v>
      </c>
      <c r="J30" s="3052">
        <v>100</v>
      </c>
      <c r="K30" s="3052">
        <f t="shared" si="2"/>
        <v>1.5999999999999943</v>
      </c>
    </row>
    <row r="31" spans="1:13">
      <c r="A31" s="3034" t="s">
        <v>2524</v>
      </c>
      <c r="B31" s="3035"/>
      <c r="C31" s="3035"/>
      <c r="D31" s="3035"/>
      <c r="E31" s="3035"/>
      <c r="F31" s="3035"/>
      <c r="G31" s="3036"/>
      <c r="I31" s="3052" t="s">
        <v>2555</v>
      </c>
    </row>
    <row r="32" spans="1:13">
      <c r="A32" s="3034" t="s">
        <v>2525</v>
      </c>
      <c r="B32" s="3035"/>
      <c r="C32" s="3035"/>
      <c r="D32" s="3035"/>
      <c r="E32" s="3035"/>
      <c r="F32" s="3035"/>
      <c r="G32" s="3036"/>
    </row>
    <row r="33" spans="1:13">
      <c r="A33" s="3034" t="s">
        <v>2526</v>
      </c>
      <c r="B33" s="3035"/>
      <c r="C33" s="3035"/>
      <c r="D33" s="3035"/>
      <c r="E33" s="3035"/>
      <c r="F33" s="3035"/>
      <c r="G33" s="3036"/>
      <c r="I33" s="3052" t="s">
        <v>2554</v>
      </c>
      <c r="J33" s="3052" t="s">
        <v>2564</v>
      </c>
    </row>
    <row r="34" spans="1:13">
      <c r="A34" s="3034" t="s">
        <v>2527</v>
      </c>
      <c r="B34" s="3035"/>
      <c r="C34" s="3035"/>
      <c r="D34" s="3035"/>
      <c r="E34" s="3035"/>
      <c r="F34" s="3035"/>
      <c r="G34" s="3036"/>
      <c r="I34" s="3052">
        <v>5</v>
      </c>
      <c r="J34" s="3052">
        <v>55.1</v>
      </c>
    </row>
    <row r="35" spans="1:13">
      <c r="A35" s="3034" t="s">
        <v>2528</v>
      </c>
      <c r="B35" s="3035"/>
      <c r="C35" s="3035"/>
      <c r="D35" s="3035"/>
      <c r="E35" s="3035"/>
      <c r="F35" s="3035"/>
      <c r="G35" s="3036"/>
      <c r="I35" s="3052">
        <v>10</v>
      </c>
      <c r="J35" s="3052">
        <v>67</v>
      </c>
      <c r="K35" s="3052">
        <f>J35-J34</f>
        <v>11.899999999999999</v>
      </c>
    </row>
    <row r="36" spans="1:13">
      <c r="A36" s="3034" t="s">
        <v>2529</v>
      </c>
      <c r="B36" s="3035"/>
      <c r="C36" s="3035"/>
      <c r="D36" s="3035"/>
      <c r="E36" s="3035"/>
      <c r="F36" s="3035"/>
      <c r="G36" s="3036"/>
      <c r="I36" s="3052">
        <v>15</v>
      </c>
      <c r="J36" s="3052">
        <v>76.3</v>
      </c>
      <c r="K36" s="3052">
        <f t="shared" ref="K36:K41" si="3">J36-J35</f>
        <v>9.2999999999999972</v>
      </c>
      <c r="L36" s="3052" t="s">
        <v>2557</v>
      </c>
      <c r="M36" s="3052" t="s">
        <v>2558</v>
      </c>
    </row>
    <row r="37" spans="1:13">
      <c r="A37" s="3034" t="s">
        <v>2530</v>
      </c>
      <c r="B37" s="3035"/>
      <c r="C37" s="3035"/>
      <c r="D37" s="3035"/>
      <c r="E37" s="3035"/>
      <c r="F37" s="3035"/>
      <c r="G37" s="3036"/>
      <c r="I37" s="3052">
        <v>20</v>
      </c>
      <c r="J37" s="3052">
        <v>83.6</v>
      </c>
      <c r="K37" s="3052">
        <f t="shared" si="3"/>
        <v>7.2999999999999972</v>
      </c>
      <c r="L37" s="3052" t="s">
        <v>2556</v>
      </c>
      <c r="M37" s="3052">
        <v>10</v>
      </c>
    </row>
    <row r="38" spans="1:13">
      <c r="A38" s="3034" t="s">
        <v>2531</v>
      </c>
      <c r="B38" s="3035"/>
      <c r="C38" s="3035"/>
      <c r="D38" s="3035"/>
      <c r="E38" s="3035"/>
      <c r="F38" s="3035"/>
      <c r="G38" s="3036"/>
      <c r="I38" s="3052">
        <v>25</v>
      </c>
      <c r="J38" s="3052">
        <v>89.3</v>
      </c>
      <c r="K38" s="3052">
        <f t="shared" si="3"/>
        <v>5.7000000000000028</v>
      </c>
      <c r="L38" s="3052" t="s">
        <v>2560</v>
      </c>
      <c r="M38" s="3052">
        <v>8</v>
      </c>
    </row>
    <row r="39" spans="1:13">
      <c r="A39" s="3034"/>
      <c r="B39" s="3035"/>
      <c r="C39" s="3035"/>
      <c r="D39" s="3035"/>
      <c r="E39" s="3035"/>
      <c r="F39" s="3035"/>
      <c r="G39" s="3036"/>
      <c r="I39" s="3052">
        <v>30</v>
      </c>
      <c r="J39" s="3052">
        <v>93.8</v>
      </c>
      <c r="K39" s="3052">
        <f t="shared" si="3"/>
        <v>4.5</v>
      </c>
      <c r="L39" s="3052" t="s">
        <v>2561</v>
      </c>
      <c r="M39" s="3052">
        <v>6</v>
      </c>
    </row>
    <row r="40" spans="1:13">
      <c r="A40" s="3037" t="s">
        <v>2532</v>
      </c>
      <c r="B40" s="3038"/>
      <c r="C40" s="3038"/>
      <c r="D40" s="3038"/>
      <c r="E40" s="3038"/>
      <c r="F40" s="3038"/>
      <c r="G40" s="3039"/>
      <c r="I40" s="3052">
        <v>35</v>
      </c>
      <c r="J40" s="3052">
        <v>97.2</v>
      </c>
      <c r="K40" s="3052">
        <f t="shared" si="3"/>
        <v>3.4000000000000057</v>
      </c>
      <c r="L40" s="3052" t="s">
        <v>2562</v>
      </c>
      <c r="M40" s="3052">
        <v>3</v>
      </c>
    </row>
    <row r="41" spans="1:13">
      <c r="A41" s="3040" t="s">
        <v>2533</v>
      </c>
      <c r="B41" s="3041" t="s">
        <v>2534</v>
      </c>
      <c r="C41" s="3042" t="s">
        <v>2535</v>
      </c>
      <c r="D41" s="3042" t="s">
        <v>2536</v>
      </c>
      <c r="E41" s="3043"/>
      <c r="F41" s="3044"/>
      <c r="G41" s="3045"/>
      <c r="I41" s="3052">
        <v>40</v>
      </c>
      <c r="J41" s="3052">
        <v>100</v>
      </c>
      <c r="K41" s="3052">
        <f t="shared" si="3"/>
        <v>2.7999999999999972</v>
      </c>
    </row>
    <row r="42" spans="1:13">
      <c r="A42" s="3040" t="s">
        <v>2537</v>
      </c>
      <c r="B42" s="3041" t="s">
        <v>2538</v>
      </c>
      <c r="C42" s="3042" t="s">
        <v>2539</v>
      </c>
      <c r="D42" s="3046" t="s">
        <v>2540</v>
      </c>
      <c r="E42" s="3038" t="s">
        <v>2541</v>
      </c>
      <c r="F42" s="3038"/>
      <c r="G42" s="3039"/>
    </row>
    <row r="43" spans="1:13">
      <c r="A43" s="3040" t="s">
        <v>2542</v>
      </c>
      <c r="B43" s="3041" t="s">
        <v>2543</v>
      </c>
      <c r="C43" s="3042" t="s">
        <v>2544</v>
      </c>
      <c r="D43" s="3042" t="s">
        <v>2545</v>
      </c>
      <c r="E43" s="3043" t="s">
        <v>2546</v>
      </c>
      <c r="F43" s="3044"/>
      <c r="G43" s="3045"/>
      <c r="I43" s="3052" t="s">
        <v>2554</v>
      </c>
      <c r="J43" s="3052" t="s">
        <v>2565</v>
      </c>
    </row>
    <row r="44" spans="1:13">
      <c r="A44" s="3040" t="s">
        <v>2547</v>
      </c>
      <c r="B44" s="3041" t="s">
        <v>2548</v>
      </c>
      <c r="C44" s="3042" t="s">
        <v>2549</v>
      </c>
      <c r="D44" s="3046">
        <v>0.5</v>
      </c>
      <c r="E44" s="3043" t="s">
        <v>2550</v>
      </c>
      <c r="F44" s="3044"/>
      <c r="G44" s="3045"/>
      <c r="I44" s="3052">
        <v>30</v>
      </c>
      <c r="J44" s="3052">
        <v>81.7</v>
      </c>
    </row>
    <row r="45" spans="1:13" ht="14.25" thickBot="1">
      <c r="A45" s="3047" t="s">
        <v>2551</v>
      </c>
      <c r="B45" s="3048" t="s">
        <v>2538</v>
      </c>
      <c r="C45" s="3049" t="s">
        <v>2538</v>
      </c>
      <c r="D45" s="3049" t="s">
        <v>2552</v>
      </c>
      <c r="E45" s="3050" t="s">
        <v>2553</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38" sqref="C3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2" customWidth="1"/>
    <col min="12" max="13" width="10" style="2623"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3" t="s">
        <v>2166</v>
      </c>
      <c r="B1" s="3504" t="str">
        <f>IF(B10="北京市","北京市",C10)&amp;F10&amp;IF(结果表!G1="在建","出让国有建设用地使用权及在建建筑物",IF(结果表!G1="土地","出让国有建设用地使用权",))&amp;B9&amp;"预评估"</f>
        <v>北京市朝阳区日坛北路17号院1号楼7层728号房地产市场价值预评估</v>
      </c>
      <c r="C1" s="3505"/>
      <c r="D1" s="3505"/>
      <c r="E1" s="3505"/>
      <c r="F1" s="3505"/>
      <c r="G1" s="3505"/>
      <c r="H1" s="3505"/>
      <c r="I1" s="3506"/>
      <c r="J1" s="2465"/>
      <c r="K1" s="2365"/>
      <c r="L1" s="2366"/>
      <c r="M1" s="2366"/>
      <c r="N1" s="2367"/>
      <c r="O1" s="1575"/>
      <c r="P1" s="2367"/>
      <c r="Q1" s="2367"/>
      <c r="R1" s="2367"/>
      <c r="S1" s="1681" t="str">
        <f>IF(B10="北京市","北京市",C10)&amp;F10&amp;IF(结果表!G1="在建","出让国有建设用地使用权及在建建筑物房地产抵押价值",IF(结果表!G1="土地","出让国有建设用地使用权抵押价值",B9))</f>
        <v>北京市朝阳区日坛北路17号院1号楼7层728号房地产市场价值</v>
      </c>
      <c r="T1" s="1744"/>
      <c r="U1" s="1744"/>
      <c r="V1" s="1744"/>
      <c r="W1" s="1744"/>
      <c r="X1" s="1744"/>
      <c r="Y1" s="1744"/>
      <c r="Z1" s="1744"/>
      <c r="AA1" s="1744"/>
      <c r="AB1" s="1744"/>
    </row>
    <row r="2" spans="1:30">
      <c r="A2" s="2364" t="s">
        <v>2167</v>
      </c>
      <c r="B2" s="2368"/>
      <c r="C2" s="2369"/>
      <c r="D2" s="2664"/>
      <c r="E2" s="2656"/>
      <c r="F2" s="2656"/>
      <c r="G2" s="2657"/>
      <c r="H2" s="2657"/>
      <c r="I2" s="2657"/>
      <c r="J2" s="2465"/>
      <c r="K2" s="2365"/>
      <c r="L2" s="2366"/>
      <c r="M2" s="2366"/>
      <c r="N2" s="2367"/>
      <c r="O2" s="1575"/>
      <c r="P2" s="2367"/>
      <c r="Q2" s="2367"/>
      <c r="R2" s="2367"/>
      <c r="S2" s="1681" t="str">
        <f>IF(B10="北京市","北京市",C10)&amp;F10&amp;IF(结果表!G1="在建","出让国有建设用地使用权及在建建筑物房地产",IF(结果表!G1="土地","出让国有建设用地使用权","房地产"))</f>
        <v>北京市朝阳区日坛北路17号院1号楼7层728号房地产</v>
      </c>
      <c r="T2" s="1744"/>
      <c r="U2" s="1744"/>
      <c r="V2" s="1744"/>
      <c r="W2" s="1744"/>
      <c r="X2" s="1744"/>
      <c r="Y2" s="1744"/>
      <c r="Z2" s="1744"/>
      <c r="AA2" s="1744"/>
      <c r="AB2" s="1744"/>
    </row>
    <row r="3" spans="1:30">
      <c r="A3" s="302" t="s">
        <v>2168</v>
      </c>
      <c r="B3" s="2370">
        <v>45135</v>
      </c>
      <c r="C3" s="2371" t="s">
        <v>2169</v>
      </c>
      <c r="D3" s="2370">
        <f>B3</f>
        <v>45135</v>
      </c>
      <c r="E3" s="2657"/>
      <c r="F3" s="2657"/>
      <c r="G3" s="2657"/>
      <c r="H3" s="2657"/>
      <c r="I3" s="2657"/>
      <c r="J3" s="2465"/>
      <c r="K3" s="2365"/>
      <c r="L3" s="2366"/>
      <c r="M3" s="2366"/>
      <c r="N3" s="2367"/>
      <c r="O3" s="1575"/>
      <c r="P3" s="2367"/>
      <c r="Q3" s="2367"/>
      <c r="R3" s="2367"/>
      <c r="S3" s="1681"/>
      <c r="T3" s="1744"/>
      <c r="U3" s="1744"/>
      <c r="V3" s="1744"/>
      <c r="W3" s="1744"/>
      <c r="X3" s="1744"/>
      <c r="Y3" s="1744"/>
      <c r="Z3" s="1744"/>
      <c r="AA3" s="1744"/>
      <c r="AB3" s="1744"/>
    </row>
    <row r="4" spans="1:30" ht="13.5" thickBot="1">
      <c r="A4" s="1089" t="s">
        <v>2170</v>
      </c>
      <c r="B4" s="2372" t="s">
        <v>3366</v>
      </c>
      <c r="C4" s="2373">
        <f ca="1">SUMIF(注册房地产估价师,B4,估价师及机构信息!B3:B24)</f>
        <v>1120070131</v>
      </c>
      <c r="D4" s="2372" t="s">
        <v>3366</v>
      </c>
      <c r="E4" s="2374">
        <f ca="1">SUMIF(注册房地产估价师,D4,估价师及机构信息!B3:B24)</f>
        <v>1120070131</v>
      </c>
      <c r="F4" s="2372"/>
      <c r="G4" s="2374">
        <f>SUMIF(注册房地产估价师,F4,估价师及机构信息!B3:B24)</f>
        <v>0</v>
      </c>
      <c r="H4" s="2372"/>
      <c r="I4" s="2374">
        <f>SUMIF(注册房地产估价师,H4,估价师及机构信息!B3:B24)</f>
        <v>0</v>
      </c>
      <c r="J4" s="2434"/>
      <c r="K4" s="2375" t="str">
        <f ca="1">CONCATENATE(B4,"（注册号：",C4,")、",D4,"（注册号：",E4,")")</f>
        <v>郑燚（注册号：1120070131)、郑燚（注册号：1120070131)</v>
      </c>
      <c r="L4" s="2366"/>
      <c r="M4" s="2366"/>
      <c r="N4" s="2367"/>
      <c r="O4" s="1575"/>
      <c r="P4" s="2367"/>
      <c r="Q4" s="2367"/>
      <c r="R4" s="2367"/>
      <c r="S4" s="1681"/>
      <c r="T4" s="1744"/>
      <c r="U4" s="1744"/>
      <c r="V4" s="1744"/>
      <c r="W4" s="1744"/>
      <c r="X4" s="1744"/>
      <c r="Y4" s="1744"/>
      <c r="Z4" s="1744"/>
      <c r="AA4" s="1744"/>
      <c r="AB4" s="1744"/>
    </row>
    <row r="5" spans="1:30" ht="13.5" thickTop="1">
      <c r="A5" s="2376" t="s">
        <v>2171</v>
      </c>
      <c r="B5" s="2377"/>
      <c r="C5" s="2378"/>
      <c r="D5" s="2379"/>
      <c r="E5" s="2658"/>
      <c r="F5" s="2658"/>
      <c r="G5" s="2658"/>
      <c r="H5" s="2658"/>
      <c r="I5" s="2658"/>
      <c r="J5" s="2434"/>
      <c r="K5" s="2375" t="str">
        <f>IF(F4="——","",IF(H4="——",F4&amp;"（注册号："&amp;G4&amp;")",CONCATENATE(F4,"（注册号：",G4,")、",H4,"（注册号：",I4,")")))</f>
        <v>（注册号：0)、（注册号：0)</v>
      </c>
      <c r="L5" s="2366"/>
      <c r="M5" s="2366"/>
      <c r="N5" s="2367"/>
      <c r="O5" s="1575"/>
      <c r="P5" s="2367"/>
      <c r="Q5" s="2367"/>
      <c r="R5" s="2367"/>
      <c r="S5" s="1744"/>
      <c r="T5" s="1744"/>
      <c r="U5" s="1744"/>
      <c r="V5" s="1744"/>
      <c r="W5" s="1744"/>
      <c r="X5" s="1744"/>
      <c r="Y5" s="1744"/>
      <c r="Z5" s="1744"/>
      <c r="AA5" s="1744"/>
      <c r="AB5" s="1744"/>
    </row>
    <row r="6" spans="1:30">
      <c r="A6" s="2380" t="s">
        <v>2172</v>
      </c>
      <c r="B6" s="3454" t="s">
        <v>3491</v>
      </c>
      <c r="C6" s="2381"/>
      <c r="D6" s="2382"/>
      <c r="E6" s="2656"/>
      <c r="F6" s="2658"/>
      <c r="G6" s="2658"/>
      <c r="H6" s="2658"/>
      <c r="I6" s="2658"/>
      <c r="J6" s="2434"/>
      <c r="K6" s="2609" t="str">
        <f>IF(COUNTIF(B6,"*上海银行*"),"上海银行","")</f>
        <v/>
      </c>
      <c r="L6" s="2607"/>
      <c r="M6" s="2607"/>
      <c r="N6" s="2434"/>
      <c r="O6" s="2445"/>
      <c r="P6" s="2434"/>
      <c r="Q6" s="2434"/>
      <c r="R6" s="2434"/>
    </row>
    <row r="7" spans="1:30">
      <c r="A7" s="2380" t="s">
        <v>2173</v>
      </c>
      <c r="B7" s="2383"/>
      <c r="C7" s="2381"/>
      <c r="D7" s="2382"/>
      <c r="E7" s="2656"/>
      <c r="F7" s="2658"/>
      <c r="G7" s="2658"/>
      <c r="H7" s="2658"/>
      <c r="I7" s="2658"/>
      <c r="J7" s="2434"/>
      <c r="K7" s="2610"/>
      <c r="L7" s="2607"/>
      <c r="M7" s="2607"/>
      <c r="N7" s="2434"/>
      <c r="O7" s="2445"/>
      <c r="P7" s="2434"/>
      <c r="Q7" s="2434"/>
      <c r="R7" s="2434"/>
    </row>
    <row r="8" spans="1:30">
      <c r="A8" s="2384" t="s">
        <v>2174</v>
      </c>
      <c r="B8" s="2385" t="s">
        <v>3367</v>
      </c>
      <c r="C8" s="2386"/>
      <c r="D8" s="3507" t="s">
        <v>2175</v>
      </c>
      <c r="E8" s="2387" t="s">
        <v>3368</v>
      </c>
      <c r="F8" s="2388"/>
      <c r="G8" s="2657"/>
      <c r="H8" s="2657"/>
      <c r="I8" s="2657"/>
      <c r="J8" s="2434"/>
      <c r="K8" s="2608"/>
      <c r="L8" s="2607"/>
      <c r="M8" s="2607"/>
      <c r="N8" s="2434"/>
      <c r="O8" s="2445"/>
      <c r="P8" s="2434"/>
      <c r="Q8" s="2434"/>
      <c r="R8" s="2434"/>
    </row>
    <row r="9" spans="1:30" ht="13.5" thickBot="1">
      <c r="A9" s="2389" t="s">
        <v>2176</v>
      </c>
      <c r="B9" s="2390" t="s">
        <v>3369</v>
      </c>
      <c r="C9" s="2391"/>
      <c r="D9" s="3508"/>
      <c r="E9" s="2390" t="s">
        <v>43</v>
      </c>
      <c r="F9" s="2392"/>
      <c r="G9" s="2659"/>
      <c r="H9" s="2659"/>
      <c r="I9" s="2659"/>
      <c r="J9" s="2434"/>
      <c r="K9" s="2610"/>
      <c r="L9" s="2607"/>
      <c r="M9" s="2607"/>
      <c r="N9" s="2434"/>
      <c r="O9" s="2445"/>
      <c r="P9" s="2434"/>
      <c r="Q9" s="2434"/>
      <c r="R9" s="2434"/>
    </row>
    <row r="10" spans="1:30" ht="13.5" thickTop="1">
      <c r="A10" s="2393" t="s">
        <v>2177</v>
      </c>
      <c r="B10" s="2394" t="s">
        <v>3370</v>
      </c>
      <c r="C10" s="2395"/>
      <c r="D10" s="2379"/>
      <c r="E10" s="2396" t="s">
        <v>2178</v>
      </c>
      <c r="F10" s="2660" t="s">
        <v>3492</v>
      </c>
      <c r="G10" s="2661"/>
      <c r="H10" s="2662"/>
      <c r="I10" s="2663"/>
      <c r="J10" s="2434"/>
      <c r="K10" s="2610"/>
      <c r="L10" s="2607"/>
      <c r="M10" s="2607"/>
      <c r="N10" s="2434"/>
      <c r="O10" s="2445"/>
      <c r="P10" s="2434"/>
      <c r="Q10" s="2434"/>
      <c r="R10" s="2434"/>
    </row>
    <row r="11" spans="1:30">
      <c r="A11" s="2397" t="s">
        <v>2179</v>
      </c>
      <c r="B11" s="2398" t="s">
        <v>3493</v>
      </c>
      <c r="C11" s="3455" t="s">
        <v>3494</v>
      </c>
      <c r="D11" s="2399"/>
      <c r="E11" s="2367"/>
      <c r="F11" s="2367"/>
      <c r="G11" s="2367"/>
      <c r="H11" s="2367"/>
      <c r="I11" s="2367"/>
      <c r="J11" s="3055"/>
      <c r="K11" s="3054"/>
      <c r="L11" s="2607"/>
      <c r="M11" s="2607"/>
      <c r="N11" s="2434"/>
      <c r="O11" s="2445"/>
      <c r="P11" s="2434"/>
      <c r="Q11" s="2434"/>
      <c r="R11" s="2434"/>
    </row>
    <row r="12" spans="1:30">
      <c r="A12" s="2400" t="s">
        <v>2180</v>
      </c>
      <c r="B12" s="323" t="s">
        <v>2181</v>
      </c>
      <c r="C12" s="2401" t="s">
        <v>2182</v>
      </c>
      <c r="D12" s="2401" t="s">
        <v>2183</v>
      </c>
      <c r="E12" s="2401" t="s">
        <v>2184</v>
      </c>
      <c r="F12" s="2401" t="s">
        <v>2185</v>
      </c>
      <c r="G12" s="2401" t="s">
        <v>2186</v>
      </c>
      <c r="H12" s="2401" t="s">
        <v>2187</v>
      </c>
      <c r="I12" s="3053" t="s">
        <v>2566</v>
      </c>
      <c r="J12" s="3056"/>
      <c r="K12" s="2607"/>
      <c r="L12" s="2607"/>
      <c r="M12" s="2434"/>
      <c r="N12" s="2445"/>
      <c r="O12" s="2434"/>
      <c r="P12" s="2434"/>
      <c r="Q12" s="2434"/>
      <c r="AD12" s="1744"/>
    </row>
    <row r="13" spans="1:30">
      <c r="A13" s="3417" t="s">
        <v>3324</v>
      </c>
      <c r="B13" s="2402" t="s">
        <v>2188</v>
      </c>
      <c r="C13" s="855"/>
      <c r="D13" s="855"/>
      <c r="E13" s="855">
        <v>55462</v>
      </c>
      <c r="F13" s="855"/>
      <c r="G13" s="855"/>
      <c r="H13" s="855"/>
      <c r="I13" s="855"/>
      <c r="J13" s="3056"/>
      <c r="K13" s="2607"/>
      <c r="L13" s="2607"/>
      <c r="M13" s="2434"/>
      <c r="N13" s="2445"/>
      <c r="O13" s="2434"/>
      <c r="P13" s="2434"/>
      <c r="Q13" s="2434"/>
      <c r="AD13" s="1744"/>
    </row>
    <row r="14" spans="1:30">
      <c r="A14" s="1080"/>
      <c r="B14" s="2402" t="s">
        <v>2189</v>
      </c>
      <c r="C14" s="2403">
        <v>70</v>
      </c>
      <c r="D14" s="2403">
        <v>40</v>
      </c>
      <c r="E14" s="2403">
        <v>50</v>
      </c>
      <c r="F14" s="2403">
        <v>50</v>
      </c>
      <c r="G14" s="2403">
        <v>50</v>
      </c>
      <c r="H14" s="2403">
        <v>50</v>
      </c>
      <c r="I14" s="2403">
        <v>50</v>
      </c>
      <c r="J14" s="3057"/>
      <c r="K14" s="2607"/>
      <c r="L14" s="2607"/>
      <c r="M14" s="2434"/>
      <c r="N14" s="2445"/>
      <c r="O14" s="2434"/>
      <c r="P14" s="2434"/>
      <c r="Q14" s="2434"/>
      <c r="AD14" s="1744"/>
    </row>
    <row r="15" spans="1:30">
      <c r="A15" s="320"/>
      <c r="B15" s="2404" t="s">
        <v>2190</v>
      </c>
      <c r="C15" s="2405" t="str">
        <f>IF(A13="出让",IF(C13="","",ROUNDDOWN(MIN((C13-$D$3)/365,C14),2)),C14)</f>
        <v/>
      </c>
      <c r="D15" s="2405" t="str">
        <f>IF(A13="出让",IF(D13="","",ROUNDDOWN(MIN((D13-$D$3)/365,D14),2)),D14)</f>
        <v/>
      </c>
      <c r="E15" s="2405">
        <f>IF(A13="出让",IF(E13="","",ROUNDDOWN(MIN((E13-$D$3)/365,E14),2)),E14)</f>
        <v>28.29</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8"/>
      <c r="K15" s="2446"/>
      <c r="L15" s="2446"/>
      <c r="M15" s="2503"/>
      <c r="N15" s="2446"/>
      <c r="O15" s="2503"/>
      <c r="P15" s="2434"/>
      <c r="Q15" s="2434"/>
      <c r="AD15" s="1744"/>
    </row>
    <row r="16" spans="1:30">
      <c r="A16" s="2396" t="s">
        <v>2191</v>
      </c>
      <c r="B16" s="3514"/>
      <c r="C16" s="3515"/>
      <c r="D16" s="3516"/>
      <c r="E16" s="2408" t="s">
        <v>2192</v>
      </c>
      <c r="F16" s="3517"/>
      <c r="G16" s="3518"/>
      <c r="H16" s="3518"/>
      <c r="I16" s="3519"/>
      <c r="J16" s="2434"/>
      <c r="K16" s="2611"/>
      <c r="L16" s="2446"/>
      <c r="M16" s="2446"/>
      <c r="N16" s="2503"/>
      <c r="O16" s="2446"/>
      <c r="P16" s="2503"/>
      <c r="Q16" s="2434"/>
      <c r="R16" s="2434"/>
    </row>
    <row r="17" spans="1:28">
      <c r="A17" s="313" t="s">
        <v>2193</v>
      </c>
      <c r="B17" s="302" t="s">
        <v>2194</v>
      </c>
      <c r="C17" s="8">
        <f>'数据-汇总表'!E3</f>
        <v>120.57</v>
      </c>
      <c r="D17" s="2319" t="s">
        <v>2195</v>
      </c>
      <c r="E17" s="3520" t="s">
        <v>2196</v>
      </c>
      <c r="F17" s="3521"/>
      <c r="G17" s="3521"/>
      <c r="H17" s="3521"/>
      <c r="I17" s="3522"/>
      <c r="J17" s="2434"/>
      <c r="K17" s="2612"/>
      <c r="L17" s="2446"/>
      <c r="M17" s="2446"/>
      <c r="N17" s="2503"/>
      <c r="O17" s="2446"/>
      <c r="P17" s="2503"/>
      <c r="Q17" s="2434"/>
      <c r="R17" s="2434"/>
      <c r="S17" s="2434"/>
      <c r="T17" s="2434"/>
      <c r="U17" s="2434"/>
      <c r="V17" s="2434"/>
    </row>
    <row r="18" spans="1:28" ht="24.75" thickBot="1">
      <c r="A18" s="2409" t="s">
        <v>2197</v>
      </c>
      <c r="B18" s="1089" t="s">
        <v>2198</v>
      </c>
      <c r="C18" s="2410">
        <f>'数据-汇总表'!D3</f>
        <v>30.64</v>
      </c>
      <c r="D18" s="1091" t="s">
        <v>2199</v>
      </c>
      <c r="E18" s="3523" t="s">
        <v>2200</v>
      </c>
      <c r="F18" s="3524"/>
      <c r="G18" s="3524"/>
      <c r="H18" s="3524"/>
      <c r="I18" s="3525"/>
      <c r="J18" s="2434"/>
      <c r="K18" s="2612"/>
      <c r="L18" s="2446"/>
      <c r="M18" s="2446"/>
      <c r="N18" s="2503"/>
      <c r="O18" s="2446"/>
      <c r="P18" s="2503"/>
      <c r="Q18" s="2434"/>
      <c r="R18" s="2434"/>
      <c r="S18" s="2434"/>
      <c r="T18" s="2434"/>
      <c r="U18" s="2434"/>
      <c r="V18" s="2434"/>
    </row>
    <row r="19" spans="1:28" ht="37.5" thickTop="1" thickBot="1">
      <c r="A19" s="327" t="s">
        <v>1055</v>
      </c>
      <c r="B19" s="307" t="s">
        <v>2201</v>
      </c>
      <c r="C19" s="1562" t="s">
        <v>3373</v>
      </c>
      <c r="D19" s="1563" t="s">
        <v>2202</v>
      </c>
      <c r="E19" s="1564"/>
      <c r="F19" s="1565" t="str">
        <f>IF(AND(C19="是",E19="否"),"是否提供他项权证或相关说明","")</f>
        <v/>
      </c>
      <c r="G19" s="1566"/>
      <c r="H19" s="2658"/>
      <c r="I19" s="2658"/>
      <c r="J19" s="2434"/>
      <c r="K19" s="2610"/>
      <c r="L19" s="2607"/>
      <c r="M19" s="2607"/>
      <c r="N19" s="2503"/>
      <c r="O19" s="2446"/>
      <c r="P19" s="2503"/>
      <c r="Q19" s="2434"/>
      <c r="R19" s="2434"/>
      <c r="S19" s="2434"/>
      <c r="T19" s="2434"/>
      <c r="U19" s="2434"/>
      <c r="V19" s="2434"/>
    </row>
    <row r="20" spans="1:28">
      <c r="A20" s="2626" t="s">
        <v>2203</v>
      </c>
      <c r="B20" s="3510" t="s">
        <v>2204</v>
      </c>
      <c r="C20" s="3511"/>
      <c r="D20" s="3512" t="s">
        <v>2205</v>
      </c>
      <c r="E20" s="3513"/>
      <c r="F20" s="2641" t="s">
        <v>1056</v>
      </c>
      <c r="G20" s="2658"/>
      <c r="H20" s="2658"/>
      <c r="I20" s="2658"/>
      <c r="J20" s="2434"/>
      <c r="K20" s="3509" t="s">
        <v>2206</v>
      </c>
      <c r="L20" s="68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6"/>
      <c r="N20" s="2407"/>
      <c r="O20" s="2406"/>
      <c r="P20" s="2407"/>
      <c r="Q20" s="2367"/>
      <c r="R20" s="2367"/>
      <c r="S20" s="2367"/>
      <c r="T20" s="2367"/>
      <c r="U20" s="2367"/>
      <c r="V20" s="2367"/>
      <c r="W20" s="1744"/>
      <c r="X20" s="1744"/>
      <c r="Y20" s="1744"/>
      <c r="Z20" s="1744"/>
      <c r="AA20" s="1744"/>
      <c r="AB20" s="1744"/>
    </row>
    <row r="21" spans="1:28" ht="26.25" thickBot="1">
      <c r="A21" s="2626"/>
      <c r="B21" s="2627" t="s">
        <v>3371</v>
      </c>
      <c r="C21" s="2628" t="s">
        <v>3495</v>
      </c>
      <c r="D21" s="1567"/>
      <c r="E21" s="2629"/>
      <c r="F21" s="2642"/>
      <c r="G21" s="2658"/>
      <c r="H21" s="2658"/>
      <c r="I21" s="2658"/>
      <c r="J21" s="2434"/>
      <c r="K21" s="3509"/>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6"/>
      <c r="N21" s="2407"/>
      <c r="O21" s="2406"/>
      <c r="P21" s="2407"/>
      <c r="Q21" s="2367"/>
      <c r="R21" s="2367"/>
      <c r="S21" s="2367"/>
      <c r="T21" s="2367"/>
      <c r="U21" s="2367"/>
      <c r="V21" s="2367"/>
      <c r="W21" s="1744"/>
      <c r="X21" s="1744"/>
      <c r="Y21" s="1744"/>
      <c r="Z21" s="1744"/>
      <c r="AA21" s="1744"/>
      <c r="AB21" s="1744"/>
    </row>
    <row r="22" spans="1:28" ht="13.5" thickBot="1">
      <c r="A22" s="2626"/>
      <c r="B22" s="2630"/>
      <c r="C22" s="2628"/>
      <c r="D22" s="2657"/>
      <c r="E22" s="2657"/>
      <c r="F22" s="2657"/>
      <c r="G22" s="2658"/>
      <c r="H22" s="2658"/>
      <c r="I22" s="2658"/>
      <c r="J22" s="2434"/>
      <c r="K22" s="3509"/>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7"/>
      <c r="O22" s="2406"/>
      <c r="P22" s="2407"/>
      <c r="Q22" s="2367"/>
      <c r="R22" s="2367"/>
      <c r="S22" s="2367"/>
      <c r="T22" s="2367"/>
      <c r="U22" s="2367"/>
      <c r="V22" s="2367"/>
      <c r="W22" s="1744"/>
      <c r="X22" s="1744"/>
      <c r="Y22" s="1744"/>
      <c r="Z22" s="1744"/>
      <c r="AA22" s="1744"/>
      <c r="AB22" s="1744"/>
    </row>
    <row r="23" spans="1:28">
      <c r="A23" s="2631" t="s">
        <v>2207</v>
      </c>
      <c r="B23" s="2496" t="s">
        <v>2208</v>
      </c>
      <c r="C23" s="2632"/>
      <c r="D23" s="2633" t="s">
        <v>2208</v>
      </c>
      <c r="E23" s="2634"/>
      <c r="F23" s="2657"/>
      <c r="G23" s="2658"/>
      <c r="H23" s="2658"/>
      <c r="I23" s="2658"/>
      <c r="J23" s="2434"/>
      <c r="K23" s="2613"/>
      <c r="L23" s="2469"/>
      <c r="M23" s="2607"/>
      <c r="N23" s="2503"/>
      <c r="O23" s="2446"/>
      <c r="P23" s="2503"/>
      <c r="Q23" s="2434"/>
      <c r="R23" s="2434"/>
      <c r="S23" s="2434"/>
      <c r="T23" s="2434"/>
      <c r="U23" s="2434"/>
      <c r="V23" s="2434"/>
    </row>
    <row r="24" spans="1:28">
      <c r="A24" s="2631"/>
      <c r="B24" s="2496" t="s">
        <v>1057</v>
      </c>
      <c r="C24" s="2635"/>
      <c r="D24" s="2631" t="s">
        <v>1057</v>
      </c>
      <c r="E24" s="2636"/>
      <c r="F24" s="2657"/>
      <c r="G24" s="2658"/>
      <c r="H24" s="2658"/>
      <c r="I24" s="2658"/>
      <c r="J24" s="2434"/>
      <c r="K24" s="2613"/>
      <c r="L24" s="2469"/>
      <c r="M24" s="2607"/>
      <c r="N24" s="2503"/>
      <c r="O24" s="2446"/>
      <c r="P24" s="2503"/>
      <c r="Q24" s="2434"/>
      <c r="R24" s="2434"/>
      <c r="S24" s="2434"/>
      <c r="T24" s="2434"/>
      <c r="U24" s="2434"/>
      <c r="V24" s="2434"/>
    </row>
    <row r="25" spans="1:28">
      <c r="A25" s="2631"/>
      <c r="B25" s="2496" t="s">
        <v>1058</v>
      </c>
      <c r="C25" s="2635"/>
      <c r="D25" s="2631" t="s">
        <v>1058</v>
      </c>
      <c r="E25" s="2636"/>
      <c r="F25" s="2657"/>
      <c r="G25" s="2658"/>
      <c r="H25" s="2658"/>
      <c r="I25" s="2658"/>
      <c r="J25" s="2434"/>
      <c r="K25" s="2610"/>
      <c r="L25" s="2607"/>
      <c r="M25" s="2607"/>
      <c r="N25" s="2503"/>
      <c r="O25" s="2446"/>
      <c r="P25" s="2503"/>
      <c r="Q25" s="2434"/>
      <c r="R25" s="2434"/>
      <c r="S25" s="2434"/>
      <c r="T25" s="2434"/>
      <c r="U25" s="2434"/>
      <c r="V25" s="2434"/>
    </row>
    <row r="26" spans="1:28" ht="13.5" thickBot="1">
      <c r="A26" s="2637"/>
      <c r="B26" s="2638" t="s">
        <v>1059</v>
      </c>
      <c r="C26" s="2639"/>
      <c r="D26" s="2637" t="s">
        <v>1059</v>
      </c>
      <c r="E26" s="2640"/>
      <c r="F26" s="2659"/>
      <c r="G26" s="2659"/>
      <c r="H26" s="2659"/>
      <c r="I26" s="2659"/>
      <c r="J26" s="2434"/>
      <c r="K26" s="2610"/>
      <c r="L26" s="2607"/>
      <c r="M26" s="2607"/>
      <c r="N26" s="2503"/>
      <c r="O26" s="2446"/>
      <c r="P26" s="2503"/>
      <c r="Q26" s="2434"/>
      <c r="R26" s="2434"/>
      <c r="S26" s="2434"/>
      <c r="T26" s="2434"/>
      <c r="U26" s="2434"/>
      <c r="V26" s="2434"/>
    </row>
    <row r="27" spans="1:28" ht="13.5" thickTop="1">
      <c r="A27" s="3527" t="s">
        <v>2209</v>
      </c>
      <c r="B27" s="320" t="s">
        <v>2210</v>
      </c>
      <c r="C27" s="2411" t="s">
        <v>3496</v>
      </c>
      <c r="D27" s="2412"/>
      <c r="E27" s="2658"/>
      <c r="F27" s="2658"/>
      <c r="G27" s="2658"/>
      <c r="H27" s="2658"/>
      <c r="I27" s="2658"/>
      <c r="J27" s="2434"/>
      <c r="K27" s="2611"/>
      <c r="L27" s="2446"/>
      <c r="M27" s="2446"/>
      <c r="N27" s="2503"/>
      <c r="O27" s="2446"/>
      <c r="P27" s="2503"/>
      <c r="Q27" s="2434"/>
      <c r="R27" s="2434"/>
      <c r="S27" s="2434"/>
      <c r="T27" s="2434"/>
      <c r="U27" s="2434"/>
      <c r="V27" s="2434"/>
    </row>
    <row r="28" spans="1:28">
      <c r="A28" s="3527"/>
      <c r="B28" s="302" t="s">
        <v>2211</v>
      </c>
      <c r="C28" s="2413" t="s">
        <v>3372</v>
      </c>
      <c r="D28" s="2414"/>
      <c r="E28" s="2658"/>
      <c r="F28" s="2658"/>
      <c r="G28" s="2658"/>
      <c r="H28" s="2658"/>
      <c r="I28" s="2658"/>
      <c r="J28" s="2434"/>
      <c r="K28" s="2610"/>
      <c r="L28" s="2607"/>
      <c r="M28" s="2607"/>
      <c r="N28" s="2434"/>
      <c r="O28" s="2445"/>
      <c r="P28" s="2434"/>
      <c r="Q28" s="2434"/>
      <c r="R28" s="2434"/>
      <c r="S28" s="2434"/>
      <c r="T28" s="2434"/>
      <c r="U28" s="2434"/>
      <c r="V28" s="2434"/>
    </row>
    <row r="29" spans="1:28">
      <c r="A29" s="3527"/>
      <c r="B29" s="302" t="s">
        <v>2212</v>
      </c>
      <c r="C29" s="2415" t="s">
        <v>3373</v>
      </c>
      <c r="D29" s="2416"/>
      <c r="E29" s="2658"/>
      <c r="F29" s="2658"/>
      <c r="G29" s="2658"/>
      <c r="H29" s="2658"/>
      <c r="I29" s="2658"/>
      <c r="J29" s="2434"/>
      <c r="K29" s="2610"/>
      <c r="L29" s="2607"/>
      <c r="M29" s="2607"/>
      <c r="N29" s="2434"/>
      <c r="O29" s="2445"/>
      <c r="P29" s="2434"/>
      <c r="Q29" s="2434"/>
      <c r="R29" s="2434"/>
      <c r="S29" s="2434"/>
      <c r="T29" s="2434"/>
      <c r="U29" s="2434"/>
      <c r="V29" s="2434"/>
    </row>
    <row r="30" spans="1:28">
      <c r="A30" s="3528"/>
      <c r="B30" s="302" t="s">
        <v>2213</v>
      </c>
      <c r="C30" s="3529"/>
      <c r="D30" s="3530"/>
      <c r="E30" s="2658"/>
      <c r="F30" s="2658"/>
      <c r="G30" s="2658"/>
      <c r="H30" s="2658"/>
      <c r="I30" s="2658"/>
      <c r="J30" s="2434"/>
      <c r="K30" s="2610"/>
      <c r="L30" s="2607"/>
      <c r="M30" s="2607"/>
      <c r="N30" s="2434"/>
      <c r="O30" s="2445"/>
      <c r="P30" s="2434"/>
      <c r="Q30" s="2434"/>
      <c r="R30" s="2434"/>
      <c r="S30" s="2434"/>
      <c r="T30" s="2434"/>
      <c r="U30" s="2434"/>
      <c r="V30" s="2434"/>
    </row>
    <row r="31" spans="1:28">
      <c r="A31" s="3531" t="s">
        <v>2214</v>
      </c>
      <c r="B31" s="2417" t="s">
        <v>3374</v>
      </c>
      <c r="C31" s="2320" t="str">
        <f>IF(B31="现房","成新及维护状况正常否",IF(B31="在建","工程状态是否正常",IF(B31="土地","是否闲置","-")))</f>
        <v>成新及维护状况正常否</v>
      </c>
      <c r="D31" s="1372"/>
      <c r="E31" s="2418"/>
      <c r="F31" s="2658"/>
      <c r="G31" s="2658"/>
      <c r="H31" s="2658"/>
      <c r="I31" s="2658"/>
      <c r="J31" s="2434"/>
      <c r="K31" s="2609"/>
      <c r="L31" s="2607"/>
      <c r="M31" s="2607"/>
      <c r="N31" s="2434"/>
      <c r="O31" s="2445"/>
      <c r="P31" s="2434"/>
      <c r="Q31" s="2434"/>
      <c r="R31" s="2434"/>
      <c r="S31" s="2434"/>
      <c r="T31" s="2434"/>
      <c r="U31" s="2434"/>
      <c r="V31" s="2434"/>
    </row>
    <row r="32" spans="1:28">
      <c r="A32" s="3532"/>
      <c r="B32" s="2417"/>
      <c r="C32" s="2320" t="str">
        <f>IF(B32="现房","成新及维护状况是否正常",IF(B32="在建","工程状态是否正常",IF(B32="土地","是否闲置","-")))</f>
        <v>-</v>
      </c>
      <c r="D32" s="1372"/>
      <c r="E32" s="2418"/>
      <c r="F32" s="2658"/>
      <c r="G32" s="2658"/>
      <c r="H32" s="2658"/>
      <c r="I32" s="2658"/>
      <c r="J32" s="2434"/>
      <c r="K32" s="2610"/>
      <c r="L32" s="2607"/>
      <c r="M32" s="2607"/>
      <c r="N32" s="2434"/>
      <c r="O32" s="2445"/>
      <c r="P32" s="2434"/>
      <c r="Q32" s="2434"/>
      <c r="R32" s="2434"/>
      <c r="S32" s="2434"/>
      <c r="T32" s="2434"/>
      <c r="U32" s="2434"/>
      <c r="V32" s="2434"/>
    </row>
    <row r="33" spans="1:30">
      <c r="A33" s="3532"/>
      <c r="B33" s="2420"/>
      <c r="C33" s="1589" t="str">
        <f>IF(B33="现房","成新及维护状况是否正常",IF(B33="在建","工程状态是否正常",IF(B33="土地","是否闲置","-")))</f>
        <v>-</v>
      </c>
      <c r="D33" s="1364"/>
      <c r="E33" s="2421"/>
      <c r="F33" s="2658"/>
      <c r="G33" s="2658"/>
      <c r="H33" s="2658"/>
      <c r="I33" s="2658"/>
      <c r="J33" s="2434"/>
      <c r="K33" s="2610"/>
      <c r="L33" s="2607"/>
      <c r="M33" s="2607"/>
      <c r="N33" s="2434"/>
      <c r="O33" s="2445"/>
      <c r="P33" s="2434"/>
      <c r="Q33" s="2434"/>
      <c r="R33" s="2434"/>
      <c r="S33" s="2434"/>
      <c r="T33" s="2434"/>
      <c r="U33" s="2434"/>
      <c r="V33" s="2434"/>
    </row>
    <row r="34" spans="1:30">
      <c r="A34" s="302" t="s">
        <v>2215</v>
      </c>
      <c r="B34" s="2023" t="s">
        <v>3375</v>
      </c>
      <c r="C34" s="2023" t="s">
        <v>3376</v>
      </c>
      <c r="D34" s="2023" t="s">
        <v>3377</v>
      </c>
      <c r="E34" s="2023" t="s">
        <v>3378</v>
      </c>
      <c r="F34" s="2023" t="s">
        <v>3379</v>
      </c>
      <c r="G34" s="2023" t="s">
        <v>3380</v>
      </c>
      <c r="H34" s="2023"/>
      <c r="I34" s="2658"/>
      <c r="J34" s="2434"/>
      <c r="K34" s="2422">
        <f>COUNTIF(B34:H34,"——")</f>
        <v>0</v>
      </c>
      <c r="L34" s="323" t="s">
        <v>2216</v>
      </c>
      <c r="M34" s="323" t="s">
        <v>2217</v>
      </c>
      <c r="N34" s="323" t="s">
        <v>2218</v>
      </c>
      <c r="O34" s="323" t="s">
        <v>2219</v>
      </c>
      <c r="P34" s="323" t="s">
        <v>2220</v>
      </c>
      <c r="Q34" s="323" t="s">
        <v>2221</v>
      </c>
      <c r="R34" s="323" t="s">
        <v>2222</v>
      </c>
      <c r="S34" s="3526" t="s">
        <v>2223</v>
      </c>
      <c r="T34" s="2423" t="str">
        <f>NUMBERSTRING(7-K34,1)&amp;"通"</f>
        <v>七通</v>
      </c>
      <c r="U34" s="2434"/>
      <c r="V34" s="2434"/>
    </row>
    <row r="35" spans="1:30">
      <c r="A35" s="2424"/>
      <c r="B35" s="3533" t="s">
        <v>2224</v>
      </c>
      <c r="C35" s="3533"/>
      <c r="D35" s="3533"/>
      <c r="E35" s="3533"/>
      <c r="F35" s="663">
        <f>C10</f>
        <v>0</v>
      </c>
      <c r="G35" s="2658"/>
      <c r="H35" s="2658"/>
      <c r="I35" s="2658"/>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26"/>
      <c r="T35" s="329" t="str">
        <f>IF(T34="一通",L35,IF(T34="二通",M35,IF(T34="三通",N35,IF(T34="四通",O35,IF(T34="五通",P35,IF(T34="六通",Q35,R35))))))</f>
        <v>通路、通电、通讯、通上水、通下水、平整、</v>
      </c>
      <c r="U35" s="2434"/>
      <c r="V35" s="2434"/>
    </row>
    <row r="36" spans="1:30">
      <c r="A36" s="2425"/>
      <c r="B36" s="663" t="s">
        <v>2183</v>
      </c>
      <c r="C36" s="663" t="s">
        <v>2184</v>
      </c>
      <c r="D36" s="663" t="s">
        <v>2182</v>
      </c>
      <c r="E36" s="663" t="s">
        <v>2187</v>
      </c>
      <c r="F36" s="3059" t="s">
        <v>2569</v>
      </c>
      <c r="G36" s="2658"/>
      <c r="H36" s="2658"/>
      <c r="I36" s="2658"/>
      <c r="J36" s="2434"/>
      <c r="K36" s="2610"/>
      <c r="L36" s="2607"/>
      <c r="M36" s="2607"/>
      <c r="N36" s="2434"/>
      <c r="O36" s="2445"/>
      <c r="P36" s="2434"/>
      <c r="Q36" s="2434"/>
      <c r="R36" s="2434"/>
      <c r="S36" s="2434"/>
      <c r="T36" s="2434"/>
      <c r="U36" s="2434"/>
      <c r="V36" s="2434"/>
    </row>
    <row r="37" spans="1:30">
      <c r="A37" s="2624" t="s">
        <v>2225</v>
      </c>
      <c r="B37" s="2426"/>
      <c r="C37" s="2426" t="s">
        <v>144</v>
      </c>
      <c r="D37" s="2426"/>
      <c r="E37" s="2426"/>
      <c r="F37" s="2426"/>
      <c r="G37" s="2658"/>
      <c r="H37" s="2658"/>
      <c r="I37" s="2658"/>
      <c r="J37" s="2434"/>
      <c r="K37" s="2610"/>
      <c r="L37" s="2607"/>
      <c r="M37" s="2607"/>
      <c r="N37" s="2434"/>
      <c r="O37" s="2445"/>
      <c r="P37" s="2434"/>
      <c r="Q37" s="2434"/>
      <c r="R37" s="2434"/>
      <c r="S37" s="2434"/>
      <c r="T37" s="2434"/>
      <c r="U37" s="2434"/>
      <c r="V37" s="2434"/>
    </row>
    <row r="38" spans="1:30" ht="13.5" thickBot="1">
      <c r="A38" s="2625" t="s">
        <v>2226</v>
      </c>
      <c r="B38" s="2427"/>
      <c r="C38" s="2427" t="s">
        <v>145</v>
      </c>
      <c r="D38" s="2427"/>
      <c r="E38" s="2427"/>
      <c r="F38" s="2427"/>
      <c r="G38" s="2659"/>
      <c r="H38" s="2659"/>
      <c r="I38" s="2659"/>
      <c r="J38" s="2434"/>
      <c r="K38" s="2610"/>
      <c r="L38" s="2607"/>
      <c r="M38" s="2607"/>
      <c r="N38" s="2434"/>
      <c r="O38" s="2445"/>
      <c r="P38" s="2434"/>
      <c r="Q38" s="2434"/>
      <c r="R38" s="2434"/>
      <c r="S38" s="2434"/>
      <c r="T38" s="2434"/>
      <c r="U38" s="2434"/>
      <c r="V38" s="2434"/>
    </row>
    <row r="39" spans="1:30" s="2430" customFormat="1" ht="14.25" thickTop="1" thickBot="1">
      <c r="A39" s="2428" t="s">
        <v>2227</v>
      </c>
      <c r="B39" s="2429"/>
      <c r="C39" s="2429"/>
      <c r="D39" s="2429"/>
      <c r="E39" s="2429"/>
      <c r="F39" s="2429"/>
      <c r="G39" s="2429"/>
      <c r="H39" s="2429"/>
      <c r="I39" s="2429"/>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7"/>
      <c r="B40" s="2367"/>
      <c r="C40" s="2367"/>
      <c r="D40" s="2367"/>
      <c r="E40" s="2367"/>
      <c r="F40" s="2367"/>
      <c r="G40" s="2367"/>
      <c r="H40" s="2367"/>
      <c r="I40" s="1577"/>
      <c r="J40" s="2503"/>
      <c r="K40" s="2609"/>
      <c r="L40" s="2446"/>
      <c r="M40" s="2446"/>
      <c r="N40" s="2503"/>
      <c r="O40" s="2446"/>
      <c r="P40" s="2434"/>
      <c r="Q40" s="2434"/>
      <c r="R40" s="2434"/>
      <c r="S40" s="2434"/>
      <c r="T40" s="2434"/>
      <c r="U40" s="2434"/>
      <c r="V40" s="2434"/>
    </row>
    <row r="41" spans="1:30">
      <c r="A41" s="2431" t="s">
        <v>2228</v>
      </c>
      <c r="B41" s="1756"/>
      <c r="C41" s="1372"/>
      <c r="D41" s="2367"/>
      <c r="E41" s="2367"/>
      <c r="F41" s="2367"/>
      <c r="G41" s="2367"/>
      <c r="H41" s="2367"/>
      <c r="I41" s="1575"/>
      <c r="J41" s="2434"/>
      <c r="K41" s="2610"/>
      <c r="L41" s="2607"/>
      <c r="M41" s="2607"/>
      <c r="N41" s="2434"/>
      <c r="O41" s="2445"/>
      <c r="P41" s="2434"/>
      <c r="Q41" s="2434"/>
      <c r="R41" s="2434"/>
      <c r="S41" s="2434"/>
      <c r="T41" s="2434"/>
      <c r="U41" s="2434"/>
      <c r="V41" s="2434"/>
    </row>
    <row r="42" spans="1:30" ht="25.5">
      <c r="A42" s="323" t="s">
        <v>2229</v>
      </c>
      <c r="B42" s="8" t="s">
        <v>2230</v>
      </c>
      <c r="C42" s="8" t="s">
        <v>2231</v>
      </c>
      <c r="D42" s="8" t="s">
        <v>2232</v>
      </c>
      <c r="E42" s="8" t="s">
        <v>2233</v>
      </c>
      <c r="F42" s="8" t="s">
        <v>2234</v>
      </c>
      <c r="G42" s="8" t="s">
        <v>2235</v>
      </c>
      <c r="H42" s="8" t="s">
        <v>2236</v>
      </c>
      <c r="I42" s="8" t="s">
        <v>2237</v>
      </c>
      <c r="J42" s="2620" t="s">
        <v>2238</v>
      </c>
      <c r="K42" s="2621" t="s">
        <v>2239</v>
      </c>
      <c r="L42" s="2621" t="s">
        <v>2240</v>
      </c>
      <c r="M42" s="2621" t="s">
        <v>2241</v>
      </c>
      <c r="N42" s="2614" t="s">
        <v>2242</v>
      </c>
      <c r="O42" s="2614" t="s">
        <v>2243</v>
      </c>
      <c r="P42" s="2614" t="s">
        <v>2244</v>
      </c>
      <c r="Q42" s="2615" t="s">
        <v>2245</v>
      </c>
      <c r="R42" s="2615" t="s">
        <v>2246</v>
      </c>
      <c r="S42" s="2434"/>
      <c r="T42" s="2434"/>
      <c r="U42" s="2434"/>
      <c r="V42" s="2434"/>
    </row>
    <row r="43" spans="1:30" s="1742" customFormat="1">
      <c r="A43" s="1569"/>
      <c r="B43" s="1050"/>
      <c r="C43" s="1050"/>
      <c r="D43" s="1050"/>
      <c r="E43" s="1050"/>
      <c r="F43" s="1050"/>
      <c r="G43" s="1050"/>
      <c r="H43" s="1050"/>
      <c r="I43" s="1050"/>
      <c r="J43" s="2432"/>
      <c r="K43" s="2433"/>
      <c r="L43" s="2433"/>
      <c r="M43" s="1050"/>
      <c r="N43" s="1050"/>
      <c r="O43" s="1050"/>
      <c r="P43" s="1050"/>
      <c r="Q43" s="1050"/>
      <c r="R43" s="1050"/>
      <c r="S43" s="2434"/>
      <c r="T43" s="2434"/>
      <c r="U43" s="2434"/>
      <c r="V43" s="2434"/>
    </row>
    <row r="44" spans="1:30" s="1742" customFormat="1">
      <c r="A44" s="1569"/>
      <c r="B44" s="1569"/>
      <c r="C44" s="1050"/>
      <c r="D44" s="1050"/>
      <c r="E44" s="1050"/>
      <c r="F44" s="1050"/>
      <c r="G44" s="1050"/>
      <c r="H44" s="1050"/>
      <c r="I44" s="1050"/>
      <c r="J44" s="2432"/>
      <c r="K44" s="2433"/>
      <c r="L44" s="2433"/>
      <c r="M44" s="1050"/>
      <c r="N44" s="1050"/>
      <c r="O44" s="1050"/>
      <c r="P44" s="1050"/>
      <c r="Q44" s="1050"/>
      <c r="R44" s="1050"/>
      <c r="S44" s="2434"/>
      <c r="T44" s="2434"/>
      <c r="U44" s="2434"/>
      <c r="V44" s="2434"/>
    </row>
    <row r="45" spans="1:30" s="1742" customFormat="1">
      <c r="A45" s="1569"/>
      <c r="B45" s="1569"/>
      <c r="C45" s="1050"/>
      <c r="D45" s="1050"/>
      <c r="E45" s="1050"/>
      <c r="F45" s="1050"/>
      <c r="G45" s="1050"/>
      <c r="H45" s="1050"/>
      <c r="I45" s="1050"/>
      <c r="J45" s="2432"/>
      <c r="K45" s="2433"/>
      <c r="L45" s="2433"/>
      <c r="M45" s="1050"/>
      <c r="N45" s="1050"/>
      <c r="O45" s="1050"/>
      <c r="P45" s="1050"/>
      <c r="Q45" s="1050"/>
      <c r="R45" s="1050"/>
      <c r="S45" s="2434"/>
      <c r="T45" s="2434"/>
      <c r="U45" s="2434"/>
      <c r="V45" s="2434"/>
    </row>
    <row r="46" spans="1:30" s="1742" customFormat="1">
      <c r="A46" s="1569"/>
      <c r="B46" s="1569"/>
      <c r="C46" s="1050"/>
      <c r="D46" s="1050"/>
      <c r="E46" s="1050"/>
      <c r="F46" s="1050"/>
      <c r="G46" s="1050"/>
      <c r="H46" s="1050"/>
      <c r="I46" s="1050"/>
      <c r="J46" s="2432"/>
      <c r="K46" s="2433"/>
      <c r="L46" s="2433"/>
      <c r="M46" s="1050"/>
      <c r="N46" s="1050"/>
      <c r="O46" s="1050"/>
      <c r="P46" s="1050"/>
      <c r="Q46" s="1050"/>
      <c r="R46" s="1050"/>
      <c r="S46" s="2434"/>
      <c r="T46" s="2434"/>
      <c r="U46" s="2434"/>
      <c r="V46" s="2434"/>
    </row>
    <row r="47" spans="1:30" s="1742" customFormat="1">
      <c r="A47" s="1569"/>
      <c r="B47" s="1569"/>
      <c r="C47" s="1050"/>
      <c r="D47" s="1050"/>
      <c r="E47" s="1050"/>
      <c r="F47" s="1050"/>
      <c r="G47" s="1050"/>
      <c r="H47" s="1050"/>
      <c r="I47" s="1050"/>
      <c r="J47" s="2432"/>
      <c r="K47" s="2433"/>
      <c r="L47" s="2433"/>
      <c r="M47" s="1050"/>
      <c r="N47" s="1050"/>
      <c r="O47" s="1050"/>
      <c r="P47" s="1050"/>
      <c r="Q47" s="1050"/>
      <c r="R47" s="1050"/>
      <c r="S47" s="2434"/>
      <c r="T47" s="2434"/>
      <c r="U47" s="2434"/>
      <c r="V47" s="2434"/>
    </row>
    <row r="48" spans="1:30" s="1742" customFormat="1">
      <c r="A48" s="1569"/>
      <c r="B48" s="1569"/>
      <c r="C48" s="1050"/>
      <c r="D48" s="1050"/>
      <c r="E48" s="1050"/>
      <c r="F48" s="1050"/>
      <c r="G48" s="1050"/>
      <c r="H48" s="1050"/>
      <c r="I48" s="1050"/>
      <c r="J48" s="2432"/>
      <c r="K48" s="2433"/>
      <c r="L48" s="2433"/>
      <c r="M48" s="1050"/>
      <c r="N48" s="1050"/>
      <c r="O48" s="1050"/>
      <c r="P48" s="1050"/>
      <c r="Q48" s="1050"/>
      <c r="R48" s="1050"/>
      <c r="S48" s="2434"/>
      <c r="T48" s="2434"/>
      <c r="U48" s="2434"/>
      <c r="V48" s="2434"/>
    </row>
    <row r="49" spans="1:22" s="1742" customFormat="1">
      <c r="A49" s="1569"/>
      <c r="B49" s="1569"/>
      <c r="C49" s="1050"/>
      <c r="D49" s="1050"/>
      <c r="E49" s="1050"/>
      <c r="F49" s="1050"/>
      <c r="G49" s="1050"/>
      <c r="H49" s="1050"/>
      <c r="I49" s="1050"/>
      <c r="J49" s="2432"/>
      <c r="K49" s="2433"/>
      <c r="L49" s="2433"/>
      <c r="M49" s="1050"/>
      <c r="N49" s="1050"/>
      <c r="O49" s="1050"/>
      <c r="P49" s="1050"/>
      <c r="Q49" s="1050"/>
      <c r="R49" s="1050"/>
      <c r="S49" s="2434"/>
      <c r="T49" s="2434"/>
      <c r="U49" s="2434"/>
      <c r="V49" s="2434"/>
    </row>
    <row r="50" spans="1:22" s="1742" customFormat="1">
      <c r="A50" s="1569"/>
      <c r="B50" s="1569"/>
      <c r="C50" s="1050"/>
      <c r="D50" s="1050"/>
      <c r="E50" s="1050"/>
      <c r="F50" s="1050"/>
      <c r="G50" s="1050"/>
      <c r="H50" s="1050"/>
      <c r="I50" s="1050"/>
      <c r="J50" s="2432"/>
      <c r="K50" s="2433"/>
      <c r="L50" s="2433"/>
      <c r="M50" s="1050"/>
      <c r="N50" s="1050"/>
      <c r="O50" s="1050"/>
      <c r="P50" s="1050"/>
      <c r="Q50" s="1050"/>
      <c r="R50" s="1050"/>
      <c r="S50" s="2434"/>
      <c r="T50" s="2434"/>
      <c r="U50" s="2434"/>
      <c r="V50" s="2434"/>
    </row>
    <row r="51" spans="1:22" s="1742" customFormat="1">
      <c r="A51" s="1569"/>
      <c r="B51" s="1569"/>
      <c r="C51" s="1050"/>
      <c r="D51" s="1050"/>
      <c r="E51" s="1050"/>
      <c r="F51" s="1050"/>
      <c r="G51" s="1050"/>
      <c r="H51" s="1050"/>
      <c r="I51" s="1050"/>
      <c r="J51" s="2432"/>
      <c r="K51" s="2433"/>
      <c r="L51" s="2433"/>
      <c r="M51" s="1050"/>
      <c r="N51" s="1050"/>
      <c r="O51" s="1050"/>
      <c r="P51" s="1050"/>
      <c r="Q51" s="1050"/>
      <c r="R51" s="1050"/>
    </row>
    <row r="52" spans="1:22" s="1742" customFormat="1">
      <c r="A52" s="1569"/>
      <c r="B52" s="1569"/>
      <c r="C52" s="1569"/>
      <c r="D52" s="1569"/>
      <c r="E52" s="1569"/>
      <c r="F52" s="1050"/>
      <c r="G52" s="1569"/>
      <c r="H52" s="1569"/>
      <c r="I52" s="1569"/>
      <c r="J52" s="2435"/>
      <c r="K52" s="2433"/>
      <c r="L52" s="2433"/>
      <c r="M52" s="2433"/>
      <c r="N52" s="1569"/>
      <c r="O52" s="1569"/>
      <c r="P52" s="1569"/>
      <c r="Q52" s="1569"/>
      <c r="R52" s="1569"/>
    </row>
    <row r="53" spans="1:22" s="1742" customFormat="1">
      <c r="A53" s="1569"/>
      <c r="B53" s="1569"/>
      <c r="C53" s="1569"/>
      <c r="D53" s="1569"/>
      <c r="E53" s="1569"/>
      <c r="F53" s="1050"/>
      <c r="G53" s="1569"/>
      <c r="H53" s="1569"/>
      <c r="I53" s="1569"/>
      <c r="J53" s="2435"/>
      <c r="K53" s="2433"/>
      <c r="L53" s="2433"/>
      <c r="M53" s="2433"/>
      <c r="N53" s="1569"/>
      <c r="O53" s="1569"/>
      <c r="P53" s="1569"/>
      <c r="Q53" s="1569"/>
      <c r="R53" s="1569"/>
    </row>
    <row r="54" spans="1:22" s="1742" customFormat="1">
      <c r="A54" s="1569"/>
      <c r="B54" s="1569"/>
      <c r="C54" s="1569"/>
      <c r="D54" s="1569"/>
      <c r="E54" s="1569"/>
      <c r="F54" s="1050"/>
      <c r="G54" s="1569"/>
      <c r="H54" s="1569"/>
      <c r="I54" s="1569"/>
      <c r="J54" s="2435"/>
      <c r="K54" s="2433"/>
      <c r="L54" s="2433"/>
      <c r="M54" s="2433"/>
      <c r="N54" s="1569"/>
      <c r="O54" s="1569"/>
      <c r="P54" s="1569"/>
      <c r="Q54" s="1569"/>
      <c r="R54" s="1569"/>
    </row>
    <row r="55" spans="1:22" s="1742" customFormat="1">
      <c r="A55" s="1569"/>
      <c r="B55" s="1569"/>
      <c r="C55" s="1569"/>
      <c r="D55" s="1569"/>
      <c r="E55" s="1569"/>
      <c r="F55" s="1050"/>
      <c r="G55" s="1569"/>
      <c r="H55" s="1569"/>
      <c r="I55" s="1569"/>
      <c r="J55" s="2435"/>
      <c r="K55" s="2433"/>
      <c r="L55" s="2433"/>
      <c r="M55" s="2433"/>
      <c r="N55" s="1569"/>
      <c r="O55" s="1569"/>
      <c r="P55" s="1569"/>
      <c r="Q55" s="1569"/>
      <c r="R55" s="1569"/>
    </row>
    <row r="56" spans="1:22" s="1742" customFormat="1">
      <c r="A56" s="1569"/>
      <c r="B56" s="1569"/>
      <c r="C56" s="1569"/>
      <c r="D56" s="1569"/>
      <c r="E56" s="1569"/>
      <c r="F56" s="1050"/>
      <c r="G56" s="1569"/>
      <c r="H56" s="1569"/>
      <c r="I56" s="1569"/>
      <c r="J56" s="2435"/>
      <c r="K56" s="2433"/>
      <c r="L56" s="2433"/>
      <c r="M56" s="2433"/>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1061</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1062</v>
      </c>
      <c r="B2" s="8" t="s">
        <v>1063</v>
      </c>
      <c r="C2" s="8" t="s">
        <v>1064</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1065</v>
      </c>
      <c r="AZ2" s="1048" t="s">
        <v>1066</v>
      </c>
      <c r="BA2" s="8" t="s">
        <v>1067</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30.64</v>
      </c>
      <c r="B3" s="11">
        <f>IF(C3="否",G5-AT5,G5)</f>
        <v>120.57</v>
      </c>
      <c r="C3" s="1579" t="s">
        <v>1068</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1069</v>
      </c>
      <c r="B5" s="1346"/>
      <c r="C5" s="1346"/>
      <c r="D5" s="1348"/>
      <c r="E5" s="13" t="s">
        <v>0</v>
      </c>
      <c r="F5" s="13">
        <f>SUM(F13:F587)</f>
        <v>0</v>
      </c>
      <c r="G5" s="13">
        <f>SUM(G13:G587)</f>
        <v>120.57</v>
      </c>
      <c r="H5" s="13">
        <f t="shared" ref="H5:AT5" si="0">SUM(H13:H656)</f>
        <v>120.57</v>
      </c>
      <c r="I5" s="13">
        <f t="shared" si="0"/>
        <v>120.57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1069</v>
      </c>
      <c r="AW5" s="1346"/>
      <c r="AX5" s="1346"/>
      <c r="AY5" s="14" t="s">
        <v>2</v>
      </c>
      <c r="AZ5" s="15">
        <f t="shared" ref="AZ5:BT5" si="1">SUM(AZ13:AZ656)</f>
        <v>120.57</v>
      </c>
      <c r="BA5" s="15">
        <f t="shared" si="1"/>
        <v>120.57</v>
      </c>
      <c r="BB5" s="15">
        <f t="shared" si="1"/>
        <v>120.57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1070</v>
      </c>
      <c r="B6" s="1585"/>
      <c r="C6" s="1585"/>
      <c r="D6" s="1586"/>
      <c r="E6" s="13">
        <f>H6+AC6+AT6</f>
        <v>30.64</v>
      </c>
      <c r="F6" s="13" t="s">
        <v>0</v>
      </c>
      <c r="G6" s="13" t="s">
        <v>1</v>
      </c>
      <c r="H6" s="17">
        <f>SUMIF(I$12:AB$12,"总值",I6:AB6)</f>
        <v>30.64</v>
      </c>
      <c r="I6" s="13">
        <f t="shared" ref="I6:AB6" si="2">ROUND($A$3*I5/$B$3,2)</f>
        <v>30.64</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1070</v>
      </c>
      <c r="AW6" s="1585"/>
      <c r="AX6" s="1585"/>
      <c r="AY6" s="18">
        <f>IF(AY3&gt;0,AY3,ROUND($A$3*AZ5/$B$3,2))</f>
        <v>30.64</v>
      </c>
      <c r="AZ6" s="13" t="s">
        <v>2</v>
      </c>
      <c r="BA6" s="13">
        <f>ROUND($AY$6*BA5/$AZ$5,2)</f>
        <v>30.64</v>
      </c>
      <c r="BB6" s="13">
        <f>ROUND($AY$6*BB5/$AZ$5,2)</f>
        <v>30.64</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1071</v>
      </c>
      <c r="B7" s="1568" t="s">
        <v>1072</v>
      </c>
      <c r="C7" s="1568" t="s">
        <v>1073</v>
      </c>
      <c r="D7" s="1568" t="s">
        <v>1074</v>
      </c>
      <c r="E7" s="1568" t="s">
        <v>1075</v>
      </c>
      <c r="F7" s="1568" t="s">
        <v>1076</v>
      </c>
      <c r="G7" s="1589" t="s">
        <v>1077</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1078</v>
      </c>
      <c r="AV7" s="20" t="s">
        <v>1079</v>
      </c>
      <c r="AW7" s="1577" t="s">
        <v>1080</v>
      </c>
      <c r="AX7" s="20" t="s">
        <v>1073</v>
      </c>
      <c r="AY7" s="1346" t="s">
        <v>1081</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1082</v>
      </c>
      <c r="H8" s="1595" t="s">
        <v>1083</v>
      </c>
      <c r="I8" s="1596"/>
      <c r="J8" s="1359"/>
      <c r="K8" s="1359"/>
      <c r="L8" s="1359"/>
      <c r="M8" s="1359"/>
      <c r="N8" s="1359"/>
      <c r="O8" s="1359"/>
      <c r="P8" s="1359"/>
      <c r="Q8" s="1359"/>
      <c r="R8" s="1359"/>
      <c r="S8" s="1359"/>
      <c r="T8" s="1359"/>
      <c r="U8" s="1359"/>
      <c r="V8" s="1597"/>
      <c r="W8" s="1359"/>
      <c r="X8" s="1359"/>
      <c r="Y8" s="1359"/>
      <c r="Z8" s="1359"/>
      <c r="AA8" s="1597"/>
      <c r="AB8" s="1598"/>
      <c r="AC8" s="808" t="s">
        <v>1084</v>
      </c>
      <c r="AD8" s="1599"/>
      <c r="AE8" s="1591"/>
      <c r="AF8" s="1359"/>
      <c r="AG8" s="1359"/>
      <c r="AH8" s="1359"/>
      <c r="AI8" s="1359"/>
      <c r="AJ8" s="1359"/>
      <c r="AK8" s="1359"/>
      <c r="AL8" s="1359"/>
      <c r="AM8" s="1359"/>
      <c r="AN8" s="1359"/>
      <c r="AO8" s="1359"/>
      <c r="AP8" s="1359"/>
      <c r="AQ8" s="1359"/>
      <c r="AR8" s="1359"/>
      <c r="AS8" s="1359"/>
      <c r="AT8" s="1069" t="s">
        <v>1085</v>
      </c>
      <c r="AU8" s="1593" t="s">
        <v>1086</v>
      </c>
      <c r="AV8" s="1069"/>
      <c r="AW8" s="1576"/>
      <c r="AX8" s="1069"/>
      <c r="AY8" s="1577" t="s">
        <v>1087</v>
      </c>
      <c r="AZ8" s="1358" t="s">
        <v>1088</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1089</v>
      </c>
      <c r="I9" s="1602" t="s">
        <v>3497</v>
      </c>
      <c r="J9" s="808"/>
      <c r="K9" s="1602"/>
      <c r="L9" s="808"/>
      <c r="M9" s="1602"/>
      <c r="N9" s="808"/>
      <c r="O9" s="1602"/>
      <c r="P9" s="808"/>
      <c r="Q9" s="1602"/>
      <c r="R9" s="808"/>
      <c r="S9" s="1602"/>
      <c r="T9" s="808"/>
      <c r="U9" s="1602"/>
      <c r="V9" s="808"/>
      <c r="W9" s="1602"/>
      <c r="X9" s="1603"/>
      <c r="Y9" s="1602"/>
      <c r="Z9" s="808"/>
      <c r="AA9" s="1602"/>
      <c r="AB9" s="808"/>
      <c r="AC9" s="1594" t="s">
        <v>1089</v>
      </c>
      <c r="AD9" s="12" t="s">
        <v>1090</v>
      </c>
      <c r="AE9" s="1075"/>
      <c r="AF9" s="12" t="s">
        <v>1091</v>
      </c>
      <c r="AG9" s="1075"/>
      <c r="AH9" s="12" t="s">
        <v>1090</v>
      </c>
      <c r="AI9" s="1075"/>
      <c r="AJ9" s="12" t="s">
        <v>1091</v>
      </c>
      <c r="AK9" s="1075"/>
      <c r="AL9" s="12" t="s">
        <v>1090</v>
      </c>
      <c r="AM9" s="1075"/>
      <c r="AN9" s="12" t="s">
        <v>1091</v>
      </c>
      <c r="AO9" s="1075"/>
      <c r="AP9" s="12" t="s">
        <v>1090</v>
      </c>
      <c r="AQ9" s="1075"/>
      <c r="AR9" s="12" t="s">
        <v>1091</v>
      </c>
      <c r="AS9" s="1604"/>
      <c r="AT9" s="1593"/>
      <c r="AU9" s="1593" t="s">
        <v>1092</v>
      </c>
      <c r="AV9" s="1069"/>
      <c r="AW9" s="1576"/>
      <c r="AX9" s="1069"/>
      <c r="AY9" s="25"/>
      <c r="AZ9" s="25" t="s">
        <v>1082</v>
      </c>
      <c r="BA9" s="1605" t="s">
        <v>1093</v>
      </c>
      <c r="BB9" s="1606"/>
      <c r="BC9" s="1087"/>
      <c r="BD9" s="1087"/>
      <c r="BE9" s="1087"/>
      <c r="BF9" s="1087"/>
      <c r="BG9" s="1087"/>
      <c r="BH9" s="1087"/>
      <c r="BI9" s="1087"/>
      <c r="BJ9" s="1087"/>
      <c r="BK9" s="1607"/>
      <c r="BL9" s="12" t="s">
        <v>1094</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1095</v>
      </c>
      <c r="AE10" s="1609"/>
      <c r="AF10" s="12" t="s">
        <v>1095</v>
      </c>
      <c r="AG10" s="1609"/>
      <c r="AH10" s="12" t="s">
        <v>1096</v>
      </c>
      <c r="AI10" s="1609"/>
      <c r="AJ10" s="12" t="s">
        <v>1096</v>
      </c>
      <c r="AK10" s="1609"/>
      <c r="AL10" s="12" t="s">
        <v>1097</v>
      </c>
      <c r="AM10" s="1075"/>
      <c r="AN10" s="12" t="s">
        <v>1097</v>
      </c>
      <c r="AO10" s="1075"/>
      <c r="AP10" s="12" t="s">
        <v>1098</v>
      </c>
      <c r="AQ10" s="1075"/>
      <c r="AR10" s="12" t="s">
        <v>1098</v>
      </c>
      <c r="AS10" s="1075"/>
      <c r="AT10" s="1593"/>
      <c r="AU10" s="1593"/>
      <c r="AV10" s="1069"/>
      <c r="AW10" s="1576"/>
      <c r="AX10" s="1069"/>
      <c r="AY10" s="25"/>
      <c r="AZ10" s="25"/>
      <c r="BA10" s="1610" t="s">
        <v>1089</v>
      </c>
      <c r="BB10" s="1611" t="str">
        <f>I9</f>
        <v>地上</v>
      </c>
      <c r="BC10" s="26">
        <f>K9</f>
        <v>0</v>
      </c>
      <c r="BD10" s="26">
        <f>M9</f>
        <v>0</v>
      </c>
      <c r="BE10" s="26">
        <f>O9</f>
        <v>0</v>
      </c>
      <c r="BF10" s="26">
        <f>Q9</f>
        <v>0</v>
      </c>
      <c r="BG10" s="26">
        <f>S9</f>
        <v>0</v>
      </c>
      <c r="BH10" s="26">
        <f>U9</f>
        <v>0</v>
      </c>
      <c r="BI10" s="26">
        <f>W9</f>
        <v>0</v>
      </c>
      <c r="BJ10" s="26">
        <f>Y9</f>
        <v>0</v>
      </c>
      <c r="BK10" s="26">
        <f>AA9</f>
        <v>0</v>
      </c>
      <c r="BL10" s="22" t="s">
        <v>1089</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3498</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1099</v>
      </c>
      <c r="AE11" s="1360"/>
      <c r="AF11" s="1615" t="s">
        <v>1099</v>
      </c>
      <c r="AG11" s="1360"/>
      <c r="AH11" s="1615" t="s">
        <v>1100</v>
      </c>
      <c r="AI11" s="1616"/>
      <c r="AJ11" s="1615" t="s">
        <v>1100</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5" t="s">
        <v>1102</v>
      </c>
      <c r="W12" s="8" t="s">
        <v>1101</v>
      </c>
      <c r="X12" s="8" t="s">
        <v>1102</v>
      </c>
      <c r="Y12" s="8" t="s">
        <v>1101</v>
      </c>
      <c r="Z12" s="8" t="s">
        <v>1102</v>
      </c>
      <c r="AA12" s="8" t="s">
        <v>1101</v>
      </c>
      <c r="AB12" s="8" t="s">
        <v>1102</v>
      </c>
      <c r="AC12" s="1620"/>
      <c r="AD12" s="134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8" t="s">
        <v>1102</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3381</v>
      </c>
      <c r="E13" s="13">
        <f>IF($C$3="是",ROUND($A$3*G13/$B$3,2),ROUND($A$3*(G13-AT13)/$B$3,2))</f>
        <v>30.64</v>
      </c>
      <c r="F13" s="29"/>
      <c r="G13" s="30">
        <f>H13+AC13+AT13</f>
        <v>120.57</v>
      </c>
      <c r="H13" s="17">
        <f>SUMIF(I$12:AB$12,"总值",I13:AB13)</f>
        <v>120.57</v>
      </c>
      <c r="I13" s="1625">
        <v>120.57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30.64</v>
      </c>
      <c r="AZ13" s="13">
        <f>BA13+BL13</f>
        <v>120.57</v>
      </c>
      <c r="BA13" s="13">
        <f>SUM(BB13:BK13)</f>
        <v>120.57</v>
      </c>
      <c r="BB13" s="13">
        <f>IF($D13="是",I13-J13,0)</f>
        <v>120.57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3"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1128</v>
      </c>
      <c r="B1" s="1138"/>
      <c r="C1" s="1138"/>
      <c r="D1" s="1138"/>
      <c r="E1" s="1138"/>
      <c r="F1" s="1138"/>
      <c r="G1" s="1138"/>
      <c r="H1" s="1138"/>
      <c r="I1" s="1138"/>
      <c r="J1" s="1138"/>
      <c r="K1" s="1138"/>
      <c r="L1" s="1138"/>
      <c r="M1" s="1138"/>
      <c r="N1" s="1138"/>
      <c r="O1" s="1138"/>
      <c r="P1" s="1138"/>
    </row>
    <row r="2" spans="1:16" ht="15">
      <c r="A2" s="3543" t="s">
        <v>1129</v>
      </c>
      <c r="B2" s="3543"/>
      <c r="C2" s="3543"/>
      <c r="D2" s="795" t="s">
        <v>1105</v>
      </c>
      <c r="E2" s="1638" t="s">
        <v>1106</v>
      </c>
      <c r="F2" s="2653"/>
      <c r="G2" s="2644"/>
      <c r="H2" s="2645"/>
      <c r="I2" s="2322" t="s">
        <v>1130</v>
      </c>
      <c r="J2" s="2653"/>
      <c r="K2" s="2653"/>
      <c r="L2" s="2653"/>
      <c r="M2" s="2653"/>
      <c r="N2" s="2655"/>
      <c r="O2" s="2653"/>
      <c r="P2" s="2653"/>
    </row>
    <row r="3" spans="1:16" ht="15.75" thickBot="1">
      <c r="A3" s="3544" t="s">
        <v>1103</v>
      </c>
      <c r="B3" s="3544"/>
      <c r="C3" s="3544"/>
      <c r="D3" s="43">
        <f>'数据-基础表'!AY6</f>
        <v>30.64</v>
      </c>
      <c r="E3" s="43">
        <f>'数据-基础表'!AZ5</f>
        <v>120.57</v>
      </c>
      <c r="F3" s="2653"/>
      <c r="G3" s="1144"/>
      <c r="H3" s="1025" t="s">
        <v>1104</v>
      </c>
      <c r="I3" s="854">
        <f>ROUND('数据-基础表'!B3/'数据-基础表'!A3,2)</f>
        <v>3.94</v>
      </c>
      <c r="J3" s="2653"/>
      <c r="K3" s="2653"/>
      <c r="L3" s="2653"/>
      <c r="M3" s="2653"/>
      <c r="N3" s="2655"/>
      <c r="O3" s="2653"/>
      <c r="P3" s="2653"/>
    </row>
    <row r="4" spans="1:16" ht="15">
      <c r="A4" s="3545"/>
      <c r="B4" s="3546"/>
      <c r="C4" s="3547"/>
      <c r="D4" s="1640" t="s">
        <v>1105</v>
      </c>
      <c r="E4" s="1641" t="s">
        <v>1106</v>
      </c>
      <c r="F4" s="2653"/>
      <c r="G4" s="2646" t="s">
        <v>1131</v>
      </c>
      <c r="H4" s="1025" t="s">
        <v>1111</v>
      </c>
      <c r="I4" s="854">
        <f>ROUND(SUMIF('数据-基础表'!I9:AS9,"地上",'数据-基础表'!I5:AS5)/'数据-基础表'!A3,2)</f>
        <v>3.94</v>
      </c>
      <c r="J4" s="2653"/>
      <c r="K4" s="2653"/>
      <c r="L4" s="2653"/>
      <c r="M4" s="2653"/>
      <c r="N4" s="2655"/>
      <c r="O4" s="2653"/>
      <c r="P4" s="2653"/>
    </row>
    <row r="5" spans="1:16">
      <c r="A5" s="44" t="s">
        <v>1107</v>
      </c>
      <c r="B5" s="3548" t="s">
        <v>1108</v>
      </c>
      <c r="C5" s="3548"/>
      <c r="D5" s="45">
        <f>ROUND($D$3*E5/$E$3,2)</f>
        <v>0</v>
      </c>
      <c r="E5" s="46">
        <f>SUMIF('数据-基础表'!$11:$11,"住宅",'数据-基础表'!$5:$5)</f>
        <v>0</v>
      </c>
      <c r="F5" s="2653"/>
      <c r="G5" s="1144"/>
      <c r="H5" s="1025" t="s">
        <v>1104</v>
      </c>
      <c r="I5" s="854">
        <f>ROUND(E31/D31,2)</f>
        <v>3.94</v>
      </c>
      <c r="J5" s="2653"/>
      <c r="K5" s="2653"/>
      <c r="L5" s="2653"/>
      <c r="M5" s="2653"/>
      <c r="N5" s="2653"/>
      <c r="O5" s="2653"/>
      <c r="P5" s="2653"/>
    </row>
    <row r="6" spans="1:16" ht="15" thickBot="1">
      <c r="A6" s="1643"/>
      <c r="B6" s="3548" t="s">
        <v>1109</v>
      </c>
      <c r="C6" s="3548"/>
      <c r="D6" s="45">
        <f>ROUND($D$3*E6/$E$3,2)</f>
        <v>30.64</v>
      </c>
      <c r="E6" s="46">
        <f>E3-E5</f>
        <v>120.57</v>
      </c>
      <c r="F6" s="2653"/>
      <c r="G6" s="2647" t="s">
        <v>1110</v>
      </c>
      <c r="H6" s="1145" t="s">
        <v>1111</v>
      </c>
      <c r="I6" s="2648">
        <f>ROUND(F31/D31,2)</f>
        <v>3.94</v>
      </c>
      <c r="J6" s="2653"/>
      <c r="K6" s="2653"/>
      <c r="L6" s="2653"/>
      <c r="M6" s="2653"/>
      <c r="N6" s="2653"/>
      <c r="O6" s="2653"/>
      <c r="P6" s="2653"/>
    </row>
    <row r="7" spans="1:16" ht="15.75" thickBot="1">
      <c r="A7" s="3540"/>
      <c r="B7" s="3541"/>
      <c r="C7" s="3542"/>
      <c r="D7" s="1640" t="s">
        <v>1105</v>
      </c>
      <c r="E7" s="1644" t="s">
        <v>1112</v>
      </c>
      <c r="F7" s="2653"/>
      <c r="G7" s="2649" t="s">
        <v>1113</v>
      </c>
      <c r="H7" s="2650"/>
      <c r="I7" s="2651"/>
      <c r="J7" s="2653"/>
      <c r="K7" s="2653"/>
      <c r="L7" s="2653"/>
      <c r="M7" s="2653"/>
      <c r="N7" s="2653"/>
      <c r="O7" s="2653"/>
      <c r="P7" s="2653"/>
    </row>
    <row r="8" spans="1:16">
      <c r="A8" s="44" t="s">
        <v>1114</v>
      </c>
      <c r="B8" s="47" t="s">
        <v>1115</v>
      </c>
      <c r="C8" s="45" t="s">
        <v>1116</v>
      </c>
      <c r="D8" s="45">
        <f t="shared" ref="D8:D15" si="0">ROUND($D$3*E8/$E$3,2)</f>
        <v>30.64</v>
      </c>
      <c r="E8" s="48">
        <f>SUMIF('数据-基础表'!BB10:BK10,"地上",'数据-基础表'!BB5:BK5)</f>
        <v>120.57</v>
      </c>
      <c r="F8" s="2653"/>
      <c r="G8" s="2654"/>
      <c r="H8" s="2654"/>
      <c r="I8" s="2653"/>
      <c r="J8" s="2653"/>
      <c r="K8" s="2653"/>
      <c r="L8" s="2653"/>
      <c r="M8" s="2653"/>
      <c r="N8" s="2653"/>
      <c r="O8" s="2653"/>
      <c r="P8" s="2653"/>
    </row>
    <row r="9" spans="1:16">
      <c r="A9" s="1645"/>
      <c r="B9" s="1646"/>
      <c r="C9" s="45" t="s">
        <v>1117</v>
      </c>
      <c r="D9" s="45">
        <f t="shared" si="0"/>
        <v>0</v>
      </c>
      <c r="E9" s="49">
        <v>0</v>
      </c>
      <c r="F9" s="2653"/>
      <c r="G9" s="2654"/>
      <c r="H9" s="2654"/>
      <c r="I9" s="2653"/>
      <c r="J9" s="2653"/>
      <c r="K9" s="2653"/>
      <c r="L9" s="2653"/>
      <c r="M9" s="2653"/>
      <c r="N9" s="2653"/>
      <c r="O9" s="2653"/>
      <c r="P9" s="2653"/>
    </row>
    <row r="10" spans="1:16">
      <c r="A10" s="1645"/>
      <c r="B10" s="1646"/>
      <c r="C10" s="45" t="s">
        <v>1126</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5"/>
      <c r="B11" s="1646"/>
      <c r="C11" s="45" t="s">
        <v>1118</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5"/>
      <c r="B12" s="1646"/>
      <c r="C12" s="45" t="s">
        <v>1119</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5"/>
      <c r="B13" s="1646"/>
      <c r="C13" s="45" t="s">
        <v>1120</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5"/>
      <c r="B14" s="1646"/>
      <c r="C14" s="45" t="s">
        <v>1132</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5"/>
      <c r="B15" s="1646"/>
      <c r="C15" s="45" t="s">
        <v>1127</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3"/>
      <c r="B16" s="1646"/>
      <c r="C16" s="47" t="s">
        <v>1121</v>
      </c>
      <c r="D16" s="47">
        <f>SUM(D8:D15)</f>
        <v>30.64</v>
      </c>
      <c r="E16" s="50">
        <f>SUM(E8:E15)</f>
        <v>120.57</v>
      </c>
      <c r="F16" s="2653"/>
      <c r="G16" s="2654"/>
      <c r="H16" s="1647" t="s">
        <v>1133</v>
      </c>
      <c r="I16" s="1648"/>
      <c r="J16" s="1138"/>
      <c r="K16" s="3537" t="s">
        <v>1133</v>
      </c>
      <c r="L16" s="3538"/>
      <c r="M16" s="3538"/>
      <c r="N16" s="3538"/>
      <c r="O16" s="3538"/>
      <c r="P16" s="3539"/>
    </row>
    <row r="17" spans="1:19" ht="15">
      <c r="A17" s="1649" t="s">
        <v>1134</v>
      </c>
      <c r="B17" s="1650" t="s">
        <v>1135</v>
      </c>
      <c r="C17" s="1651" t="s">
        <v>1136</v>
      </c>
      <c r="D17" s="1652" t="s">
        <v>1124</v>
      </c>
      <c r="E17" s="1653" t="s">
        <v>1125</v>
      </c>
      <c r="F17" s="1654"/>
      <c r="G17" s="1655"/>
      <c r="H17" s="1656" t="s">
        <v>1137</v>
      </c>
      <c r="I17" s="1657" t="s">
        <v>1122</v>
      </c>
      <c r="J17" s="1138"/>
      <c r="K17" s="3534" t="s">
        <v>1138</v>
      </c>
      <c r="L17" s="3535"/>
      <c r="M17" s="3536"/>
      <c r="N17" s="3534" t="s">
        <v>1139</v>
      </c>
      <c r="O17" s="3535"/>
      <c r="P17" s="3536"/>
      <c r="R17" s="1639" t="s">
        <v>1140</v>
      </c>
      <c r="S17" s="56"/>
    </row>
    <row r="18" spans="1:19" ht="15">
      <c r="A18" s="1645"/>
      <c r="B18" s="1658"/>
      <c r="C18" s="1659"/>
      <c r="D18" s="1660"/>
      <c r="E18" s="1661" t="s">
        <v>1141</v>
      </c>
      <c r="F18" s="1662" t="s">
        <v>1142</v>
      </c>
      <c r="G18" s="1663" t="s">
        <v>1143</v>
      </c>
      <c r="H18" s="1040" t="s">
        <v>1144</v>
      </c>
      <c r="I18" s="1664" t="s">
        <v>1145</v>
      </c>
      <c r="J18" s="1138"/>
      <c r="K18" s="1040" t="s">
        <v>1146</v>
      </c>
      <c r="L18" s="1665" t="s">
        <v>1147</v>
      </c>
      <c r="M18" s="854" t="s">
        <v>1148</v>
      </c>
      <c r="N18" s="1040" t="s">
        <v>1146</v>
      </c>
      <c r="O18" s="1665" t="s">
        <v>1147</v>
      </c>
      <c r="P18" s="854" t="s">
        <v>1148</v>
      </c>
      <c r="R18" s="1025" t="s">
        <v>1149</v>
      </c>
      <c r="S18" s="1025" t="s">
        <v>1150</v>
      </c>
    </row>
    <row r="19" spans="1:19">
      <c r="A19" s="1666"/>
      <c r="B19" s="47" t="s">
        <v>1123</v>
      </c>
      <c r="C19" s="3411" t="s">
        <v>3500</v>
      </c>
      <c r="D19" s="45">
        <f>ROUND($D$3*E19/$E$3,2)</f>
        <v>30.64</v>
      </c>
      <c r="E19" s="53">
        <f t="shared" ref="E19:E26" si="1">SUM(F19:G19)</f>
        <v>120.57</v>
      </c>
      <c r="F19" s="2789">
        <f>'数据-基础表'!I5</f>
        <v>120.57</v>
      </c>
      <c r="G19" s="2790"/>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30.64</v>
      </c>
      <c r="S19" s="1026">
        <f t="shared" si="5"/>
        <v>120.57</v>
      </c>
    </row>
    <row r="20" spans="1:19">
      <c r="A20" s="1669"/>
      <c r="B20" s="47" t="s">
        <v>1151</v>
      </c>
      <c r="C20" s="3411"/>
      <c r="D20" s="45">
        <f t="shared" ref="D20:D26" si="6">ROUND($D$3*E20/$E$3,2)</f>
        <v>0</v>
      </c>
      <c r="E20" s="53">
        <f t="shared" si="1"/>
        <v>0</v>
      </c>
      <c r="F20" s="2789"/>
      <c r="G20" s="2790"/>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1151</v>
      </c>
      <c r="C21" s="3411"/>
      <c r="D21" s="45">
        <f t="shared" si="6"/>
        <v>0</v>
      </c>
      <c r="E21" s="53">
        <f t="shared" si="1"/>
        <v>0</v>
      </c>
      <c r="F21" s="2789"/>
      <c r="G21" s="2790"/>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1151</v>
      </c>
      <c r="C22" s="3412"/>
      <c r="D22" s="45">
        <f t="shared" si="6"/>
        <v>0</v>
      </c>
      <c r="E22" s="53">
        <f t="shared" si="1"/>
        <v>0</v>
      </c>
      <c r="F22" s="2791"/>
      <c r="G22" s="2792"/>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1151</v>
      </c>
      <c r="C23" s="3412"/>
      <c r="D23" s="45">
        <f>ROUND($D$3*E23/$E$3,2)</f>
        <v>0</v>
      </c>
      <c r="E23" s="53">
        <f>SUM(F23:G23)</f>
        <v>0</v>
      </c>
      <c r="F23" s="2791"/>
      <c r="G23" s="2792"/>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1151</v>
      </c>
      <c r="C24" s="3412"/>
      <c r="D24" s="45">
        <f>ROUND($D$3*E24/$E$3,2)</f>
        <v>0</v>
      </c>
      <c r="E24" s="53">
        <f>SUM(F24:G24)</f>
        <v>0</v>
      </c>
      <c r="F24" s="2791"/>
      <c r="G24" s="2792"/>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1151</v>
      </c>
      <c r="C25" s="3412"/>
      <c r="D25" s="45">
        <f t="shared" si="6"/>
        <v>0</v>
      </c>
      <c r="E25" s="53">
        <f t="shared" si="1"/>
        <v>0</v>
      </c>
      <c r="F25" s="2791"/>
      <c r="G25" s="2792"/>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1151</v>
      </c>
      <c r="C26" s="55"/>
      <c r="D26" s="45">
        <f t="shared" si="6"/>
        <v>0</v>
      </c>
      <c r="E26" s="53">
        <f t="shared" si="1"/>
        <v>0</v>
      </c>
      <c r="F26" s="2791"/>
      <c r="G26" s="2792"/>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1152</v>
      </c>
      <c r="D27" s="1139">
        <f>SUM(D19:D26)</f>
        <v>30.64</v>
      </c>
      <c r="E27" s="1140">
        <f>IF(SUM(E19:E26)='数据-基础表'!BA5,SUM(E19:E26),IF(F27="地上面积有误","面积有误","地下面积有误"))</f>
        <v>120.57</v>
      </c>
      <c r="F27" s="1139">
        <f>IF(SUM(F19:F26)=E8,SUM(F19:F26),"地上面积有误")</f>
        <v>120.57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30.64</v>
      </c>
      <c r="S27" s="1025">
        <f>IF(SUM(S19:S26)=$E$3,SUM(S19:S26),SUM(S19:S26)&amp;"误差"&amp;ROUND(SUM(S19:S26)-E3,2))</f>
        <v>120.57</v>
      </c>
    </row>
    <row r="28" spans="1:19">
      <c r="A28" s="1669"/>
      <c r="B28" s="47" t="s">
        <v>1153</v>
      </c>
      <c r="C28" s="1037" t="s">
        <v>1154</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9"/>
      <c r="B29" s="47" t="s">
        <v>1153</v>
      </c>
      <c r="C29" s="1673" t="s">
        <v>1155</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9"/>
      <c r="B30" s="47"/>
      <c r="C30" s="1674" t="s">
        <v>1152</v>
      </c>
      <c r="D30" s="1139">
        <f>SUM(D28:D29)</f>
        <v>0</v>
      </c>
      <c r="E30" s="1139">
        <f>SUM(E28:E29)</f>
        <v>0</v>
      </c>
      <c r="F30" s="1139">
        <f>SUM(F28:F29)</f>
        <v>0</v>
      </c>
      <c r="G30" s="1141">
        <f>SUM(G28:G29)</f>
        <v>0</v>
      </c>
      <c r="H30" s="2653"/>
      <c r="I30" s="2653"/>
      <c r="J30" s="2653"/>
      <c r="K30" s="2653"/>
      <c r="L30" s="2653"/>
      <c r="M30" s="2653"/>
      <c r="N30" s="2653"/>
      <c r="O30" s="2653"/>
      <c r="P30" s="2653"/>
    </row>
    <row r="31" spans="1:19" ht="15.75" thickBot="1">
      <c r="A31" s="1675"/>
      <c r="B31" s="1676"/>
      <c r="C31" s="834" t="s">
        <v>1156</v>
      </c>
      <c r="D31" s="675">
        <f>D27+D30</f>
        <v>30.64</v>
      </c>
      <c r="E31" s="675">
        <f>E27+E30</f>
        <v>120.57</v>
      </c>
      <c r="F31" s="676">
        <f>F27+F30</f>
        <v>120.57</v>
      </c>
      <c r="G31" s="677">
        <f>G27+G30</f>
        <v>0</v>
      </c>
      <c r="H31" s="2653"/>
      <c r="I31" s="2653"/>
      <c r="J31" s="2653"/>
      <c r="K31" s="2653"/>
      <c r="L31" s="2653"/>
      <c r="M31" s="2653"/>
      <c r="N31" s="2653"/>
      <c r="O31" s="2653"/>
      <c r="P31" s="2653"/>
    </row>
    <row r="32" spans="1:19">
      <c r="A32" s="1642"/>
      <c r="B32" s="1642" t="s">
        <v>1157</v>
      </c>
      <c r="C32" s="1642"/>
      <c r="D32" s="1642"/>
      <c r="E32" s="1052">
        <f>SUMIF(C19:C26,"*住宅*",E19:E26)</f>
        <v>0</v>
      </c>
      <c r="F32" s="1642"/>
      <c r="G32" s="1642"/>
      <c r="H32" s="2653"/>
      <c r="I32" s="2653"/>
      <c r="J32" s="2653"/>
      <c r="K32" s="2653"/>
      <c r="L32" s="2653"/>
      <c r="M32" s="2653"/>
      <c r="N32" s="2653"/>
      <c r="O32" s="2653"/>
      <c r="P32" s="2653"/>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I22" sqref="I2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1158</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5"/>
      <c r="AO1" s="2665"/>
      <c r="AP1" s="2665"/>
      <c r="AQ1" s="2665"/>
      <c r="AR1" s="2665"/>
    </row>
    <row r="2" spans="1:67" s="1558" customFormat="1" ht="15.75" thickBot="1">
      <c r="A2" s="1682" t="s">
        <v>1159</v>
      </c>
      <c r="B2" s="1044">
        <f>项目基本情况!D3</f>
        <v>45135</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7"/>
      <c r="AO2" s="2667"/>
      <c r="AP2" s="2667"/>
      <c r="AQ2" s="2667"/>
      <c r="AR2" s="2667"/>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7"/>
      <c r="AO3" s="2667"/>
      <c r="AP3" s="2667"/>
      <c r="AQ3" s="2667"/>
      <c r="AR3" s="2667"/>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1160</v>
      </c>
      <c r="B4" s="1687"/>
      <c r="C4" s="1688"/>
      <c r="D4" s="1689"/>
      <c r="E4" s="1688" t="s">
        <v>1161</v>
      </c>
      <c r="F4" s="1688"/>
      <c r="G4" s="1688"/>
      <c r="H4" s="1688"/>
      <c r="I4" s="1688"/>
      <c r="J4" s="1690"/>
      <c r="K4" s="1691"/>
      <c r="L4" s="1692"/>
      <c r="M4" s="1688"/>
      <c r="N4" s="1688" t="s">
        <v>1162</v>
      </c>
      <c r="O4" s="1688"/>
      <c r="P4" s="1688"/>
      <c r="Q4" s="1688"/>
      <c r="R4" s="1688"/>
      <c r="S4" s="1690"/>
      <c r="T4" s="2652" t="str">
        <f>'数据-汇总表'!I17</f>
        <v>按面积比例</v>
      </c>
      <c r="U4" s="1687" t="s">
        <v>1163</v>
      </c>
      <c r="V4" s="1688"/>
      <c r="W4" s="1688"/>
      <c r="X4" s="1688"/>
      <c r="Y4" s="1690"/>
      <c r="Z4" s="1651" t="s">
        <v>1164</v>
      </c>
      <c r="AA4" s="1651"/>
      <c r="AB4" s="1651"/>
      <c r="AC4" s="1651"/>
      <c r="AD4" s="1651"/>
      <c r="AE4" s="1649" t="s">
        <v>1165</v>
      </c>
      <c r="AF4" s="1651"/>
      <c r="AG4" s="1693"/>
      <c r="AH4" s="1687"/>
      <c r="AI4" s="1688"/>
      <c r="AJ4" s="1688"/>
      <c r="AK4" s="1688"/>
      <c r="AL4" s="1688"/>
      <c r="AM4" s="1690"/>
      <c r="AN4" s="2667"/>
      <c r="AO4" s="2667"/>
      <c r="AP4" s="2667"/>
      <c r="AQ4" s="2667"/>
      <c r="AR4" s="2667"/>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1166</v>
      </c>
      <c r="B5" s="1695" t="s">
        <v>1167</v>
      </c>
      <c r="C5" s="1696" t="s">
        <v>1168</v>
      </c>
      <c r="D5" s="1697" t="s">
        <v>1169</v>
      </c>
      <c r="E5" s="1046" t="s">
        <v>1170</v>
      </c>
      <c r="F5" s="1698" t="s">
        <v>1171</v>
      </c>
      <c r="G5" s="1046" t="s">
        <v>1172</v>
      </c>
      <c r="H5" s="1046" t="s">
        <v>1173</v>
      </c>
      <c r="I5" s="1046" t="s">
        <v>1174</v>
      </c>
      <c r="J5" s="1699" t="s">
        <v>1175</v>
      </c>
      <c r="K5" s="1700" t="s">
        <v>1176</v>
      </c>
      <c r="L5" s="1701" t="s">
        <v>1177</v>
      </c>
      <c r="M5" s="1702" t="s">
        <v>1178</v>
      </c>
      <c r="N5" s="1703" t="s">
        <v>3386</v>
      </c>
      <c r="O5" s="1701" t="s">
        <v>1179</v>
      </c>
      <c r="P5" s="1704" t="s">
        <v>1180</v>
      </c>
      <c r="Q5" s="61" t="s">
        <v>1181</v>
      </c>
      <c r="R5" s="1705" t="s">
        <v>1182</v>
      </c>
      <c r="S5" s="1706" t="s">
        <v>1183</v>
      </c>
      <c r="T5" s="1707" t="s">
        <v>1184</v>
      </c>
      <c r="U5" s="1045" t="s">
        <v>1185</v>
      </c>
      <c r="V5" s="1046" t="s">
        <v>1186</v>
      </c>
      <c r="W5" s="1046" t="s">
        <v>1187</v>
      </c>
      <c r="X5" s="63"/>
      <c r="Y5" s="62" t="s">
        <v>1188</v>
      </c>
      <c r="Z5" s="1708" t="s">
        <v>1185</v>
      </c>
      <c r="AA5" s="1046" t="s">
        <v>1186</v>
      </c>
      <c r="AB5" s="1046" t="s">
        <v>1187</v>
      </c>
      <c r="AC5" s="63"/>
      <c r="AD5" s="63" t="s">
        <v>1188</v>
      </c>
      <c r="AE5" s="1045" t="s">
        <v>1189</v>
      </c>
      <c r="AF5" s="1046" t="s">
        <v>1190</v>
      </c>
      <c r="AG5" s="62" t="s">
        <v>1191</v>
      </c>
      <c r="AH5" s="1045" t="s">
        <v>1192</v>
      </c>
      <c r="AI5" s="1708" t="s">
        <v>1193</v>
      </c>
      <c r="AJ5" s="1708" t="s">
        <v>1194</v>
      </c>
      <c r="AK5" s="1046" t="s">
        <v>1195</v>
      </c>
      <c r="AL5" s="1046" t="s">
        <v>1196</v>
      </c>
      <c r="AM5" s="62" t="s">
        <v>1197</v>
      </c>
      <c r="AN5" s="1709" t="s">
        <v>1198</v>
      </c>
      <c r="AO5" s="1561" t="s">
        <v>1199</v>
      </c>
      <c r="AP5" s="1027" t="s">
        <v>1200</v>
      </c>
      <c r="AQ5" s="1710" t="s">
        <v>1201</v>
      </c>
      <c r="AR5" s="1710" t="s">
        <v>1202</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办公用房</v>
      </c>
      <c r="B6" s="1712" t="str">
        <f>IF(A6=0,"","经营性")</f>
        <v>经营性</v>
      </c>
      <c r="C6" s="1713" t="s">
        <v>21</v>
      </c>
      <c r="D6" s="857">
        <f>SUMIF(项目基本情况!C$12:I$12,C6,项目基本情况!C$14:I$14)</f>
        <v>50</v>
      </c>
      <c r="E6" s="856">
        <f>IF(B6="","",SUMIF(项目基本情况!C$12:I$12,C6,项目基本情况!C$13:I$13))</f>
        <v>55462</v>
      </c>
      <c r="F6" s="64">
        <f>SUMIF(项目基本情况!C$12:I$12,C6,项目基本情况!C$15:I$15)</f>
        <v>28.29</v>
      </c>
      <c r="G6" s="65">
        <f>IF(ISERROR(ROUND(POWER(1+H6,D6-F6)*(POWER(1+H6,F6)-1)/(POWER(1+H6,D6)-1),3)),0,ROUND(POWER(1+H6,D6-F6)*(POWER(1+H6,F6)-1)/(POWER(1+H6,D6)-1),3))</f>
        <v>0.82</v>
      </c>
      <c r="H6" s="731">
        <v>0.05</v>
      </c>
      <c r="I6" s="731">
        <v>5.5E-2</v>
      </c>
      <c r="J6" s="66">
        <v>7.0000000000000007E-2</v>
      </c>
      <c r="K6" s="1029">
        <f>SUMIF('数据-汇总表'!C$19:C$33,A6,'数据-汇总表'!E$19:E$33)</f>
        <v>120.57</v>
      </c>
      <c r="L6" s="732">
        <v>4500</v>
      </c>
      <c r="M6" s="67">
        <f t="shared" ref="M6:M14" si="0">ROUND(K6*L6/10000,0)</f>
        <v>54</v>
      </c>
      <c r="N6" s="730">
        <f>N18</f>
        <v>0.8</v>
      </c>
      <c r="O6" s="67" t="str">
        <f>IF($N$5="成新度","——",ROUND(M6*N6,0))</f>
        <v>——</v>
      </c>
      <c r="P6" s="68" t="str">
        <f>IF($N$5="成新度","——",M6-O6)</f>
        <v>——</v>
      </c>
      <c r="Q6" s="733">
        <v>0.2</v>
      </c>
      <c r="R6" s="69">
        <f ca="1">SUMIF('数据-汇总表'!C$19:C$33,A6,'数据-汇总表'!R$19:R$27)</f>
        <v>30.64</v>
      </c>
      <c r="S6" s="51">
        <f>IF('数据-汇总表'!$I$17="按面积比例",SUMIF('数据-汇总表'!C$19:C$33,A6,'数据-汇总表'!K$19:K$33),SUMIF('数据-汇总表'!C$19:C$33,A6,'数据-汇总表'!N$19:N$33))</f>
        <v>0</v>
      </c>
      <c r="T6" s="1171">
        <f>ROUND($L$14*S6/10000,0)</f>
        <v>0</v>
      </c>
      <c r="U6" s="3461">
        <v>3.8</v>
      </c>
      <c r="V6" s="3460">
        <v>0.03</v>
      </c>
      <c r="W6" s="70">
        <v>0.1</v>
      </c>
      <c r="X6" s="1039"/>
      <c r="Y6" s="71">
        <f>N6</f>
        <v>0.8</v>
      </c>
      <c r="Z6" s="72"/>
      <c r="AA6" s="66"/>
      <c r="AB6" s="66"/>
      <c r="AC6" s="1039"/>
      <c r="AD6" s="73"/>
      <c r="AE6" s="1040">
        <f ca="1">IF(AN6="",0,SUMIF(INDIRECT("'"&amp;AN6&amp;"'"&amp;"!E:E"),$AE$5,INDIRECT("'"&amp;AN6&amp;"'"&amp;"!F:F")))</f>
        <v>28.29</v>
      </c>
      <c r="AF6" s="1347"/>
      <c r="AG6" s="138">
        <f>IF(AF6="",0,AE6-AF6)</f>
        <v>0</v>
      </c>
      <c r="AH6" s="74"/>
      <c r="AI6" s="76">
        <v>365</v>
      </c>
      <c r="AJ6" s="77"/>
      <c r="AK6" s="78">
        <v>5.0000000000000001E-3</v>
      </c>
      <c r="AL6" s="79">
        <v>1E-3</v>
      </c>
      <c r="AM6" s="80">
        <v>0.01</v>
      </c>
      <c r="AN6" s="1714" t="s">
        <v>3504</v>
      </c>
      <c r="AO6" s="52">
        <f ca="1">SUMIF(INDIRECT("'"&amp;AN6&amp;"'"&amp;"!A:A"),"总价",INDIRECT("'"&amp;AN6&amp;"'"&amp;"!B:B"))</f>
        <v>268.97449999999998</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2"/>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3"/>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2"/>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2"/>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2"/>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2"/>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4"/>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1203</v>
      </c>
      <c r="B14" s="1712" t="s">
        <v>1204</v>
      </c>
      <c r="C14" s="1717" t="s">
        <v>1203</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5"/>
      <c r="AO14" s="2667"/>
      <c r="AP14" s="2667"/>
      <c r="AQ14" s="2667"/>
      <c r="AR14" s="2667"/>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1205</v>
      </c>
      <c r="B15" s="1712" t="s">
        <v>1204</v>
      </c>
      <c r="C15" s="1717" t="s">
        <v>1206</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5"/>
      <c r="AO15" s="2667"/>
      <c r="AP15" s="2667"/>
      <c r="AQ15" s="2667"/>
      <c r="AR15" s="2667"/>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1207</v>
      </c>
      <c r="B16" s="88"/>
      <c r="C16" s="832"/>
      <c r="D16" s="1719"/>
      <c r="E16" s="88"/>
      <c r="F16" s="88"/>
      <c r="G16" s="89">
        <f>ROUND(SUMPRODUCT(G6:G13,K6:K13)/SUMPRODUCT((G6:G13&gt;0)*(K6:K13)),3)</f>
        <v>0.82</v>
      </c>
      <c r="H16" s="90">
        <f>ROUND(SUMPRODUCT(H6:H13,K6:K13)/SUMPRODUCT((H6:H13&gt;0)*(K6:K13)),3)</f>
        <v>0.05</v>
      </c>
      <c r="I16" s="91"/>
      <c r="J16" s="91"/>
      <c r="K16" s="92">
        <f>SUM(K6:K15)</f>
        <v>120.57</v>
      </c>
      <c r="L16" s="93">
        <f>ROUND(M16*10000/SUM(K6:K14),0)</f>
        <v>4479</v>
      </c>
      <c r="M16" s="93">
        <f>SUM(M6:M14)</f>
        <v>54</v>
      </c>
      <c r="N16" s="94">
        <f>ROUND(SUMPRODUCT(M6:M14,N6:N14)/M16,3)</f>
        <v>0.8</v>
      </c>
      <c r="O16" s="93">
        <f>SUM(O6:O14)</f>
        <v>0</v>
      </c>
      <c r="P16" s="93">
        <f>SUM(P6:P14)</f>
        <v>0</v>
      </c>
      <c r="Q16" s="95">
        <f>ROUND(SUMPRODUCT(Q6:Q13,K6:K13)/SUMPRODUCT((Q6:Q13&gt;0)*(K6:K13)),2)</f>
        <v>0.2</v>
      </c>
      <c r="R16" s="1033">
        <f ca="1">SUM(R6:R13)</f>
        <v>30.64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6"/>
      <c r="C17" s="2665"/>
      <c r="D17" s="2669"/>
      <c r="E17" s="2669"/>
      <c r="F17" s="2665"/>
      <c r="G17" s="2665"/>
      <c r="H17" s="2665"/>
      <c r="I17" s="2665"/>
      <c r="J17" s="2665"/>
      <c r="K17" s="2666"/>
      <c r="L17" s="2666"/>
      <c r="M17" s="3444" t="s">
        <v>3382</v>
      </c>
      <c r="N17" s="2665">
        <v>2011</v>
      </c>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1208</v>
      </c>
      <c r="B18" s="2679"/>
      <c r="C18" s="2667"/>
      <c r="D18" s="2670"/>
      <c r="E18" s="2667"/>
      <c r="F18" s="2667"/>
      <c r="G18" s="2667"/>
      <c r="H18" s="2667"/>
      <c r="I18" s="2667"/>
      <c r="J18" s="2667"/>
      <c r="K18" s="2666"/>
      <c r="L18" s="2666"/>
      <c r="M18" s="3444" t="s">
        <v>3383</v>
      </c>
      <c r="N18" s="2665">
        <f>ROUND(1-(1-0%)*(2023-N17)/60,2)</f>
        <v>0.8</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1" t="s">
        <v>1209</v>
      </c>
      <c r="B19" s="103">
        <v>0</v>
      </c>
      <c r="C19" s="2793" t="s">
        <v>2291</v>
      </c>
      <c r="D19" s="2670"/>
      <c r="E19" s="2667"/>
      <c r="F19" s="2667"/>
      <c r="G19" s="2667"/>
      <c r="H19" s="2667"/>
      <c r="I19" s="2667"/>
      <c r="J19" s="2667"/>
      <c r="K19" s="2666"/>
      <c r="L19" s="2666"/>
      <c r="M19" s="3444" t="s">
        <v>3384</v>
      </c>
      <c r="N19" s="3456">
        <v>0.9</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2" t="s">
        <v>1210</v>
      </c>
      <c r="B20" s="104">
        <v>2.5</v>
      </c>
      <c r="C20" s="2794" t="s">
        <v>2289</v>
      </c>
      <c r="D20" s="2670"/>
      <c r="E20" s="2667"/>
      <c r="F20" s="2667"/>
      <c r="G20" s="2667"/>
      <c r="H20" s="2667"/>
      <c r="I20" s="2667"/>
      <c r="J20" s="2667"/>
      <c r="K20" s="2666"/>
      <c r="L20" s="2666"/>
      <c r="M20" s="3444" t="s">
        <v>3385</v>
      </c>
      <c r="N20" s="2665">
        <f>ROUND((N18+N19)/2,2)</f>
        <v>0.85</v>
      </c>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3" t="s">
        <v>1211</v>
      </c>
      <c r="B21" s="104">
        <f>B20</f>
        <v>2.5</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2" t="s">
        <v>1212</v>
      </c>
      <c r="B22" s="105">
        <f>B19+B20</f>
        <v>2.5</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3" t="s">
        <v>1213</v>
      </c>
      <c r="B23" s="105">
        <f>B19+B21</f>
        <v>2.5</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4" t="s">
        <v>1214</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6"/>
      <c r="B25" s="1686"/>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2" t="s">
        <v>1215</v>
      </c>
      <c r="B26" s="1725" t="s">
        <v>1216</v>
      </c>
      <c r="C26" s="2671" t="s">
        <v>1217</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7" customFormat="1" ht="27.75">
      <c r="A27" s="1726" t="s">
        <v>1218</v>
      </c>
      <c r="B27" s="107">
        <v>160</v>
      </c>
      <c r="C27" s="2795" t="s">
        <v>2293</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1219</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1220</v>
      </c>
      <c r="B29" s="112">
        <f ca="1">ROUND('成本法 (元)'!C10/10000,4)</f>
        <v>2.4114</v>
      </c>
      <c r="C29" s="2796" t="s">
        <v>2280</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1221</v>
      </c>
      <c r="B30" s="670">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1222</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1223</v>
      </c>
      <c r="B32" s="671">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1224</v>
      </c>
      <c r="B33" s="672">
        <v>0.03</v>
      </c>
      <c r="C33" s="2797" t="s">
        <v>2281</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1225</v>
      </c>
      <c r="B34" s="113">
        <v>0</v>
      </c>
      <c r="C34" s="2797" t="s">
        <v>2282</v>
      </c>
      <c r="D34" s="2678" t="s">
        <v>2290</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1226</v>
      </c>
      <c r="B35" s="110">
        <f>B30</f>
        <v>200</v>
      </c>
      <c r="C35" s="2797" t="s">
        <v>2283</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1227</v>
      </c>
      <c r="B36" s="114">
        <v>1.4999999999999999E-2</v>
      </c>
      <c r="C36" s="2797" t="s">
        <v>2284</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0" t="s">
        <v>1228</v>
      </c>
      <c r="B37" s="115">
        <v>0.03</v>
      </c>
      <c r="C37" s="2797" t="s">
        <v>2285</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8" t="s">
        <v>1229</v>
      </c>
      <c r="B38" s="113">
        <v>0.03</v>
      </c>
      <c r="C38" s="2797" t="s">
        <v>2285</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1" t="s">
        <v>1230</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2300</v>
      </c>
      <c r="B40" s="1077">
        <f ca="1">IF(A40="利息：取LPR",存贷款利率!G1,存贷款利率!G1+C40)</f>
        <v>3.5499999999999997E-2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6" t="s">
        <v>1231</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2" t="s">
        <v>1232</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2" t="s">
        <v>1233</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3" t="s">
        <v>1234</v>
      </c>
      <c r="B44" s="119">
        <v>7.0000000000000007E-2</v>
      </c>
      <c r="C44" s="2797" t="s">
        <v>2294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3" t="s">
        <v>1235</v>
      </c>
      <c r="B45" s="117">
        <v>0.03</v>
      </c>
      <c r="C45" s="2796" t="s">
        <v>2286</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3" t="s">
        <v>1236</v>
      </c>
      <c r="B46" s="117">
        <v>0.02</v>
      </c>
      <c r="C46" s="2796" t="s">
        <v>2287</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4" t="s">
        <v>1237</v>
      </c>
      <c r="B47" s="120">
        <v>0</v>
      </c>
      <c r="C47" s="2799" t="s">
        <v>2295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5" t="s">
        <v>1238</v>
      </c>
      <c r="B48" s="121">
        <v>0.03</v>
      </c>
      <c r="C48" s="2796" t="s">
        <v>2286</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1" t="s">
        <v>1239</v>
      </c>
      <c r="B49" s="117">
        <v>5.0000000000000001E-4</v>
      </c>
      <c r="C49" s="2796" t="s">
        <v>2288</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6" t="s">
        <v>1240</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9" t="s">
        <v>1241</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6" t="s">
        <v>1242</v>
      </c>
      <c r="B52" s="124">
        <f>SUMIF(A54:A63,B53,B54:B63)</f>
        <v>24</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8" t="s">
        <v>1243</v>
      </c>
      <c r="B53" s="1737" t="s">
        <v>184</v>
      </c>
      <c r="C53" s="2655" t="s">
        <v>1244</v>
      </c>
      <c r="D53" s="2798" t="s">
        <v>2292</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8" t="s">
        <v>1245</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8" t="s">
        <v>1246</v>
      </c>
      <c r="B55" s="75">
        <v>24</v>
      </c>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8" t="s">
        <v>1247</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8" t="s">
        <v>1248</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8" t="s">
        <v>1249</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8" t="s">
        <v>1250</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8" t="s">
        <v>1251</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8" t="s">
        <v>1252</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8" t="s">
        <v>1253</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9" t="s">
        <v>1254</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2"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2"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2"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2"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2"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1685" customWidth="1"/>
    <col min="2" max="2" width="24.5" style="1571" customWidth="1"/>
    <col min="3" max="3" width="24.5" style="2504" customWidth="1"/>
    <col min="4" max="4" width="2.625" style="2504" customWidth="1"/>
    <col min="5" max="5" width="5.875" style="2504" customWidth="1"/>
    <col min="6" max="6" width="27" style="1571"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8"/>
    <col min="30" max="16384" width="9" style="1685"/>
  </cols>
  <sheetData>
    <row r="1" spans="1:29" s="2452" customFormat="1" ht="18.75" thickBot="1">
      <c r="A1" s="3549" t="s">
        <v>2272</v>
      </c>
      <c r="B1" s="3550"/>
      <c r="C1" s="3550"/>
      <c r="D1" s="3550"/>
      <c r="E1" s="3550"/>
      <c r="F1" s="3550"/>
      <c r="G1" s="3550"/>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2269</v>
      </c>
      <c r="D2" s="2456"/>
      <c r="E2" s="2453"/>
      <c r="F2" s="2457"/>
      <c r="G2" s="2455" t="s">
        <v>2270</v>
      </c>
      <c r="H2" s="798"/>
      <c r="I2" s="798"/>
      <c r="J2" s="798"/>
      <c r="K2" s="798"/>
      <c r="L2" s="798"/>
      <c r="M2" s="798"/>
      <c r="N2" s="798"/>
      <c r="O2" s="798"/>
      <c r="P2" s="798"/>
      <c r="Q2" s="798"/>
      <c r="R2" s="798"/>
    </row>
    <row r="3" spans="1:29" ht="24">
      <c r="A3" s="2436" t="s">
        <v>2271</v>
      </c>
      <c r="B3" s="2458" t="s">
        <v>2247</v>
      </c>
      <c r="C3" s="3457" t="s">
        <v>3507</v>
      </c>
      <c r="D3" s="2459"/>
      <c r="E3" s="2437" t="s">
        <v>2271</v>
      </c>
      <c r="F3" s="2460" t="s">
        <v>2248</v>
      </c>
      <c r="G3" s="2461" t="s">
        <v>3387</v>
      </c>
      <c r="H3" s="798"/>
      <c r="I3" s="798"/>
      <c r="J3" s="798"/>
      <c r="K3" s="798"/>
      <c r="L3" s="798"/>
      <c r="M3" s="798"/>
      <c r="N3" s="798"/>
      <c r="O3" s="798"/>
      <c r="P3" s="798"/>
      <c r="Q3" s="798"/>
      <c r="R3" s="798"/>
    </row>
    <row r="4" spans="1:29">
      <c r="A4" s="2437"/>
      <c r="B4" s="323" t="s">
        <v>2249</v>
      </c>
      <c r="C4" s="3458" t="s">
        <v>3508</v>
      </c>
      <c r="D4" s="2459"/>
      <c r="E4" s="2463"/>
      <c r="F4" s="1372" t="s">
        <v>2250</v>
      </c>
      <c r="G4" s="2464" t="s">
        <v>3387</v>
      </c>
      <c r="H4" s="798"/>
      <c r="I4" s="798"/>
      <c r="J4" s="798"/>
      <c r="K4" s="798"/>
      <c r="L4" s="798"/>
      <c r="M4" s="798"/>
      <c r="N4" s="798"/>
      <c r="O4" s="798"/>
      <c r="P4" s="798"/>
      <c r="Q4" s="798"/>
      <c r="R4" s="798"/>
    </row>
    <row r="5" spans="1:29">
      <c r="A5" s="2437"/>
      <c r="B5" s="323" t="s">
        <v>2251</v>
      </c>
      <c r="C5" s="2462" t="s">
        <v>3387</v>
      </c>
      <c r="D5" s="2459"/>
      <c r="E5" s="2463"/>
      <c r="F5" s="323" t="s">
        <v>2252</v>
      </c>
      <c r="G5" s="2464" t="s">
        <v>3387</v>
      </c>
      <c r="H5" s="798"/>
      <c r="I5" s="798"/>
      <c r="J5" s="798"/>
      <c r="K5" s="798"/>
      <c r="L5" s="798"/>
      <c r="M5" s="798"/>
      <c r="N5" s="798"/>
      <c r="O5" s="798"/>
      <c r="P5" s="798"/>
      <c r="Q5" s="798"/>
      <c r="R5" s="798"/>
    </row>
    <row r="6" spans="1:29">
      <c r="A6" s="2437"/>
      <c r="B6" s="323" t="s">
        <v>2253</v>
      </c>
      <c r="C6" s="2464" t="s">
        <v>3387</v>
      </c>
      <c r="D6" s="2459"/>
      <c r="E6" s="2463"/>
      <c r="F6" s="323" t="s">
        <v>2254</v>
      </c>
      <c r="G6" s="2464" t="s">
        <v>3388</v>
      </c>
      <c r="H6" s="798"/>
      <c r="I6" s="798"/>
      <c r="J6" s="798"/>
      <c r="K6" s="798"/>
      <c r="L6" s="798"/>
      <c r="M6" s="798"/>
      <c r="N6" s="798"/>
      <c r="O6" s="798"/>
      <c r="P6" s="798"/>
      <c r="Q6" s="798"/>
      <c r="R6" s="798"/>
    </row>
    <row r="7" spans="1:29" ht="15" thickBot="1">
      <c r="A7" s="2437"/>
      <c r="B7" s="323" t="s">
        <v>2252</v>
      </c>
      <c r="C7" s="3459" t="s">
        <v>3508</v>
      </c>
      <c r="D7" s="2465"/>
      <c r="E7" s="2466"/>
      <c r="F7" s="2467" t="s">
        <v>2255</v>
      </c>
      <c r="G7" s="2468" t="s">
        <v>3387</v>
      </c>
      <c r="H7" s="798"/>
      <c r="I7" s="798"/>
      <c r="J7" s="798"/>
      <c r="K7" s="798"/>
      <c r="L7" s="798"/>
      <c r="M7" s="798"/>
      <c r="N7" s="798"/>
      <c r="O7" s="798"/>
      <c r="P7" s="798"/>
      <c r="Q7" s="798"/>
      <c r="R7" s="798"/>
    </row>
    <row r="8" spans="1:29">
      <c r="A8" s="2437"/>
      <c r="B8" s="323" t="s">
        <v>2254</v>
      </c>
      <c r="C8" s="2464" t="s">
        <v>3388</v>
      </c>
      <c r="D8" s="2465"/>
      <c r="E8" s="2465"/>
      <c r="F8" s="2469"/>
      <c r="G8" s="2469"/>
      <c r="H8" s="798"/>
      <c r="I8" s="798"/>
      <c r="J8" s="798"/>
      <c r="K8" s="798"/>
      <c r="L8" s="798"/>
      <c r="M8" s="798"/>
      <c r="N8" s="798"/>
      <c r="O8" s="798"/>
      <c r="P8" s="798"/>
      <c r="Q8" s="798"/>
      <c r="R8" s="798"/>
    </row>
    <row r="9" spans="1:29">
      <c r="A9" s="2437"/>
      <c r="B9" s="323" t="s">
        <v>2256</v>
      </c>
      <c r="C9" s="2462" t="s">
        <v>3387</v>
      </c>
      <c r="D9" s="2459"/>
      <c r="E9" s="2465"/>
      <c r="F9" s="2469"/>
      <c r="G9" s="2469"/>
      <c r="H9" s="798"/>
      <c r="I9" s="798"/>
      <c r="J9" s="798"/>
      <c r="K9" s="798"/>
      <c r="L9" s="798"/>
      <c r="M9" s="798"/>
      <c r="N9" s="798"/>
      <c r="O9" s="798"/>
      <c r="P9" s="798"/>
      <c r="Q9" s="798"/>
      <c r="R9" s="798"/>
    </row>
    <row r="10" spans="1:29" s="2475" customFormat="1" ht="15" thickBot="1">
      <c r="A10" s="2438"/>
      <c r="B10" s="2470" t="s">
        <v>2257</v>
      </c>
      <c r="C10" s="2471"/>
      <c r="D10" s="2459"/>
      <c r="E10" s="2459"/>
      <c r="F10" s="2469"/>
      <c r="G10" s="2469"/>
      <c r="H10" s="2472"/>
      <c r="I10" s="2473"/>
      <c r="J10" s="2474"/>
      <c r="K10" s="2472"/>
      <c r="L10" s="2473"/>
      <c r="M10" s="2474"/>
      <c r="N10" s="2472"/>
      <c r="O10" s="2473"/>
      <c r="P10" s="2474"/>
      <c r="Q10" s="2472"/>
      <c r="R10" s="2473"/>
      <c r="S10" s="798"/>
      <c r="T10" s="798"/>
      <c r="U10" s="798"/>
      <c r="V10" s="798"/>
      <c r="W10" s="798"/>
      <c r="X10" s="798"/>
      <c r="Y10" s="798"/>
      <c r="Z10" s="798"/>
      <c r="AA10" s="798"/>
      <c r="AB10" s="798"/>
      <c r="AC10" s="798"/>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8"/>
      <c r="T11" s="798"/>
      <c r="U11" s="798"/>
      <c r="V11" s="798"/>
      <c r="W11" s="798"/>
      <c r="X11" s="798"/>
      <c r="Y11" s="798"/>
      <c r="Z11" s="798"/>
      <c r="AA11" s="798"/>
      <c r="AB11" s="798"/>
      <c r="AC11" s="798"/>
    </row>
    <row r="12" spans="1:29" s="2452" customFormat="1" ht="18">
      <c r="A12" s="2476"/>
      <c r="B12" s="2465"/>
      <c r="C12" s="2459"/>
      <c r="D12" s="2478"/>
      <c r="E12" s="2459"/>
      <c r="F12" s="2465"/>
      <c r="G12" s="2477"/>
      <c r="H12" s="2479"/>
      <c r="I12" s="2480"/>
      <c r="J12" s="2479"/>
      <c r="K12" s="2479"/>
      <c r="L12" s="2481"/>
      <c r="M12" s="2479"/>
      <c r="N12" s="2482"/>
      <c r="O12" s="2483"/>
      <c r="P12" s="2482"/>
      <c r="Q12" s="2482"/>
      <c r="R12" s="2450"/>
      <c r="S12" s="2451"/>
      <c r="T12" s="2451"/>
      <c r="U12" s="2451"/>
      <c r="V12" s="2451"/>
      <c r="W12" s="2451"/>
      <c r="X12" s="2451"/>
      <c r="Y12" s="2451"/>
      <c r="Z12" s="2451"/>
      <c r="AA12" s="2451"/>
      <c r="AB12" s="2451"/>
      <c r="AC12" s="2451"/>
    </row>
    <row r="13" spans="1:29" ht="15.75" thickBot="1">
      <c r="A13" s="2484" t="s">
        <v>2273</v>
      </c>
      <c r="B13" s="2478"/>
      <c r="C13" s="2478"/>
      <c r="D13" s="2476"/>
      <c r="E13" s="2478"/>
      <c r="F13" s="2478"/>
      <c r="G13" s="2478"/>
    </row>
    <row r="14" spans="1:29" ht="15" thickBot="1">
      <c r="A14" s="2488"/>
      <c r="B14" s="2488"/>
      <c r="C14" s="2489" t="s">
        <v>2258</v>
      </c>
      <c r="D14" s="2459"/>
      <c r="E14" s="2490"/>
      <c r="F14" s="2490"/>
      <c r="G14" s="2455" t="s">
        <v>2259</v>
      </c>
    </row>
    <row r="15" spans="1:29" ht="24">
      <c r="A15" s="2439" t="s">
        <v>2260</v>
      </c>
      <c r="B15" s="2491" t="s">
        <v>2247</v>
      </c>
      <c r="C15" s="2492" t="str">
        <f>C3</f>
        <v>好</v>
      </c>
      <c r="D15" s="2459"/>
      <c r="E15" s="2440" t="s">
        <v>2261</v>
      </c>
      <c r="F15" s="2491" t="s">
        <v>2262</v>
      </c>
      <c r="G15" s="2493" t="str">
        <f>G3</f>
        <v>较好</v>
      </c>
    </row>
    <row r="16" spans="1:29">
      <c r="A16" s="2441"/>
      <c r="B16" s="2494" t="s">
        <v>2249</v>
      </c>
      <c r="C16" s="2495" t="str">
        <f>C4</f>
        <v>好</v>
      </c>
      <c r="D16" s="2459"/>
      <c r="E16" s="2442"/>
      <c r="F16" s="2496" t="s">
        <v>2250</v>
      </c>
      <c r="G16" s="2497" t="str">
        <f>G4</f>
        <v>较好</v>
      </c>
    </row>
    <row r="17" spans="1:18">
      <c r="A17" s="2441"/>
      <c r="B17" s="2494" t="s">
        <v>2251</v>
      </c>
      <c r="C17" s="2495" t="str">
        <f>C5</f>
        <v>较好</v>
      </c>
      <c r="D17" s="2465"/>
      <c r="E17" s="2442"/>
      <c r="F17" s="2496" t="s">
        <v>2263</v>
      </c>
      <c r="G17" s="3445" t="s">
        <v>3389</v>
      </c>
    </row>
    <row r="18" spans="1:18">
      <c r="A18" s="2441"/>
      <c r="B18" s="2496" t="s">
        <v>2253</v>
      </c>
      <c r="C18" s="2497" t="str">
        <f>C6</f>
        <v>较好</v>
      </c>
      <c r="D18" s="2465"/>
      <c r="E18" s="2442"/>
      <c r="F18" s="2496" t="s">
        <v>2255</v>
      </c>
      <c r="G18" s="2497" t="str">
        <f>G7</f>
        <v>较好</v>
      </c>
    </row>
    <row r="19" spans="1:18">
      <c r="A19" s="2441"/>
      <c r="B19" s="2496" t="s">
        <v>2264</v>
      </c>
      <c r="C19" s="3445" t="s">
        <v>3389</v>
      </c>
      <c r="D19" s="2459"/>
      <c r="E19" s="2442"/>
      <c r="F19" s="323" t="s">
        <v>2252</v>
      </c>
      <c r="G19" s="2497" t="str">
        <f>G5</f>
        <v>较好</v>
      </c>
    </row>
    <row r="20" spans="1:18">
      <c r="A20" s="2441"/>
      <c r="B20" s="2496" t="s">
        <v>2265</v>
      </c>
      <c r="C20" s="2495" t="str">
        <f>C9</f>
        <v>较好</v>
      </c>
      <c r="D20" s="2465"/>
      <c r="E20" s="2442"/>
      <c r="F20" s="323" t="s">
        <v>2254</v>
      </c>
      <c r="G20" s="2497" t="str">
        <f>G6</f>
        <v>七通</v>
      </c>
    </row>
    <row r="21" spans="1:18">
      <c r="A21" s="2441"/>
      <c r="B21" s="323" t="s">
        <v>2252</v>
      </c>
      <c r="C21" s="2497" t="str">
        <f>C7</f>
        <v>好</v>
      </c>
      <c r="D21" s="2459"/>
      <c r="E21" s="2442"/>
      <c r="F21" s="2496" t="s">
        <v>2266</v>
      </c>
      <c r="G21" s="2499"/>
    </row>
    <row r="22" spans="1:18" ht="13.5" customHeight="1">
      <c r="A22" s="2441"/>
      <c r="B22" s="323" t="s">
        <v>2254</v>
      </c>
      <c r="C22" s="2497" t="str">
        <f>C8</f>
        <v>七通</v>
      </c>
      <c r="D22" s="2459"/>
      <c r="E22" s="2442"/>
      <c r="F22" s="2496" t="s">
        <v>2257</v>
      </c>
      <c r="G22" s="2498"/>
    </row>
    <row r="23" spans="1:18" s="798" customFormat="1" ht="15" thickBot="1">
      <c r="A23" s="2441"/>
      <c r="B23" s="2496" t="s">
        <v>2266</v>
      </c>
      <c r="C23" s="2499"/>
      <c r="D23" s="1740"/>
      <c r="E23" s="2443"/>
      <c r="F23" s="2500" t="s">
        <v>2267</v>
      </c>
      <c r="G23" s="2501"/>
      <c r="H23" s="2485"/>
      <c r="I23" s="2486"/>
      <c r="J23" s="2485"/>
      <c r="K23" s="2485"/>
      <c r="L23" s="2486"/>
      <c r="M23" s="2485"/>
      <c r="N23" s="2485"/>
      <c r="O23" s="2486"/>
      <c r="P23" s="2485"/>
      <c r="Q23" s="2485"/>
      <c r="R23" s="2487"/>
    </row>
    <row r="24" spans="1:18" s="798" customFormat="1" ht="15" thickBot="1">
      <c r="A24" s="2444"/>
      <c r="B24" s="2500" t="s">
        <v>2268</v>
      </c>
      <c r="C24" s="2502">
        <f>C10</f>
        <v>0</v>
      </c>
      <c r="D24" s="1740"/>
      <c r="E24" s="2434"/>
      <c r="F24" s="2434"/>
      <c r="G24" s="2503"/>
      <c r="H24" s="2485"/>
      <c r="I24" s="2486"/>
      <c r="J24" s="2485"/>
      <c r="K24" s="2485"/>
      <c r="L24" s="2486"/>
      <c r="M24" s="2485"/>
      <c r="N24" s="2485"/>
      <c r="O24" s="2486"/>
      <c r="P24" s="2485"/>
      <c r="Q24" s="2485"/>
      <c r="R24" s="2487"/>
    </row>
    <row r="25" spans="1:18" s="798" customFormat="1">
      <c r="B25" s="2485"/>
      <c r="C25" s="2485"/>
      <c r="D25" s="2485"/>
      <c r="H25" s="2485"/>
      <c r="I25" s="2486"/>
      <c r="J25" s="2485"/>
      <c r="K25" s="2485"/>
      <c r="L25" s="2486"/>
      <c r="M25" s="2485"/>
      <c r="N25" s="2485"/>
      <c r="O25" s="2486"/>
      <c r="P25" s="2485"/>
      <c r="Q25" s="2485"/>
      <c r="R25" s="2487"/>
    </row>
    <row r="26" spans="1:18" s="798" customFormat="1">
      <c r="B26" s="2485"/>
      <c r="C26" s="2485"/>
      <c r="D26" s="2485"/>
      <c r="H26" s="2485"/>
      <c r="I26" s="2486"/>
      <c r="J26" s="2485"/>
      <c r="K26" s="2485"/>
      <c r="L26" s="2486"/>
      <c r="M26" s="2485"/>
      <c r="N26" s="2485"/>
      <c r="O26" s="2486"/>
      <c r="P26" s="2485"/>
      <c r="Q26" s="2485"/>
      <c r="R26" s="2487"/>
    </row>
    <row r="27" spans="1:18" s="798" customFormat="1">
      <c r="B27" s="2485"/>
      <c r="C27" s="2485"/>
      <c r="D27" s="2485"/>
      <c r="H27" s="2485"/>
      <c r="I27" s="2486"/>
      <c r="J27" s="2485"/>
      <c r="K27" s="2485"/>
      <c r="L27" s="2486"/>
      <c r="M27" s="2485"/>
      <c r="N27" s="2485"/>
      <c r="O27" s="2486"/>
      <c r="P27" s="2485"/>
      <c r="Q27" s="2485"/>
      <c r="R27" s="2487"/>
    </row>
    <row r="28" spans="1:18" s="798" customFormat="1">
      <c r="B28" s="2485"/>
      <c r="C28" s="2485"/>
      <c r="D28" s="2485"/>
      <c r="H28" s="2485"/>
      <c r="I28" s="2486"/>
      <c r="J28" s="2485"/>
      <c r="K28" s="2485"/>
      <c r="L28" s="2486"/>
      <c r="M28" s="2485"/>
      <c r="N28" s="2485"/>
      <c r="O28" s="2486"/>
      <c r="P28" s="2485"/>
      <c r="Q28" s="2485"/>
      <c r="R28" s="2487"/>
    </row>
    <row r="29" spans="1:18" s="798" customFormat="1">
      <c r="B29" s="2485"/>
      <c r="C29" s="2485"/>
      <c r="D29" s="2485"/>
      <c r="H29" s="2485"/>
      <c r="I29" s="2486"/>
      <c r="J29" s="2485"/>
      <c r="K29" s="2485"/>
      <c r="L29" s="2486"/>
      <c r="M29" s="2485"/>
      <c r="N29" s="2485"/>
      <c r="O29" s="2486"/>
      <c r="P29" s="2485"/>
      <c r="Q29" s="2485"/>
      <c r="R29" s="2487"/>
    </row>
    <row r="30" spans="1:18" s="798" customFormat="1">
      <c r="B30" s="2485"/>
      <c r="C30" s="2485"/>
      <c r="D30" s="2485"/>
      <c r="H30" s="2485"/>
      <c r="I30" s="2486"/>
      <c r="J30" s="2485"/>
      <c r="K30" s="2485"/>
      <c r="L30" s="2486"/>
      <c r="M30" s="2485"/>
      <c r="N30" s="2485"/>
      <c r="O30" s="2486"/>
      <c r="P30" s="2485"/>
      <c r="Q30" s="2485"/>
      <c r="R30" s="2487"/>
    </row>
    <row r="31" spans="1:18" s="798" customFormat="1">
      <c r="B31" s="2485"/>
      <c r="C31" s="2485"/>
      <c r="D31" s="2485"/>
      <c r="H31" s="2485"/>
      <c r="I31" s="2486"/>
      <c r="J31" s="2485"/>
      <c r="K31" s="2485"/>
      <c r="L31" s="2486"/>
      <c r="M31" s="2485"/>
      <c r="N31" s="2485"/>
      <c r="O31" s="2486"/>
      <c r="P31" s="2485"/>
      <c r="Q31" s="2485"/>
      <c r="R31" s="2487"/>
    </row>
    <row r="32" spans="1:18" s="798" customFormat="1">
      <c r="B32" s="2485"/>
      <c r="C32" s="2485"/>
      <c r="D32" s="2485"/>
      <c r="H32" s="2485"/>
      <c r="I32" s="2486"/>
      <c r="J32" s="2485"/>
      <c r="K32" s="2485"/>
      <c r="L32" s="2486"/>
      <c r="M32" s="2485"/>
      <c r="N32" s="2485"/>
      <c r="O32" s="2486"/>
      <c r="P32" s="2485"/>
      <c r="Q32" s="2485"/>
      <c r="R32" s="2487"/>
    </row>
    <row r="33" spans="2:18" s="798" customFormat="1">
      <c r="B33" s="2485"/>
      <c r="C33" s="2485"/>
      <c r="D33" s="2485"/>
      <c r="H33" s="2485"/>
      <c r="I33" s="2486"/>
      <c r="J33" s="2485"/>
      <c r="K33" s="2485"/>
      <c r="L33" s="2486"/>
      <c r="M33" s="2485"/>
      <c r="N33" s="2485"/>
      <c r="O33" s="2486"/>
      <c r="P33" s="2485"/>
      <c r="Q33" s="2485"/>
      <c r="R33" s="2487"/>
    </row>
    <row r="34" spans="2:18" s="798" customFormat="1">
      <c r="B34" s="2485"/>
      <c r="C34" s="2485"/>
      <c r="D34" s="2485"/>
      <c r="H34" s="2485"/>
      <c r="I34" s="2486"/>
      <c r="J34" s="2485"/>
      <c r="K34" s="2485"/>
      <c r="L34" s="2486"/>
      <c r="M34" s="2485"/>
      <c r="N34" s="2485"/>
      <c r="O34" s="2486"/>
      <c r="P34" s="2485"/>
      <c r="Q34" s="2485"/>
      <c r="R34" s="2487"/>
    </row>
    <row r="35" spans="2:18" s="798" customFormat="1">
      <c r="B35" s="2485"/>
      <c r="C35" s="2485"/>
      <c r="D35" s="2485"/>
      <c r="H35" s="2485"/>
      <c r="I35" s="2486"/>
      <c r="J35" s="2485"/>
      <c r="K35" s="2485"/>
      <c r="L35" s="2486"/>
      <c r="M35" s="2485"/>
      <c r="N35" s="2485"/>
      <c r="O35" s="2486"/>
      <c r="P35" s="2485"/>
      <c r="Q35" s="2485"/>
      <c r="R35" s="2487"/>
    </row>
    <row r="36" spans="2:18" s="798" customFormat="1">
      <c r="B36" s="2485"/>
      <c r="C36" s="2485"/>
      <c r="D36" s="2485"/>
      <c r="H36" s="2485"/>
      <c r="I36" s="2486"/>
      <c r="J36" s="2485"/>
      <c r="K36" s="2485"/>
      <c r="L36" s="2486"/>
      <c r="M36" s="2485"/>
      <c r="N36" s="2485"/>
      <c r="O36" s="2486"/>
      <c r="P36" s="2485"/>
      <c r="Q36" s="2485"/>
      <c r="R36" s="2487"/>
    </row>
    <row r="37" spans="2:18" s="798" customFormat="1">
      <c r="B37" s="2485"/>
      <c r="C37" s="2485"/>
      <c r="D37" s="2485"/>
      <c r="H37" s="2485"/>
      <c r="I37" s="2486"/>
      <c r="J37" s="2485"/>
      <c r="K37" s="2485"/>
      <c r="L37" s="2486"/>
      <c r="M37" s="2485"/>
      <c r="N37" s="2485"/>
      <c r="O37" s="2486"/>
      <c r="P37" s="2485"/>
      <c r="Q37" s="2485"/>
      <c r="R37" s="2487"/>
    </row>
    <row r="38" spans="2:18" s="798" customFormat="1">
      <c r="B38" s="2485"/>
      <c r="C38" s="2485"/>
      <c r="D38" s="2485"/>
      <c r="E38" s="2485"/>
      <c r="F38" s="2485"/>
      <c r="G38" s="2486"/>
      <c r="H38" s="2485"/>
      <c r="I38" s="2486"/>
      <c r="J38" s="2485"/>
      <c r="K38" s="2485"/>
      <c r="L38" s="2486"/>
      <c r="M38" s="2485"/>
      <c r="N38" s="2485"/>
      <c r="O38" s="2486"/>
      <c r="P38" s="2485"/>
      <c r="Q38" s="2485"/>
      <c r="R38" s="2487"/>
    </row>
    <row r="39" spans="2:18" s="798" customFormat="1">
      <c r="B39" s="2485"/>
      <c r="C39" s="2485"/>
      <c r="D39" s="2485"/>
      <c r="E39" s="2485"/>
      <c r="F39" s="2485"/>
      <c r="G39" s="2486"/>
      <c r="H39" s="2485"/>
      <c r="I39" s="2486"/>
      <c r="J39" s="2485"/>
      <c r="K39" s="2485"/>
      <c r="L39" s="2486"/>
      <c r="M39" s="2485"/>
      <c r="N39" s="2485"/>
      <c r="O39" s="2486"/>
      <c r="P39" s="2485"/>
      <c r="Q39" s="2485"/>
      <c r="R39" s="2487"/>
    </row>
    <row r="40" spans="2:18" s="798" customFormat="1">
      <c r="B40" s="2485"/>
      <c r="C40" s="2485"/>
      <c r="D40" s="2485"/>
      <c r="E40" s="2485"/>
      <c r="F40" s="2485"/>
      <c r="G40" s="2486"/>
      <c r="H40" s="2485"/>
      <c r="I40" s="2486"/>
      <c r="J40" s="2485"/>
      <c r="K40" s="2485"/>
      <c r="L40" s="2486"/>
      <c r="M40" s="2485"/>
      <c r="N40" s="2485"/>
      <c r="O40" s="2486"/>
      <c r="P40" s="2485"/>
      <c r="Q40" s="2485"/>
      <c r="R40" s="2487"/>
    </row>
    <row r="41" spans="2:18" s="798" customFormat="1">
      <c r="B41" s="2485"/>
      <c r="C41" s="2485"/>
      <c r="D41" s="2485"/>
      <c r="E41" s="2485"/>
      <c r="F41" s="2485"/>
      <c r="G41" s="2486"/>
      <c r="H41" s="2485"/>
      <c r="I41" s="2486"/>
      <c r="J41" s="2485"/>
      <c r="K41" s="2485"/>
      <c r="L41" s="2486"/>
      <c r="M41" s="2485"/>
      <c r="N41" s="2485"/>
      <c r="O41" s="2486"/>
      <c r="P41" s="2485"/>
      <c r="Q41" s="2485"/>
      <c r="R41" s="2487"/>
    </row>
    <row r="42" spans="2:18" s="798" customFormat="1">
      <c r="B42" s="2485"/>
      <c r="C42" s="2485"/>
      <c r="D42" s="2485"/>
      <c r="E42" s="2485"/>
      <c r="F42" s="2485"/>
      <c r="G42" s="2486"/>
      <c r="H42" s="2485"/>
      <c r="I42" s="2486"/>
      <c r="J42" s="2485"/>
      <c r="K42" s="2485"/>
      <c r="L42" s="2486"/>
      <c r="M42" s="2485"/>
      <c r="N42" s="2485"/>
      <c r="O42" s="2486"/>
      <c r="P42" s="2485"/>
      <c r="Q42" s="2485"/>
      <c r="R42" s="2487"/>
    </row>
    <row r="43" spans="2:18" s="798" customFormat="1">
      <c r="B43" s="2485"/>
      <c r="C43" s="2485"/>
      <c r="D43" s="2485"/>
      <c r="E43" s="2485"/>
      <c r="F43" s="2485"/>
      <c r="G43" s="2486"/>
      <c r="H43" s="2485"/>
      <c r="I43" s="2486"/>
      <c r="J43" s="2485"/>
      <c r="K43" s="2485"/>
      <c r="L43" s="2486"/>
      <c r="M43" s="2485"/>
      <c r="N43" s="2485"/>
      <c r="O43" s="2486"/>
      <c r="P43" s="2485"/>
      <c r="Q43" s="2485"/>
      <c r="R43" s="2487"/>
    </row>
    <row r="44" spans="2:18" s="798" customFormat="1">
      <c r="B44" s="2485"/>
      <c r="C44" s="2485"/>
      <c r="D44" s="2485"/>
      <c r="E44" s="2485"/>
      <c r="F44" s="2485"/>
      <c r="G44" s="2486"/>
      <c r="H44" s="2485"/>
      <c r="I44" s="2486"/>
      <c r="J44" s="2485"/>
      <c r="K44" s="2485"/>
      <c r="L44" s="2486"/>
      <c r="M44" s="2485"/>
      <c r="N44" s="2485"/>
      <c r="O44" s="2486"/>
      <c r="P44" s="2485"/>
      <c r="Q44" s="2485"/>
      <c r="R44" s="2487"/>
    </row>
    <row r="45" spans="2:18" s="798" customFormat="1">
      <c r="B45" s="2485"/>
      <c r="C45" s="2485"/>
      <c r="D45" s="2485"/>
      <c r="E45" s="2485"/>
      <c r="F45" s="2485"/>
      <c r="G45" s="2486"/>
      <c r="H45" s="2485"/>
      <c r="I45" s="2486"/>
      <c r="J45" s="2485"/>
      <c r="K45" s="2485"/>
      <c r="L45" s="2486"/>
      <c r="M45" s="2485"/>
      <c r="N45" s="2485"/>
      <c r="O45" s="2486"/>
      <c r="P45" s="2485"/>
      <c r="Q45" s="2485"/>
      <c r="R45" s="2487"/>
    </row>
    <row r="46" spans="2:18" s="798" customFormat="1">
      <c r="B46" s="2485"/>
      <c r="C46" s="2485"/>
      <c r="D46" s="2485"/>
      <c r="E46" s="2485"/>
      <c r="F46" s="2485"/>
      <c r="G46" s="2486"/>
      <c r="H46" s="2485"/>
      <c r="I46" s="2486"/>
      <c r="J46" s="2485"/>
      <c r="K46" s="2485"/>
      <c r="L46" s="2486"/>
      <c r="M46" s="2485"/>
      <c r="N46" s="2485"/>
      <c r="O46" s="2486"/>
      <c r="P46" s="2485"/>
      <c r="Q46" s="2485"/>
      <c r="R46" s="2487"/>
    </row>
    <row r="47" spans="2:18" s="798" customFormat="1">
      <c r="B47" s="2485"/>
      <c r="C47" s="2485"/>
      <c r="D47" s="2485"/>
      <c r="E47" s="2485"/>
      <c r="F47" s="2485"/>
      <c r="G47" s="2486"/>
      <c r="H47" s="2485"/>
      <c r="I47" s="2486"/>
      <c r="J47" s="2485"/>
      <c r="K47" s="2485"/>
      <c r="L47" s="2486"/>
      <c r="M47" s="2485"/>
      <c r="N47" s="2485"/>
      <c r="O47" s="2486"/>
      <c r="P47" s="2485"/>
      <c r="Q47" s="2485"/>
      <c r="R47" s="2487"/>
    </row>
    <row r="48" spans="2:18" s="798" customFormat="1">
      <c r="B48" s="2485"/>
      <c r="C48" s="2485"/>
      <c r="D48" s="2485"/>
      <c r="E48" s="2485"/>
      <c r="F48" s="2485"/>
      <c r="G48" s="2486"/>
      <c r="H48" s="2485"/>
      <c r="I48" s="2486"/>
      <c r="J48" s="2485"/>
      <c r="K48" s="2485"/>
      <c r="L48" s="2486"/>
      <c r="M48" s="2485"/>
      <c r="N48" s="2485"/>
      <c r="O48" s="2486"/>
      <c r="P48" s="2485"/>
      <c r="Q48" s="2485"/>
      <c r="R48" s="2487"/>
    </row>
    <row r="49" spans="2:18" s="798" customFormat="1">
      <c r="B49" s="2485"/>
      <c r="C49" s="2485"/>
      <c r="D49" s="2485"/>
      <c r="E49" s="2485"/>
      <c r="F49" s="2485"/>
      <c r="G49" s="2486"/>
      <c r="H49" s="2485"/>
      <c r="I49" s="2486"/>
      <c r="J49" s="2485"/>
      <c r="K49" s="2485"/>
      <c r="L49" s="2486"/>
      <c r="M49" s="2485"/>
      <c r="N49" s="2485"/>
      <c r="O49" s="2486"/>
      <c r="P49" s="2485"/>
      <c r="Q49" s="2485"/>
      <c r="R49" s="2487"/>
    </row>
    <row r="50" spans="2:18" s="798" customFormat="1">
      <c r="B50" s="2485"/>
      <c r="C50" s="2485"/>
      <c r="D50" s="2485"/>
      <c r="E50" s="2485"/>
      <c r="F50" s="2485"/>
      <c r="G50" s="2486"/>
      <c r="H50" s="2485"/>
      <c r="I50" s="2486"/>
      <c r="J50" s="2485"/>
      <c r="K50" s="2485"/>
      <c r="L50" s="2486"/>
      <c r="M50" s="2485"/>
      <c r="N50" s="2485"/>
      <c r="O50" s="2486"/>
      <c r="P50" s="2485"/>
      <c r="Q50" s="2485"/>
      <c r="R50" s="2487"/>
    </row>
    <row r="51" spans="2:18" s="798" customFormat="1">
      <c r="B51" s="2485"/>
      <c r="C51" s="2485"/>
      <c r="D51" s="2485"/>
      <c r="E51" s="2485"/>
      <c r="F51" s="2485"/>
      <c r="G51" s="2486"/>
      <c r="H51" s="2485"/>
      <c r="I51" s="2486"/>
      <c r="J51" s="2485"/>
      <c r="K51" s="2485"/>
      <c r="L51" s="2486"/>
      <c r="M51" s="2485"/>
      <c r="N51" s="2485"/>
      <c r="O51" s="2486"/>
      <c r="P51" s="2485"/>
      <c r="Q51" s="2485"/>
      <c r="R51" s="2487"/>
    </row>
    <row r="52" spans="2:18" s="798" customFormat="1">
      <c r="B52" s="2485"/>
      <c r="C52" s="2485"/>
      <c r="D52" s="2485"/>
      <c r="E52" s="2485"/>
      <c r="F52" s="2485"/>
      <c r="G52" s="2486"/>
      <c r="H52" s="2485"/>
      <c r="I52" s="2486"/>
      <c r="J52" s="2485"/>
      <c r="K52" s="2485"/>
      <c r="L52" s="2486"/>
      <c r="M52" s="2485"/>
      <c r="N52" s="2485"/>
      <c r="O52" s="2486"/>
      <c r="P52" s="2485"/>
      <c r="Q52" s="2485"/>
      <c r="R52" s="2487"/>
    </row>
    <row r="53" spans="2:18" s="798" customFormat="1">
      <c r="B53" s="2485"/>
      <c r="C53" s="2485"/>
      <c r="D53" s="2485"/>
      <c r="E53" s="2485"/>
      <c r="F53" s="2485"/>
      <c r="G53" s="2486"/>
      <c r="H53" s="2485"/>
      <c r="I53" s="2486"/>
      <c r="J53" s="2485"/>
      <c r="K53" s="2485"/>
      <c r="L53" s="2486"/>
      <c r="M53" s="2485"/>
      <c r="N53" s="2485"/>
      <c r="O53" s="2486"/>
      <c r="P53" s="2485"/>
      <c r="Q53" s="2485"/>
      <c r="R53" s="2487"/>
    </row>
    <row r="54" spans="2:18" s="798" customFormat="1">
      <c r="B54" s="2485"/>
      <c r="C54" s="2485"/>
      <c r="D54" s="2485"/>
      <c r="E54" s="2485"/>
      <c r="F54" s="2485"/>
      <c r="G54" s="2486"/>
      <c r="H54" s="2485"/>
      <c r="I54" s="2486"/>
      <c r="J54" s="2485"/>
      <c r="K54" s="2485"/>
      <c r="L54" s="2486"/>
      <c r="M54" s="2485"/>
      <c r="N54" s="2485"/>
      <c r="O54" s="2486"/>
      <c r="P54" s="2485"/>
      <c r="Q54" s="2485"/>
      <c r="R54" s="2487"/>
    </row>
    <row r="55" spans="2:18" s="798" customFormat="1">
      <c r="B55" s="2485"/>
      <c r="C55" s="2485"/>
      <c r="D55" s="2485"/>
      <c r="E55" s="2485"/>
      <c r="F55" s="2485"/>
      <c r="G55" s="2486"/>
      <c r="H55" s="2485"/>
      <c r="I55" s="2486"/>
      <c r="J55" s="2485"/>
      <c r="K55" s="2485"/>
      <c r="L55" s="2486"/>
      <c r="M55" s="2485"/>
      <c r="N55" s="2485"/>
      <c r="O55" s="2486"/>
      <c r="P55" s="2485"/>
      <c r="Q55" s="2485"/>
      <c r="R55" s="2487"/>
    </row>
    <row r="56" spans="2:18" s="798" customFormat="1">
      <c r="B56" s="2485"/>
      <c r="C56" s="2485"/>
      <c r="D56" s="2485"/>
      <c r="E56" s="2485"/>
      <c r="F56" s="2485"/>
      <c r="G56" s="2486"/>
      <c r="H56" s="2485"/>
      <c r="I56" s="2486"/>
      <c r="J56" s="2485"/>
      <c r="K56" s="2485"/>
      <c r="L56" s="2486"/>
      <c r="M56" s="2485"/>
      <c r="N56" s="2485"/>
      <c r="O56" s="2486"/>
      <c r="P56" s="2485"/>
      <c r="Q56" s="2485"/>
      <c r="R56" s="2487"/>
    </row>
    <row r="57" spans="2:18" s="798" customFormat="1">
      <c r="B57" s="2485"/>
      <c r="C57" s="2485"/>
      <c r="D57" s="2485"/>
      <c r="E57" s="2485"/>
      <c r="F57" s="2485"/>
      <c r="G57" s="2486"/>
      <c r="H57" s="2485"/>
      <c r="I57" s="2486"/>
      <c r="J57" s="2485"/>
      <c r="K57" s="2485"/>
      <c r="L57" s="2486"/>
      <c r="M57" s="2485"/>
      <c r="N57" s="2485"/>
      <c r="O57" s="2486"/>
      <c r="P57" s="2485"/>
      <c r="Q57" s="2485"/>
      <c r="R57" s="2487"/>
    </row>
    <row r="58" spans="2:18" s="798" customFormat="1">
      <c r="B58" s="2485"/>
      <c r="C58" s="2485"/>
      <c r="D58" s="2485"/>
      <c r="E58" s="2485"/>
      <c r="F58" s="2485"/>
      <c r="G58" s="2486"/>
      <c r="H58" s="2485"/>
      <c r="I58" s="2486"/>
      <c r="J58" s="2485"/>
      <c r="K58" s="2485"/>
      <c r="L58" s="2486"/>
      <c r="M58" s="2485"/>
      <c r="N58" s="2485"/>
      <c r="O58" s="2486"/>
      <c r="P58" s="2485"/>
      <c r="Q58" s="2485"/>
      <c r="R58" s="2487"/>
    </row>
    <row r="59" spans="2:18" s="798" customFormat="1">
      <c r="B59" s="2485"/>
      <c r="C59" s="2485"/>
      <c r="D59" s="2485"/>
      <c r="E59" s="2485"/>
      <c r="F59" s="2485"/>
      <c r="G59" s="2486"/>
      <c r="H59" s="2485"/>
      <c r="I59" s="2486"/>
      <c r="J59" s="2485"/>
      <c r="K59" s="2485"/>
      <c r="L59" s="2486"/>
      <c r="M59" s="2485"/>
      <c r="N59" s="2485"/>
      <c r="O59" s="2486"/>
      <c r="P59" s="2485"/>
      <c r="Q59" s="2485"/>
      <c r="R59" s="2487"/>
    </row>
    <row r="60" spans="2:18" s="798" customFormat="1">
      <c r="B60" s="2485"/>
      <c r="C60" s="2485"/>
      <c r="D60" s="2485"/>
      <c r="E60" s="2485"/>
      <c r="F60" s="2485"/>
      <c r="G60" s="2486"/>
      <c r="H60" s="2485"/>
      <c r="I60" s="2486"/>
      <c r="J60" s="2485"/>
      <c r="K60" s="2485"/>
      <c r="L60" s="2486"/>
      <c r="M60" s="2485"/>
      <c r="N60" s="2485"/>
      <c r="O60" s="2486"/>
      <c r="P60" s="2485"/>
      <c r="Q60" s="2485"/>
      <c r="R60" s="2487"/>
    </row>
    <row r="61" spans="2:18" s="798" customFormat="1">
      <c r="B61" s="2485"/>
      <c r="C61" s="2485"/>
      <c r="D61" s="2485"/>
      <c r="E61" s="2485"/>
      <c r="F61" s="2485"/>
      <c r="G61" s="2486"/>
      <c r="H61" s="2485"/>
      <c r="I61" s="2486"/>
      <c r="J61" s="2485"/>
      <c r="K61" s="2485"/>
      <c r="L61" s="2486"/>
      <c r="M61" s="2485"/>
      <c r="N61" s="2485"/>
      <c r="O61" s="2486"/>
      <c r="P61" s="2485"/>
      <c r="Q61" s="2485"/>
      <c r="R61" s="2487"/>
    </row>
    <row r="62" spans="2:18" s="798" customFormat="1">
      <c r="B62" s="2485"/>
      <c r="C62" s="2485"/>
      <c r="D62" s="2485"/>
      <c r="E62" s="2485"/>
      <c r="F62" s="2485"/>
      <c r="G62" s="2486"/>
      <c r="H62" s="2485"/>
      <c r="I62" s="2486"/>
      <c r="J62" s="2485"/>
      <c r="K62" s="2485"/>
      <c r="L62" s="2486"/>
      <c r="M62" s="2485"/>
      <c r="N62" s="2485"/>
      <c r="O62" s="2486"/>
      <c r="P62" s="2485"/>
      <c r="Q62" s="2485"/>
      <c r="R62" s="2487"/>
    </row>
    <row r="63" spans="2:18" s="798" customFormat="1">
      <c r="B63" s="2485"/>
      <c r="C63" s="2485"/>
      <c r="D63" s="2485"/>
      <c r="E63" s="2485"/>
      <c r="F63" s="2485"/>
      <c r="G63" s="2486"/>
      <c r="H63" s="2485"/>
      <c r="I63" s="2486"/>
      <c r="J63" s="2485"/>
      <c r="K63" s="2485"/>
      <c r="L63" s="2486"/>
      <c r="M63" s="2485"/>
      <c r="N63" s="2485"/>
      <c r="O63" s="2486"/>
      <c r="P63" s="2485"/>
      <c r="Q63" s="2485"/>
      <c r="R63" s="2487"/>
    </row>
    <row r="64" spans="2:18" s="798" customFormat="1">
      <c r="B64" s="2485"/>
      <c r="C64" s="2485"/>
      <c r="D64" s="2485"/>
      <c r="E64" s="2485"/>
      <c r="F64" s="2485"/>
      <c r="G64" s="2486"/>
      <c r="H64" s="2485"/>
      <c r="I64" s="2486"/>
      <c r="J64" s="2485"/>
      <c r="K64" s="2485"/>
      <c r="L64" s="2486"/>
      <c r="M64" s="2485"/>
      <c r="N64" s="2485"/>
      <c r="O64" s="2486"/>
      <c r="P64" s="2485"/>
      <c r="Q64" s="2485"/>
      <c r="R64" s="2487"/>
    </row>
    <row r="65" spans="2:18" s="798" customFormat="1">
      <c r="B65" s="2485"/>
      <c r="C65" s="2485"/>
      <c r="D65" s="2485"/>
      <c r="E65" s="2485"/>
      <c r="F65" s="2485"/>
      <c r="G65" s="2486"/>
      <c r="H65" s="2485"/>
      <c r="I65" s="2486"/>
      <c r="J65" s="2485"/>
      <c r="K65" s="2485"/>
      <c r="L65" s="2486"/>
      <c r="M65" s="2485"/>
      <c r="N65" s="2485"/>
      <c r="O65" s="2486"/>
      <c r="P65" s="2485"/>
      <c r="Q65" s="2485"/>
      <c r="R65" s="2487"/>
    </row>
    <row r="66" spans="2:18" s="798" customFormat="1">
      <c r="B66" s="2485"/>
      <c r="C66" s="2485"/>
      <c r="D66" s="2485"/>
      <c r="E66" s="2485"/>
      <c r="F66" s="2485"/>
      <c r="G66" s="2486"/>
      <c r="H66" s="2485"/>
      <c r="I66" s="2486"/>
      <c r="J66" s="2485"/>
      <c r="K66" s="2485"/>
      <c r="L66" s="2486"/>
      <c r="M66" s="2485"/>
      <c r="N66" s="2485"/>
      <c r="O66" s="2486"/>
      <c r="P66" s="2485"/>
      <c r="Q66" s="2485"/>
      <c r="R66" s="2487"/>
    </row>
    <row r="67" spans="2:18" s="798" customFormat="1">
      <c r="B67" s="2485"/>
      <c r="C67" s="2485"/>
      <c r="D67" s="2485"/>
      <c r="E67" s="2485"/>
      <c r="F67" s="2485"/>
      <c r="G67" s="2486"/>
      <c r="H67" s="2485"/>
      <c r="I67" s="2486"/>
      <c r="J67" s="2485"/>
      <c r="K67" s="2485"/>
      <c r="L67" s="2486"/>
      <c r="M67" s="2485"/>
      <c r="N67" s="2485"/>
      <c r="O67" s="2486"/>
      <c r="P67" s="2485"/>
      <c r="Q67" s="2485"/>
      <c r="R67" s="2487"/>
    </row>
    <row r="68" spans="2:18" s="798" customFormat="1">
      <c r="B68" s="2485"/>
      <c r="C68" s="2485"/>
      <c r="D68" s="2485"/>
      <c r="E68" s="2485"/>
      <c r="F68" s="2485"/>
      <c r="G68" s="2486"/>
      <c r="H68" s="2485"/>
      <c r="I68" s="2486"/>
      <c r="J68" s="2485"/>
      <c r="K68" s="2485"/>
      <c r="L68" s="2486"/>
      <c r="M68" s="2485"/>
      <c r="N68" s="2485"/>
      <c r="O68" s="2486"/>
      <c r="P68" s="2485"/>
      <c r="Q68" s="2485"/>
      <c r="R68" s="2487"/>
    </row>
    <row r="69" spans="2:18" s="798" customFormat="1">
      <c r="B69" s="2485"/>
      <c r="C69" s="2485"/>
      <c r="D69" s="2485"/>
      <c r="E69" s="2485"/>
      <c r="F69" s="2485"/>
      <c r="G69" s="2486"/>
      <c r="H69" s="2485"/>
      <c r="I69" s="2486"/>
      <c r="J69" s="2485"/>
      <c r="K69" s="2485"/>
      <c r="L69" s="2486"/>
      <c r="M69" s="2485"/>
      <c r="N69" s="2485"/>
      <c r="O69" s="2486"/>
      <c r="P69" s="2485"/>
      <c r="Q69" s="2485"/>
      <c r="R69" s="2487"/>
    </row>
    <row r="70" spans="2:18" s="798" customFormat="1">
      <c r="B70" s="2485"/>
      <c r="C70" s="2485"/>
      <c r="D70" s="2485"/>
      <c r="E70" s="2485"/>
      <c r="F70" s="2485"/>
      <c r="G70" s="2486"/>
      <c r="H70" s="2485"/>
      <c r="I70" s="2486"/>
      <c r="J70" s="2485"/>
      <c r="K70" s="2485"/>
      <c r="L70" s="2486"/>
      <c r="M70" s="2485"/>
      <c r="N70" s="2485"/>
      <c r="O70" s="2486"/>
      <c r="P70" s="2485"/>
      <c r="Q70" s="2485"/>
      <c r="R70" s="2487"/>
    </row>
    <row r="71" spans="2:18" s="798" customFormat="1">
      <c r="B71" s="2485"/>
      <c r="C71" s="2485"/>
      <c r="D71" s="2485"/>
      <c r="E71" s="2485"/>
      <c r="F71" s="2485"/>
      <c r="G71" s="2486"/>
      <c r="H71" s="2485"/>
      <c r="I71" s="2486"/>
      <c r="J71" s="2485"/>
      <c r="K71" s="2485"/>
      <c r="L71" s="2486"/>
      <c r="M71" s="2485"/>
      <c r="N71" s="2485"/>
      <c r="O71" s="2486"/>
      <c r="P71" s="2485"/>
      <c r="Q71" s="2485"/>
      <c r="R71" s="2487"/>
    </row>
    <row r="72" spans="2:18" s="798" customFormat="1">
      <c r="B72" s="2485"/>
      <c r="C72" s="2485"/>
      <c r="D72" s="2485"/>
      <c r="E72" s="2485"/>
      <c r="F72" s="2485"/>
      <c r="G72" s="2486"/>
      <c r="H72" s="2485"/>
      <c r="I72" s="2486"/>
      <c r="J72" s="2485"/>
      <c r="K72" s="2485"/>
      <c r="L72" s="2486"/>
      <c r="M72" s="2485"/>
      <c r="N72" s="2485"/>
      <c r="O72" s="2486"/>
      <c r="P72" s="2485"/>
      <c r="Q72" s="2485"/>
      <c r="R72" s="2487"/>
    </row>
    <row r="73" spans="2:18" s="798" customFormat="1">
      <c r="B73" s="2485"/>
      <c r="C73" s="2485"/>
      <c r="D73" s="2485"/>
      <c r="E73" s="2485"/>
      <c r="F73" s="2485"/>
      <c r="G73" s="2486"/>
      <c r="H73" s="2485"/>
      <c r="I73" s="2486"/>
      <c r="J73" s="2485"/>
      <c r="K73" s="2485"/>
      <c r="L73" s="2486"/>
      <c r="M73" s="2485"/>
      <c r="N73" s="2485"/>
      <c r="O73" s="2486"/>
      <c r="P73" s="2485"/>
      <c r="Q73" s="2485"/>
      <c r="R73" s="2487"/>
    </row>
    <row r="74" spans="2:18" s="798" customFormat="1">
      <c r="B74" s="2485"/>
      <c r="C74" s="2485"/>
      <c r="D74" s="2485"/>
      <c r="E74" s="2485"/>
      <c r="F74" s="2485"/>
      <c r="G74" s="2486"/>
      <c r="H74" s="2485"/>
      <c r="I74" s="2486"/>
      <c r="J74" s="2485"/>
      <c r="K74" s="2485"/>
      <c r="L74" s="2486"/>
      <c r="M74" s="2485"/>
      <c r="N74" s="2485"/>
      <c r="O74" s="2486"/>
      <c r="P74" s="2485"/>
      <c r="Q74" s="2485"/>
      <c r="R74" s="2487"/>
    </row>
    <row r="75" spans="2:18" s="798" customFormat="1">
      <c r="B75" s="2485"/>
      <c r="C75" s="2485"/>
      <c r="D75" s="2485"/>
      <c r="E75" s="2485"/>
      <c r="F75" s="2485"/>
      <c r="G75" s="2486"/>
      <c r="H75" s="2485"/>
      <c r="I75" s="2486"/>
      <c r="J75" s="2485"/>
      <c r="K75" s="2485"/>
      <c r="L75" s="2486"/>
      <c r="M75" s="2485"/>
      <c r="N75" s="2485"/>
      <c r="O75" s="2486"/>
      <c r="P75" s="2485"/>
      <c r="Q75" s="2485"/>
      <c r="R75" s="2487"/>
    </row>
    <row r="76" spans="2:18" s="798" customFormat="1">
      <c r="B76" s="2485"/>
      <c r="C76" s="2485"/>
      <c r="D76" s="2485"/>
      <c r="E76" s="2485"/>
      <c r="F76" s="2485"/>
      <c r="G76" s="2486"/>
      <c r="H76" s="2485"/>
      <c r="I76" s="2486"/>
      <c r="J76" s="2485"/>
      <c r="K76" s="2485"/>
      <c r="L76" s="2486"/>
      <c r="M76" s="2485"/>
      <c r="N76" s="2485"/>
      <c r="O76" s="2486"/>
      <c r="P76" s="2485"/>
      <c r="Q76" s="2485"/>
      <c r="R76" s="2487"/>
    </row>
    <row r="77" spans="2:18" s="798" customFormat="1">
      <c r="B77" s="2485"/>
      <c r="C77" s="2485"/>
      <c r="D77" s="2485"/>
      <c r="E77" s="2485"/>
      <c r="F77" s="2485"/>
      <c r="G77" s="2486"/>
      <c r="H77" s="2485"/>
      <c r="I77" s="2486"/>
      <c r="J77" s="2485"/>
      <c r="K77" s="2485"/>
      <c r="L77" s="2486"/>
      <c r="M77" s="2485"/>
      <c r="N77" s="2485"/>
      <c r="O77" s="2486"/>
      <c r="P77" s="2485"/>
      <c r="Q77" s="2485"/>
      <c r="R77" s="2487"/>
    </row>
    <row r="78" spans="2:18" s="798" customFormat="1">
      <c r="B78" s="2485"/>
      <c r="C78" s="2485"/>
      <c r="D78" s="2485"/>
      <c r="E78" s="2485"/>
      <c r="F78" s="2485"/>
      <c r="G78" s="2486"/>
      <c r="H78" s="2485"/>
      <c r="I78" s="2486"/>
      <c r="J78" s="2485"/>
      <c r="K78" s="2485"/>
      <c r="L78" s="2486"/>
      <c r="M78" s="2485"/>
      <c r="N78" s="2485"/>
      <c r="O78" s="2486"/>
      <c r="P78" s="2485"/>
      <c r="Q78" s="2485"/>
      <c r="R78" s="2487"/>
    </row>
    <row r="79" spans="2:18" s="798" customFormat="1">
      <c r="B79" s="2485"/>
      <c r="C79" s="2485"/>
      <c r="D79" s="2485"/>
      <c r="E79" s="2485"/>
      <c r="F79" s="2485"/>
      <c r="G79" s="2486"/>
      <c r="H79" s="2485"/>
      <c r="I79" s="2486"/>
      <c r="J79" s="2485"/>
      <c r="K79" s="2485"/>
      <c r="L79" s="2486"/>
      <c r="M79" s="2485"/>
      <c r="N79" s="2485"/>
      <c r="O79" s="2486"/>
      <c r="P79" s="2485"/>
      <c r="Q79" s="2485"/>
      <c r="R79" s="2487"/>
    </row>
    <row r="80" spans="2:18" s="798" customFormat="1">
      <c r="B80" s="2485"/>
      <c r="C80" s="2485"/>
      <c r="D80" s="2485"/>
      <c r="E80" s="2485"/>
      <c r="F80" s="2485"/>
      <c r="G80" s="2486"/>
      <c r="H80" s="2485"/>
      <c r="I80" s="2486"/>
      <c r="J80" s="2485"/>
      <c r="K80" s="2485"/>
      <c r="L80" s="2486"/>
      <c r="M80" s="2485"/>
      <c r="N80" s="2485"/>
      <c r="O80" s="2486"/>
      <c r="P80" s="2485"/>
      <c r="Q80" s="2485"/>
      <c r="R80" s="2487"/>
    </row>
    <row r="81" spans="2:18" s="798" customFormat="1">
      <c r="B81" s="2485"/>
      <c r="C81" s="2485"/>
      <c r="D81" s="2485"/>
      <c r="E81" s="2485"/>
      <c r="F81" s="2485"/>
      <c r="G81" s="2486"/>
      <c r="H81" s="2485"/>
      <c r="I81" s="2486"/>
      <c r="J81" s="2485"/>
      <c r="K81" s="2485"/>
      <c r="L81" s="2486"/>
      <c r="M81" s="2485"/>
      <c r="N81" s="2485"/>
      <c r="O81" s="2486"/>
      <c r="P81" s="2485"/>
      <c r="Q81" s="2485"/>
      <c r="R81" s="2487"/>
    </row>
    <row r="82" spans="2:18" s="798" customFormat="1">
      <c r="B82" s="2485"/>
      <c r="C82" s="2485"/>
      <c r="D82" s="2485"/>
      <c r="E82" s="2485"/>
      <c r="F82" s="2485"/>
      <c r="G82" s="2486"/>
      <c r="H82" s="2485"/>
      <c r="I82" s="2486"/>
      <c r="J82" s="2485"/>
      <c r="K82" s="2485"/>
      <c r="L82" s="2486"/>
      <c r="M82" s="2485"/>
      <c r="N82" s="2485"/>
      <c r="O82" s="2486"/>
      <c r="P82" s="2485"/>
      <c r="Q82" s="2485"/>
      <c r="R82" s="2487"/>
    </row>
    <row r="83" spans="2:18" s="798" customFormat="1">
      <c r="B83" s="2485"/>
      <c r="C83" s="2485"/>
      <c r="D83" s="2485"/>
      <c r="E83" s="2485"/>
      <c r="F83" s="2485"/>
      <c r="G83" s="2486"/>
      <c r="H83" s="2485"/>
      <c r="I83" s="2486"/>
      <c r="J83" s="2485"/>
      <c r="K83" s="2485"/>
      <c r="L83" s="2486"/>
      <c r="M83" s="2485"/>
      <c r="N83" s="2485"/>
      <c r="O83" s="2486"/>
      <c r="P83" s="2485"/>
      <c r="Q83" s="2485"/>
      <c r="R83" s="2487"/>
    </row>
    <row r="84" spans="2:18" s="798" customFormat="1">
      <c r="B84" s="2485"/>
      <c r="C84" s="2485"/>
      <c r="D84" s="2485"/>
      <c r="E84" s="2485"/>
      <c r="F84" s="2485"/>
      <c r="G84" s="2486"/>
      <c r="H84" s="2485"/>
      <c r="I84" s="2486"/>
      <c r="J84" s="2485"/>
      <c r="K84" s="2485"/>
      <c r="L84" s="2486"/>
      <c r="M84" s="2485"/>
      <c r="N84" s="2485"/>
      <c r="O84" s="2486"/>
      <c r="P84" s="2485"/>
      <c r="Q84" s="2485"/>
      <c r="R84" s="2487"/>
    </row>
    <row r="85" spans="2:18" s="798" customFormat="1">
      <c r="B85" s="2485"/>
      <c r="C85" s="2485"/>
      <c r="D85" s="2485"/>
      <c r="E85" s="2485"/>
      <c r="F85" s="2485"/>
      <c r="G85" s="2486"/>
      <c r="H85" s="2485"/>
      <c r="I85" s="2486"/>
      <c r="J85" s="2485"/>
      <c r="K85" s="2485"/>
      <c r="L85" s="2486"/>
      <c r="M85" s="2485"/>
      <c r="N85" s="2485"/>
      <c r="O85" s="2486"/>
      <c r="P85" s="2485"/>
      <c r="Q85" s="2485"/>
      <c r="R85" s="2487"/>
    </row>
    <row r="86" spans="2:18" s="798" customFormat="1">
      <c r="B86" s="2485"/>
      <c r="C86" s="2485"/>
      <c r="D86" s="2485"/>
      <c r="E86" s="2485"/>
      <c r="F86" s="2485"/>
      <c r="G86" s="2486"/>
      <c r="H86" s="2485"/>
      <c r="I86" s="2486"/>
      <c r="J86" s="2485"/>
      <c r="K86" s="2485"/>
      <c r="L86" s="2486"/>
      <c r="M86" s="2485"/>
      <c r="N86" s="2485"/>
      <c r="O86" s="2486"/>
      <c r="P86" s="2485"/>
      <c r="Q86" s="2485"/>
      <c r="R86" s="2487"/>
    </row>
    <row r="87" spans="2:18" s="798" customFormat="1">
      <c r="B87" s="2485"/>
      <c r="C87" s="2485"/>
      <c r="D87" s="2485"/>
      <c r="E87" s="2485"/>
      <c r="F87" s="2485"/>
      <c r="G87" s="2486"/>
      <c r="H87" s="2485"/>
      <c r="I87" s="2486"/>
      <c r="J87" s="2485"/>
      <c r="K87" s="2485"/>
      <c r="L87" s="2486"/>
      <c r="M87" s="2485"/>
      <c r="N87" s="2485"/>
      <c r="O87" s="2486"/>
      <c r="P87" s="2485"/>
      <c r="Q87" s="2485"/>
      <c r="R87" s="2487"/>
    </row>
    <row r="88" spans="2:18" s="798" customFormat="1">
      <c r="B88" s="2485"/>
      <c r="C88" s="2485"/>
      <c r="D88" s="2485"/>
      <c r="E88" s="2485"/>
      <c r="F88" s="2485"/>
      <c r="G88" s="2486"/>
      <c r="H88" s="2485"/>
      <c r="I88" s="2486"/>
      <c r="J88" s="2485"/>
      <c r="K88" s="2485"/>
      <c r="L88" s="2486"/>
      <c r="M88" s="2485"/>
      <c r="N88" s="2485"/>
      <c r="O88" s="2486"/>
      <c r="P88" s="2485"/>
      <c r="Q88" s="2485"/>
      <c r="R88" s="2487"/>
    </row>
    <row r="89" spans="2:18" s="798" customFormat="1">
      <c r="B89" s="2485"/>
      <c r="C89" s="2485"/>
      <c r="D89" s="2485"/>
      <c r="E89" s="2485"/>
      <c r="F89" s="2485"/>
      <c r="G89" s="2486"/>
      <c r="H89" s="2485"/>
      <c r="I89" s="2486"/>
      <c r="J89" s="2485"/>
      <c r="K89" s="2485"/>
      <c r="L89" s="2486"/>
      <c r="M89" s="2485"/>
      <c r="N89" s="2485"/>
      <c r="O89" s="2486"/>
      <c r="P89" s="2485"/>
      <c r="Q89" s="2485"/>
      <c r="R89" s="2487"/>
    </row>
    <row r="90" spans="2:18" s="798" customFormat="1">
      <c r="B90" s="2485"/>
      <c r="C90" s="2485"/>
      <c r="D90" s="2485"/>
      <c r="E90" s="2485"/>
      <c r="F90" s="2485"/>
      <c r="G90" s="2486"/>
      <c r="H90" s="2485"/>
      <c r="I90" s="2486"/>
      <c r="J90" s="2485"/>
      <c r="K90" s="2485"/>
      <c r="L90" s="2486"/>
      <c r="M90" s="2485"/>
      <c r="N90" s="2485"/>
      <c r="O90" s="2486"/>
      <c r="P90" s="2485"/>
      <c r="Q90" s="2485"/>
      <c r="R90" s="2487"/>
    </row>
    <row r="91" spans="2:18" s="798" customFormat="1">
      <c r="B91" s="2485"/>
      <c r="C91" s="2485"/>
      <c r="D91" s="2485"/>
      <c r="E91" s="2485"/>
      <c r="F91" s="2485"/>
      <c r="G91" s="2486"/>
      <c r="H91" s="2485"/>
      <c r="I91" s="2486"/>
      <c r="J91" s="2485"/>
      <c r="K91" s="2485"/>
      <c r="L91" s="2486"/>
      <c r="M91" s="2485"/>
      <c r="N91" s="2485"/>
      <c r="O91" s="2486"/>
      <c r="P91" s="2485"/>
      <c r="Q91" s="2485"/>
      <c r="R91" s="2487"/>
    </row>
    <row r="92" spans="2:18" s="798" customFormat="1">
      <c r="B92" s="2485"/>
      <c r="C92" s="2485"/>
      <c r="D92" s="2485"/>
      <c r="E92" s="2485"/>
      <c r="F92" s="2485"/>
      <c r="G92" s="2486"/>
      <c r="H92" s="2485"/>
      <c r="I92" s="2486"/>
      <c r="J92" s="2485"/>
      <c r="K92" s="2485"/>
      <c r="L92" s="2486"/>
      <c r="M92" s="2485"/>
      <c r="N92" s="2485"/>
      <c r="O92" s="2486"/>
      <c r="P92" s="2485"/>
      <c r="Q92" s="2485"/>
      <c r="R92" s="2487"/>
    </row>
    <row r="93" spans="2:18" s="798" customFormat="1">
      <c r="B93" s="2485"/>
      <c r="C93" s="2485"/>
      <c r="D93" s="2485"/>
      <c r="E93" s="2485"/>
      <c r="F93" s="2485"/>
      <c r="G93" s="2486"/>
      <c r="H93" s="2485"/>
      <c r="I93" s="2486"/>
      <c r="J93" s="2485"/>
      <c r="K93" s="2485"/>
      <c r="L93" s="2486"/>
      <c r="M93" s="2485"/>
      <c r="N93" s="2485"/>
      <c r="O93" s="2486"/>
      <c r="P93" s="2485"/>
      <c r="Q93" s="2485"/>
      <c r="R93" s="2487"/>
    </row>
    <row r="94" spans="2:18" s="798" customFormat="1">
      <c r="B94" s="2485"/>
      <c r="C94" s="2485"/>
      <c r="D94" s="2485"/>
      <c r="E94" s="2485"/>
      <c r="F94" s="2485"/>
      <c r="G94" s="2486"/>
      <c r="H94" s="2485"/>
      <c r="I94" s="2486"/>
      <c r="J94" s="2485"/>
      <c r="K94" s="2485"/>
      <c r="L94" s="2486"/>
      <c r="M94" s="2485"/>
      <c r="N94" s="2485"/>
      <c r="O94" s="2486"/>
      <c r="P94" s="2485"/>
      <c r="Q94" s="2485"/>
      <c r="R94" s="2487"/>
    </row>
    <row r="95" spans="2:18" s="798" customFormat="1">
      <c r="B95" s="2485"/>
      <c r="C95" s="2485"/>
      <c r="D95" s="2485"/>
      <c r="E95" s="2485"/>
      <c r="F95" s="2485"/>
      <c r="G95" s="2486"/>
      <c r="H95" s="2485"/>
      <c r="I95" s="2486"/>
      <c r="J95" s="2485"/>
      <c r="K95" s="2485"/>
      <c r="L95" s="2486"/>
      <c r="M95" s="2485"/>
      <c r="N95" s="2485"/>
      <c r="O95" s="2486"/>
      <c r="P95" s="2485"/>
      <c r="Q95" s="2485"/>
      <c r="R95" s="2487"/>
    </row>
    <row r="96" spans="2:18" s="798" customFormat="1">
      <c r="B96" s="2485"/>
      <c r="C96" s="2485"/>
      <c r="D96" s="2485"/>
      <c r="E96" s="2485"/>
      <c r="F96" s="2485"/>
      <c r="G96" s="2486"/>
      <c r="H96" s="2485"/>
      <c r="I96" s="2486"/>
      <c r="J96" s="2485"/>
      <c r="K96" s="2485"/>
      <c r="L96" s="2486"/>
      <c r="M96" s="2485"/>
      <c r="N96" s="2485"/>
      <c r="O96" s="2486"/>
      <c r="P96" s="2485"/>
      <c r="Q96" s="2485"/>
      <c r="R96" s="2487"/>
    </row>
    <row r="97" spans="2:18" s="798" customFormat="1">
      <c r="B97" s="2485"/>
      <c r="C97" s="2485"/>
      <c r="D97" s="2485"/>
      <c r="E97" s="2485"/>
      <c r="F97" s="2485"/>
      <c r="G97" s="2486"/>
      <c r="H97" s="2485"/>
      <c r="I97" s="2486"/>
      <c r="J97" s="2485"/>
      <c r="K97" s="2485"/>
      <c r="L97" s="2486"/>
      <c r="M97" s="2485"/>
      <c r="N97" s="2485"/>
      <c r="O97" s="2486"/>
      <c r="P97" s="2485"/>
      <c r="Q97" s="2485"/>
      <c r="R97" s="2487"/>
    </row>
    <row r="98" spans="2:18" s="798" customFormat="1">
      <c r="B98" s="2485"/>
      <c r="C98" s="2485"/>
      <c r="D98" s="2485"/>
      <c r="E98" s="2485"/>
      <c r="F98" s="2485"/>
      <c r="G98" s="2486"/>
      <c r="H98" s="2485"/>
      <c r="I98" s="2486"/>
      <c r="J98" s="2485"/>
      <c r="K98" s="2485"/>
      <c r="L98" s="2486"/>
      <c r="M98" s="2485"/>
      <c r="N98" s="2485"/>
      <c r="O98" s="2486"/>
      <c r="P98" s="2485"/>
      <c r="Q98" s="2485"/>
      <c r="R98" s="2487"/>
    </row>
    <row r="99" spans="2:18" s="798" customFormat="1">
      <c r="B99" s="2485"/>
      <c r="C99" s="2485"/>
      <c r="D99" s="2485"/>
      <c r="E99" s="2485"/>
      <c r="F99" s="2485"/>
      <c r="G99" s="2486"/>
      <c r="H99" s="2485"/>
      <c r="I99" s="2486"/>
      <c r="J99" s="2485"/>
      <c r="K99" s="2485"/>
      <c r="L99" s="2486"/>
      <c r="M99" s="2485"/>
      <c r="N99" s="2485"/>
      <c r="O99" s="2486"/>
      <c r="P99" s="2485"/>
      <c r="Q99" s="2485"/>
      <c r="R99" s="2487"/>
    </row>
    <row r="100" spans="2:18" s="798" customFormat="1">
      <c r="B100" s="2485"/>
      <c r="C100" s="2485"/>
      <c r="D100" s="2485"/>
      <c r="E100" s="2485"/>
      <c r="F100" s="2485"/>
      <c r="G100" s="2486"/>
      <c r="H100" s="2485"/>
      <c r="I100" s="2486"/>
      <c r="J100" s="2485"/>
      <c r="K100" s="2485"/>
      <c r="L100" s="2486"/>
      <c r="M100" s="2485"/>
      <c r="N100" s="2485"/>
      <c r="O100" s="2486"/>
      <c r="P100" s="2485"/>
      <c r="Q100" s="2485"/>
      <c r="R100" s="2487"/>
    </row>
    <row r="101" spans="2:18" s="798" customFormat="1">
      <c r="B101" s="2485"/>
      <c r="C101" s="2485"/>
      <c r="D101" s="2485"/>
      <c r="E101" s="2485"/>
      <c r="F101" s="2485"/>
      <c r="G101" s="2486"/>
      <c r="H101" s="2485"/>
      <c r="I101" s="2486"/>
      <c r="J101" s="2485"/>
      <c r="K101" s="2485"/>
      <c r="L101" s="2486"/>
      <c r="M101" s="2485"/>
      <c r="N101" s="2485"/>
      <c r="O101" s="2486"/>
      <c r="P101" s="2485"/>
      <c r="Q101" s="2485"/>
      <c r="R101" s="2487"/>
    </row>
    <row r="102" spans="2:18" s="798" customFormat="1">
      <c r="B102" s="2485"/>
      <c r="C102" s="2485"/>
      <c r="D102" s="2485"/>
      <c r="E102" s="2485"/>
      <c r="F102" s="2485"/>
      <c r="G102" s="2486"/>
      <c r="H102" s="2485"/>
      <c r="I102" s="2486"/>
      <c r="J102" s="2485"/>
      <c r="K102" s="2485"/>
      <c r="L102" s="2486"/>
      <c r="M102" s="2485"/>
      <c r="N102" s="2485"/>
      <c r="O102" s="2486"/>
      <c r="P102" s="2485"/>
      <c r="Q102" s="2485"/>
      <c r="R102" s="2487"/>
    </row>
    <row r="103" spans="2:18" s="798" customFormat="1">
      <c r="B103" s="2485"/>
      <c r="C103" s="2485"/>
      <c r="D103" s="2485"/>
      <c r="E103" s="2485"/>
      <c r="F103" s="2485"/>
      <c r="G103" s="2486"/>
      <c r="H103" s="2485"/>
      <c r="I103" s="2486"/>
      <c r="J103" s="2485"/>
      <c r="K103" s="2485"/>
      <c r="L103" s="2486"/>
      <c r="M103" s="2485"/>
      <c r="N103" s="2485"/>
      <c r="O103" s="2486"/>
      <c r="P103" s="2485"/>
      <c r="Q103" s="2485"/>
      <c r="R103" s="2487"/>
    </row>
    <row r="104" spans="2:18" s="798" customFormat="1">
      <c r="B104" s="2485"/>
      <c r="C104" s="2485"/>
      <c r="D104" s="2485"/>
      <c r="E104" s="2485"/>
      <c r="F104" s="2485"/>
      <c r="G104" s="2486"/>
      <c r="H104" s="2485"/>
      <c r="I104" s="2486"/>
      <c r="J104" s="2485"/>
      <c r="K104" s="2485"/>
      <c r="L104" s="2486"/>
      <c r="M104" s="2485"/>
      <c r="N104" s="2485"/>
      <c r="O104" s="2486"/>
      <c r="P104" s="2485"/>
      <c r="Q104" s="2485"/>
      <c r="R104" s="2487"/>
    </row>
    <row r="105" spans="2:18" s="798" customFormat="1">
      <c r="B105" s="2485"/>
      <c r="C105" s="2485"/>
      <c r="D105" s="2485"/>
      <c r="E105" s="2485"/>
      <c r="F105" s="2485"/>
      <c r="G105" s="2486"/>
      <c r="H105" s="2485"/>
      <c r="I105" s="2486"/>
      <c r="J105" s="2485"/>
      <c r="K105" s="2485"/>
      <c r="L105" s="2486"/>
      <c r="M105" s="2485"/>
      <c r="N105" s="2485"/>
      <c r="O105" s="2486"/>
      <c r="P105" s="2485"/>
      <c r="Q105" s="2485"/>
      <c r="R105" s="2487"/>
    </row>
    <row r="106" spans="2:18" s="798" customFormat="1">
      <c r="B106" s="2485"/>
      <c r="C106" s="2485"/>
      <c r="D106" s="2485"/>
      <c r="E106" s="2485"/>
      <c r="F106" s="2485"/>
      <c r="G106" s="2486"/>
      <c r="H106" s="2485"/>
      <c r="I106" s="2486"/>
      <c r="J106" s="2485"/>
      <c r="K106" s="2485"/>
      <c r="L106" s="2486"/>
      <c r="M106" s="2485"/>
      <c r="N106" s="2485"/>
      <c r="O106" s="2486"/>
      <c r="P106" s="2485"/>
      <c r="Q106" s="2485"/>
      <c r="R106" s="2487"/>
    </row>
    <row r="107" spans="2:18" s="798" customFormat="1">
      <c r="B107" s="2485"/>
      <c r="C107" s="2485"/>
      <c r="D107" s="2485"/>
      <c r="E107" s="2485"/>
      <c r="F107" s="2485"/>
      <c r="G107" s="2486"/>
      <c r="H107" s="2485"/>
      <c r="I107" s="2486"/>
      <c r="J107" s="2485"/>
      <c r="K107" s="2485"/>
      <c r="L107" s="2486"/>
      <c r="M107" s="2485"/>
      <c r="N107" s="2485"/>
      <c r="O107" s="2486"/>
      <c r="P107" s="2485"/>
      <c r="Q107" s="2485"/>
      <c r="R107" s="2487"/>
    </row>
    <row r="108" spans="2:18" s="798" customFormat="1">
      <c r="B108" s="2485"/>
      <c r="C108" s="2485"/>
      <c r="D108" s="2485"/>
      <c r="E108" s="2485"/>
      <c r="F108" s="2485"/>
      <c r="G108" s="2486"/>
      <c r="H108" s="2485"/>
      <c r="I108" s="2486"/>
      <c r="J108" s="2485"/>
      <c r="K108" s="2485"/>
      <c r="L108" s="2486"/>
      <c r="M108" s="2485"/>
      <c r="N108" s="2485"/>
      <c r="O108" s="2486"/>
      <c r="P108" s="2485"/>
      <c r="Q108" s="2485"/>
      <c r="R108" s="2487"/>
    </row>
    <row r="109" spans="2:18" s="798" customFormat="1">
      <c r="B109" s="2485"/>
      <c r="C109" s="2485"/>
      <c r="D109" s="2485"/>
      <c r="E109" s="2485"/>
      <c r="F109" s="2485"/>
      <c r="G109" s="2486"/>
      <c r="H109" s="2485"/>
      <c r="I109" s="2486"/>
      <c r="J109" s="2485"/>
      <c r="K109" s="2485"/>
      <c r="L109" s="2486"/>
      <c r="M109" s="2485"/>
      <c r="N109" s="2485"/>
      <c r="O109" s="2486"/>
      <c r="P109" s="2485"/>
      <c r="Q109" s="2485"/>
      <c r="R109" s="2487"/>
    </row>
    <row r="110" spans="2:18" s="798" customFormat="1">
      <c r="B110" s="2485"/>
      <c r="C110" s="2485"/>
      <c r="D110" s="2485"/>
      <c r="E110" s="2485"/>
      <c r="F110" s="2485"/>
      <c r="G110" s="2486"/>
      <c r="H110" s="2485"/>
      <c r="I110" s="2486"/>
      <c r="J110" s="2485"/>
      <c r="K110" s="2485"/>
      <c r="L110" s="2486"/>
      <c r="M110" s="2485"/>
      <c r="N110" s="2485"/>
      <c r="O110" s="2486"/>
      <c r="P110" s="2485"/>
      <c r="Q110" s="2485"/>
      <c r="R110" s="2487"/>
    </row>
    <row r="111" spans="2:18" s="798" customFormat="1">
      <c r="B111" s="2485"/>
      <c r="C111" s="2485"/>
      <c r="D111" s="2485"/>
      <c r="E111" s="2485"/>
      <c r="F111" s="2485"/>
      <c r="G111" s="2486"/>
      <c r="H111" s="2485"/>
      <c r="I111" s="2486"/>
      <c r="J111" s="2485"/>
      <c r="K111" s="2485"/>
      <c r="L111" s="2486"/>
      <c r="M111" s="2485"/>
      <c r="N111" s="2485"/>
      <c r="O111" s="2486"/>
      <c r="P111" s="2485"/>
      <c r="Q111" s="2485"/>
      <c r="R111" s="2487"/>
    </row>
    <row r="112" spans="2:18" s="798" customFormat="1">
      <c r="B112" s="2485"/>
      <c r="C112" s="2485"/>
      <c r="D112" s="2485"/>
      <c r="E112" s="2485"/>
      <c r="F112" s="2485"/>
      <c r="G112" s="2486"/>
      <c r="H112" s="2485"/>
      <c r="I112" s="2486"/>
      <c r="J112" s="2485"/>
      <c r="K112" s="2485"/>
      <c r="L112" s="2486"/>
      <c r="M112" s="2485"/>
      <c r="N112" s="2485"/>
      <c r="O112" s="2486"/>
      <c r="P112" s="2485"/>
      <c r="Q112" s="2485"/>
      <c r="R112" s="2487"/>
    </row>
    <row r="113" spans="2:18" s="798" customFormat="1">
      <c r="B113" s="2485"/>
      <c r="C113" s="2485"/>
      <c r="D113" s="2485"/>
      <c r="E113" s="2485"/>
      <c r="F113" s="2485"/>
      <c r="G113" s="2486"/>
      <c r="H113" s="2485"/>
      <c r="I113" s="2486"/>
      <c r="J113" s="2485"/>
      <c r="K113" s="2485"/>
      <c r="L113" s="2486"/>
      <c r="M113" s="2485"/>
      <c r="N113" s="2485"/>
      <c r="O113" s="2486"/>
      <c r="P113" s="2485"/>
      <c r="Q113" s="2485"/>
      <c r="R113" s="2487"/>
    </row>
    <row r="114" spans="2:18" s="798" customFormat="1">
      <c r="B114" s="2485"/>
      <c r="C114" s="2485"/>
      <c r="D114" s="2485"/>
      <c r="E114" s="2485"/>
      <c r="F114" s="2485"/>
      <c r="G114" s="2486"/>
      <c r="H114" s="2485"/>
      <c r="I114" s="2486"/>
      <c r="J114" s="2485"/>
      <c r="K114" s="2485"/>
      <c r="L114" s="2486"/>
      <c r="M114" s="2485"/>
      <c r="N114" s="2485"/>
      <c r="O114" s="2486"/>
      <c r="P114" s="2485"/>
      <c r="Q114" s="2485"/>
      <c r="R114" s="2487"/>
    </row>
    <row r="115" spans="2:18" s="798" customFormat="1">
      <c r="B115" s="2485"/>
      <c r="C115" s="2485"/>
      <c r="D115" s="2485"/>
      <c r="E115" s="2485"/>
      <c r="F115" s="2485"/>
      <c r="G115" s="2486"/>
      <c r="H115" s="2485"/>
      <c r="I115" s="2486"/>
      <c r="J115" s="2485"/>
      <c r="K115" s="2485"/>
      <c r="L115" s="2486"/>
      <c r="M115" s="2485"/>
      <c r="N115" s="2485"/>
      <c r="O115" s="2486"/>
      <c r="P115" s="2485"/>
      <c r="Q115" s="2485"/>
      <c r="R115" s="2487"/>
    </row>
    <row r="116" spans="2:18" s="798" customFormat="1">
      <c r="B116" s="2485"/>
      <c r="C116" s="2485"/>
      <c r="D116" s="2485"/>
      <c r="E116" s="2485"/>
      <c r="F116" s="2485"/>
      <c r="G116" s="2486"/>
      <c r="H116" s="2485"/>
      <c r="I116" s="2486"/>
      <c r="J116" s="2485"/>
      <c r="K116" s="2485"/>
      <c r="L116" s="2486"/>
      <c r="M116" s="2485"/>
      <c r="N116" s="2485"/>
      <c r="O116" s="2486"/>
      <c r="P116" s="2485"/>
      <c r="Q116" s="2485"/>
      <c r="R116" s="2487"/>
    </row>
    <row r="117" spans="2:18" s="798" customFormat="1">
      <c r="B117" s="2485"/>
      <c r="C117" s="2485"/>
      <c r="D117" s="2485"/>
      <c r="E117" s="2485"/>
      <c r="F117" s="2485"/>
      <c r="G117" s="2486"/>
      <c r="H117" s="2485"/>
      <c r="I117" s="2486"/>
      <c r="J117" s="2485"/>
      <c r="K117" s="2485"/>
      <c r="L117" s="2486"/>
      <c r="M117" s="2485"/>
      <c r="N117" s="2485"/>
      <c r="O117" s="2486"/>
      <c r="P117" s="2485"/>
      <c r="Q117" s="2485"/>
      <c r="R117" s="2487"/>
    </row>
    <row r="118" spans="2:18" s="798" customFormat="1">
      <c r="B118" s="2485"/>
      <c r="C118" s="2485"/>
      <c r="D118" s="2485"/>
      <c r="E118" s="2485"/>
      <c r="F118" s="2485"/>
      <c r="G118" s="2486"/>
      <c r="H118" s="2485"/>
      <c r="I118" s="2486"/>
      <c r="J118" s="2485"/>
      <c r="K118" s="2485"/>
      <c r="L118" s="2486"/>
      <c r="M118" s="2485"/>
      <c r="N118" s="2485"/>
      <c r="O118" s="2486"/>
      <c r="P118" s="2485"/>
      <c r="Q118" s="2485"/>
      <c r="R118" s="2487"/>
    </row>
    <row r="119" spans="2:18" s="798" customFormat="1">
      <c r="B119" s="2485"/>
      <c r="C119" s="2485"/>
      <c r="D119" s="2485"/>
      <c r="E119" s="2485"/>
      <c r="F119" s="2485"/>
      <c r="G119" s="2486"/>
      <c r="H119" s="2485"/>
      <c r="I119" s="2486"/>
      <c r="J119" s="2485"/>
      <c r="K119" s="2485"/>
      <c r="L119" s="2486"/>
      <c r="M119" s="2485"/>
      <c r="N119" s="2485"/>
      <c r="O119" s="2486"/>
      <c r="P119" s="2485"/>
      <c r="Q119" s="2485"/>
      <c r="R119" s="2487"/>
    </row>
    <row r="120" spans="2:18" s="798" customFormat="1">
      <c r="B120" s="2485"/>
      <c r="C120" s="2485"/>
      <c r="D120" s="2485"/>
      <c r="E120" s="2485"/>
      <c r="F120" s="2485"/>
      <c r="G120" s="2486"/>
      <c r="H120" s="2485"/>
      <c r="I120" s="2486"/>
      <c r="J120" s="2485"/>
      <c r="K120" s="2485"/>
      <c r="L120" s="2486"/>
      <c r="M120" s="2485"/>
      <c r="N120" s="2485"/>
      <c r="O120" s="2486"/>
      <c r="P120" s="2485"/>
      <c r="Q120" s="2485"/>
      <c r="R120" s="2487"/>
    </row>
    <row r="121" spans="2:18" s="798" customFormat="1">
      <c r="B121" s="2485"/>
      <c r="C121" s="2485"/>
      <c r="D121" s="2485"/>
      <c r="E121" s="2485"/>
      <c r="F121" s="2485"/>
      <c r="G121" s="2486"/>
      <c r="H121" s="2485"/>
      <c r="I121" s="2486"/>
      <c r="J121" s="2485"/>
      <c r="K121" s="2485"/>
      <c r="L121" s="2486"/>
      <c r="M121" s="2485"/>
      <c r="N121" s="2485"/>
      <c r="O121" s="2486"/>
      <c r="P121" s="2485"/>
      <c r="Q121" s="2485"/>
      <c r="R121" s="2487"/>
    </row>
    <row r="122" spans="2:18" s="798" customFormat="1">
      <c r="B122" s="2485"/>
      <c r="C122" s="2485"/>
      <c r="D122" s="2485"/>
      <c r="E122" s="2485"/>
      <c r="F122" s="2485"/>
      <c r="G122" s="2486"/>
      <c r="H122" s="2485"/>
      <c r="I122" s="2486"/>
      <c r="J122" s="2485"/>
      <c r="K122" s="2485"/>
      <c r="L122" s="2486"/>
      <c r="M122" s="2485"/>
      <c r="N122" s="2485"/>
      <c r="O122" s="2486"/>
      <c r="P122" s="2485"/>
      <c r="Q122" s="2485"/>
      <c r="R122" s="2487"/>
    </row>
    <row r="123" spans="2:18" s="798" customFormat="1">
      <c r="B123" s="2485"/>
      <c r="C123" s="2485"/>
      <c r="D123" s="2485"/>
      <c r="E123" s="2485"/>
      <c r="F123" s="2485"/>
      <c r="G123" s="2486"/>
      <c r="H123" s="2485"/>
      <c r="I123" s="2486"/>
      <c r="J123" s="2485"/>
      <c r="K123" s="2485"/>
      <c r="L123" s="2486"/>
      <c r="M123" s="2485"/>
      <c r="N123" s="2485"/>
      <c r="O123" s="2486"/>
      <c r="P123" s="2485"/>
      <c r="Q123" s="2485"/>
      <c r="R123" s="2487"/>
    </row>
    <row r="124" spans="2:18" s="798" customFormat="1">
      <c r="B124" s="2485"/>
      <c r="C124" s="2485"/>
      <c r="D124" s="2485"/>
      <c r="E124" s="2485"/>
      <c r="F124" s="2485"/>
      <c r="G124" s="2486"/>
      <c r="H124" s="2485"/>
      <c r="I124" s="2486"/>
      <c r="J124" s="2485"/>
      <c r="K124" s="2485"/>
      <c r="L124" s="2486"/>
      <c r="M124" s="2485"/>
      <c r="N124" s="2485"/>
      <c r="O124" s="2486"/>
      <c r="P124" s="2485"/>
      <c r="Q124" s="2485"/>
      <c r="R124" s="2487"/>
    </row>
    <row r="125" spans="2:18" s="798" customFormat="1">
      <c r="B125" s="2485"/>
      <c r="C125" s="2485"/>
      <c r="D125" s="2485"/>
      <c r="E125" s="2485"/>
      <c r="F125" s="2485"/>
      <c r="G125" s="2486"/>
      <c r="H125" s="2485"/>
      <c r="I125" s="2486"/>
      <c r="J125" s="2485"/>
      <c r="K125" s="2485"/>
      <c r="L125" s="2486"/>
      <c r="M125" s="2485"/>
      <c r="N125" s="2485"/>
      <c r="O125" s="2486"/>
      <c r="P125" s="2485"/>
      <c r="Q125" s="2485"/>
      <c r="R125" s="2487"/>
    </row>
    <row r="126" spans="2:18" s="798" customFormat="1">
      <c r="B126" s="2485"/>
      <c r="C126" s="2485"/>
      <c r="D126" s="2485"/>
      <c r="E126" s="2485"/>
      <c r="F126" s="2485"/>
      <c r="G126" s="2486"/>
      <c r="H126" s="2485"/>
      <c r="I126" s="2486"/>
      <c r="J126" s="2485"/>
      <c r="K126" s="2485"/>
      <c r="L126" s="2486"/>
      <c r="M126" s="2485"/>
      <c r="N126" s="2485"/>
      <c r="O126" s="2486"/>
      <c r="P126" s="2485"/>
      <c r="Q126" s="2485"/>
      <c r="R126" s="2487"/>
    </row>
    <row r="127" spans="2:18" s="798" customFormat="1">
      <c r="B127" s="2485"/>
      <c r="C127" s="2485"/>
      <c r="D127" s="2485"/>
      <c r="E127" s="2485"/>
      <c r="F127" s="2485"/>
      <c r="G127" s="2486"/>
      <c r="H127" s="2485"/>
      <c r="I127" s="2486"/>
      <c r="J127" s="2485"/>
      <c r="K127" s="2485"/>
      <c r="L127" s="2486"/>
      <c r="M127" s="2485"/>
      <c r="N127" s="2485"/>
      <c r="O127" s="2486"/>
      <c r="P127" s="2485"/>
      <c r="Q127" s="2485"/>
      <c r="R127" s="2487"/>
    </row>
    <row r="128" spans="2:18" s="798" customFormat="1">
      <c r="B128" s="2485"/>
      <c r="C128" s="2485"/>
      <c r="D128" s="2485"/>
      <c r="E128" s="2485"/>
      <c r="F128" s="2485"/>
      <c r="G128" s="2486"/>
      <c r="H128" s="2485"/>
      <c r="I128" s="2486"/>
      <c r="J128" s="2485"/>
      <c r="K128" s="2485"/>
      <c r="L128" s="2486"/>
      <c r="M128" s="2485"/>
      <c r="N128" s="2485"/>
      <c r="O128" s="2486"/>
      <c r="P128" s="2485"/>
      <c r="Q128" s="2485"/>
      <c r="R128" s="2487"/>
    </row>
    <row r="129" spans="2:18" s="798" customFormat="1">
      <c r="B129" s="2485"/>
      <c r="C129" s="2485"/>
      <c r="D129" s="2485"/>
      <c r="E129" s="2485"/>
      <c r="F129" s="2485"/>
      <c r="G129" s="2486"/>
      <c r="H129" s="2485"/>
      <c r="I129" s="2486"/>
      <c r="J129" s="2485"/>
      <c r="K129" s="2485"/>
      <c r="L129" s="2486"/>
      <c r="M129" s="2485"/>
      <c r="N129" s="2485"/>
      <c r="O129" s="2486"/>
      <c r="P129" s="2485"/>
      <c r="Q129" s="2485"/>
      <c r="R129" s="2487"/>
    </row>
    <row r="130" spans="2:18" s="798" customFormat="1">
      <c r="B130" s="2485"/>
      <c r="C130" s="2485"/>
      <c r="D130" s="2485"/>
      <c r="E130" s="2485"/>
      <c r="F130" s="2485"/>
      <c r="G130" s="2486"/>
      <c r="H130" s="2485"/>
      <c r="I130" s="2486"/>
      <c r="J130" s="2485"/>
      <c r="K130" s="2485"/>
      <c r="L130" s="2486"/>
      <c r="M130" s="2485"/>
      <c r="N130" s="2485"/>
      <c r="O130" s="2486"/>
      <c r="P130" s="2485"/>
      <c r="Q130" s="2485"/>
      <c r="R130" s="2487"/>
    </row>
    <row r="131" spans="2:18" s="798" customFormat="1">
      <c r="B131" s="2485"/>
      <c r="C131" s="2485"/>
      <c r="D131" s="2485"/>
      <c r="E131" s="2485"/>
      <c r="F131" s="2485"/>
      <c r="G131" s="2486"/>
      <c r="H131" s="2485"/>
      <c r="I131" s="2486"/>
      <c r="J131" s="2485"/>
      <c r="K131" s="2485"/>
      <c r="L131" s="2486"/>
      <c r="M131" s="2485"/>
      <c r="N131" s="2485"/>
      <c r="O131" s="2486"/>
      <c r="P131" s="2485"/>
      <c r="Q131" s="2485"/>
      <c r="R131" s="2487"/>
    </row>
    <row r="132" spans="2:18" s="798" customFormat="1">
      <c r="B132" s="2485"/>
      <c r="C132" s="2485"/>
      <c r="D132" s="2485"/>
      <c r="E132" s="2485"/>
      <c r="F132" s="2485"/>
      <c r="G132" s="2486"/>
      <c r="H132" s="2485"/>
      <c r="I132" s="2486"/>
      <c r="J132" s="2485"/>
      <c r="K132" s="2485"/>
      <c r="L132" s="2486"/>
      <c r="M132" s="2485"/>
      <c r="N132" s="2485"/>
      <c r="O132" s="2486"/>
      <c r="P132" s="2485"/>
      <c r="Q132" s="2485"/>
      <c r="R132" s="2487"/>
    </row>
    <row r="133" spans="2:18" s="798" customFormat="1">
      <c r="B133" s="2485"/>
      <c r="C133" s="2485"/>
      <c r="D133" s="2485"/>
      <c r="E133" s="2485"/>
      <c r="F133" s="2485"/>
      <c r="G133" s="2486"/>
      <c r="H133" s="2485"/>
      <c r="I133" s="2486"/>
      <c r="J133" s="2485"/>
      <c r="K133" s="2485"/>
      <c r="L133" s="2486"/>
      <c r="M133" s="2485"/>
      <c r="N133" s="2485"/>
      <c r="O133" s="2486"/>
      <c r="P133" s="2485"/>
      <c r="Q133" s="2485"/>
      <c r="R133" s="2487"/>
    </row>
    <row r="134" spans="2:18" s="798" customFormat="1">
      <c r="B134" s="2485"/>
      <c r="C134" s="2485"/>
      <c r="D134" s="2485"/>
      <c r="E134" s="2485"/>
      <c r="F134" s="2485"/>
      <c r="G134" s="2486"/>
      <c r="H134" s="2485"/>
      <c r="I134" s="2486"/>
      <c r="J134" s="2485"/>
      <c r="K134" s="2485"/>
      <c r="L134" s="2486"/>
      <c r="M134" s="2485"/>
      <c r="N134" s="2485"/>
      <c r="O134" s="2486"/>
      <c r="P134" s="2485"/>
      <c r="Q134" s="2485"/>
      <c r="R134" s="2487"/>
    </row>
    <row r="135" spans="2:18" s="798" customFormat="1">
      <c r="B135" s="2485"/>
      <c r="C135" s="2485"/>
      <c r="D135" s="2485"/>
      <c r="E135" s="2485"/>
      <c r="F135" s="2485"/>
      <c r="G135" s="2486"/>
      <c r="H135" s="2485"/>
      <c r="I135" s="2486"/>
      <c r="J135" s="2485"/>
      <c r="K135" s="2485"/>
      <c r="L135" s="2486"/>
      <c r="M135" s="2485"/>
      <c r="N135" s="2485"/>
      <c r="O135" s="2486"/>
      <c r="P135" s="2485"/>
      <c r="Q135" s="2485"/>
      <c r="R135" s="2487"/>
    </row>
    <row r="136" spans="2:18" s="798" customFormat="1">
      <c r="B136" s="2485"/>
      <c r="C136" s="2485"/>
      <c r="D136" s="2485"/>
      <c r="E136" s="2485"/>
      <c r="F136" s="2485"/>
      <c r="G136" s="2486"/>
      <c r="H136" s="2485"/>
      <c r="I136" s="2486"/>
      <c r="J136" s="2485"/>
      <c r="K136" s="2485"/>
      <c r="L136" s="2486"/>
      <c r="M136" s="2485"/>
      <c r="N136" s="2485"/>
      <c r="O136" s="2486"/>
      <c r="P136" s="2485"/>
      <c r="Q136" s="2485"/>
      <c r="R136" s="2487"/>
    </row>
    <row r="137" spans="2:18" s="798" customFormat="1">
      <c r="B137" s="2485"/>
      <c r="C137" s="2485"/>
      <c r="D137" s="2485"/>
      <c r="E137" s="2485"/>
      <c r="F137" s="2485"/>
      <c r="G137" s="2486"/>
      <c r="H137" s="2485"/>
      <c r="I137" s="2486"/>
      <c r="J137" s="2485"/>
      <c r="K137" s="2485"/>
      <c r="L137" s="2486"/>
      <c r="M137" s="2485"/>
      <c r="N137" s="2485"/>
      <c r="O137" s="2486"/>
      <c r="P137" s="2485"/>
      <c r="Q137" s="2485"/>
      <c r="R137" s="2487"/>
    </row>
    <row r="138" spans="2:18" s="798" customFormat="1">
      <c r="B138" s="2485"/>
      <c r="C138" s="2485"/>
      <c r="D138" s="2485"/>
      <c r="E138" s="2485"/>
      <c r="F138" s="2485"/>
      <c r="G138" s="2486"/>
      <c r="H138" s="2485"/>
      <c r="I138" s="2486"/>
      <c r="J138" s="2485"/>
      <c r="K138" s="2485"/>
      <c r="L138" s="2486"/>
      <c r="M138" s="2485"/>
      <c r="N138" s="2485"/>
      <c r="O138" s="2486"/>
      <c r="P138" s="2485"/>
      <c r="Q138" s="2485"/>
      <c r="R138" s="2487"/>
    </row>
    <row r="139" spans="2:18" s="798" customFormat="1">
      <c r="B139" s="2485"/>
      <c r="C139" s="2485"/>
      <c r="D139" s="2485"/>
      <c r="E139" s="2485"/>
      <c r="F139" s="2485"/>
      <c r="G139" s="2486"/>
      <c r="H139" s="2485"/>
      <c r="I139" s="2486"/>
      <c r="J139" s="2485"/>
      <c r="K139" s="2485"/>
      <c r="L139" s="2486"/>
      <c r="M139" s="2485"/>
      <c r="N139" s="2485"/>
      <c r="O139" s="2486"/>
      <c r="P139" s="2485"/>
      <c r="Q139" s="2485"/>
      <c r="R139" s="2487"/>
    </row>
    <row r="140" spans="2:18" s="798" customFormat="1">
      <c r="B140" s="2485"/>
      <c r="C140" s="2485"/>
      <c r="D140" s="2485"/>
      <c r="E140" s="2485"/>
      <c r="F140" s="2485"/>
      <c r="G140" s="2486"/>
      <c r="H140" s="2485"/>
      <c r="I140" s="2486"/>
      <c r="J140" s="2485"/>
      <c r="K140" s="2485"/>
      <c r="L140" s="2486"/>
      <c r="M140" s="2485"/>
      <c r="N140" s="2485"/>
      <c r="O140" s="2486"/>
      <c r="P140" s="2485"/>
      <c r="Q140" s="2485"/>
      <c r="R140" s="2487"/>
    </row>
    <row r="141" spans="2:18" s="798" customFormat="1">
      <c r="B141" s="2485"/>
      <c r="C141" s="2485"/>
      <c r="D141" s="2485"/>
      <c r="E141" s="2485"/>
      <c r="F141" s="2485"/>
      <c r="G141" s="2486"/>
      <c r="H141" s="2485"/>
      <c r="I141" s="2486"/>
      <c r="J141" s="2485"/>
      <c r="K141" s="2485"/>
      <c r="L141" s="2486"/>
      <c r="M141" s="2485"/>
      <c r="N141" s="2485"/>
      <c r="O141" s="2486"/>
      <c r="P141" s="2485"/>
      <c r="Q141" s="2485"/>
      <c r="R141" s="2487"/>
    </row>
    <row r="142" spans="2:18" s="798" customFormat="1">
      <c r="B142" s="2485"/>
      <c r="C142" s="2485"/>
      <c r="D142" s="2485"/>
      <c r="E142" s="2485"/>
      <c r="F142" s="2485"/>
      <c r="G142" s="2486"/>
      <c r="H142" s="2485"/>
      <c r="I142" s="2486"/>
      <c r="J142" s="2485"/>
      <c r="K142" s="2485"/>
      <c r="L142" s="2486"/>
      <c r="M142" s="2485"/>
      <c r="N142" s="2485"/>
      <c r="O142" s="2486"/>
      <c r="P142" s="2485"/>
      <c r="Q142" s="2485"/>
      <c r="R142" s="2487"/>
    </row>
    <row r="143" spans="2:18" s="798" customFormat="1">
      <c r="B143" s="2485"/>
      <c r="C143" s="2485"/>
      <c r="D143" s="2485"/>
      <c r="E143" s="2485"/>
      <c r="F143" s="2485"/>
      <c r="G143" s="2486"/>
      <c r="H143" s="2485"/>
      <c r="I143" s="2486"/>
      <c r="J143" s="2485"/>
      <c r="K143" s="2485"/>
      <c r="L143" s="2486"/>
      <c r="M143" s="2485"/>
      <c r="N143" s="2485"/>
      <c r="O143" s="2486"/>
      <c r="P143" s="2485"/>
      <c r="Q143" s="2485"/>
      <c r="R143" s="2487"/>
    </row>
    <row r="144" spans="2:18" s="798" customFormat="1">
      <c r="B144" s="2485"/>
      <c r="C144" s="2485"/>
      <c r="D144" s="2485"/>
      <c r="E144" s="2485"/>
      <c r="F144" s="2485"/>
      <c r="G144" s="2486"/>
      <c r="H144" s="2485"/>
      <c r="I144" s="2486"/>
      <c r="J144" s="2485"/>
      <c r="K144" s="2485"/>
      <c r="L144" s="2486"/>
      <c r="M144" s="2485"/>
      <c r="N144" s="2485"/>
      <c r="O144" s="2486"/>
      <c r="P144" s="2485"/>
      <c r="Q144" s="2485"/>
      <c r="R144" s="2487"/>
    </row>
    <row r="145" spans="2:18" s="798" customFormat="1">
      <c r="B145" s="2485"/>
      <c r="C145" s="2485"/>
      <c r="D145" s="2485"/>
      <c r="E145" s="2485"/>
      <c r="F145" s="2485"/>
      <c r="G145" s="2486"/>
      <c r="H145" s="2485"/>
      <c r="I145" s="2486"/>
      <c r="J145" s="2485"/>
      <c r="K145" s="2485"/>
      <c r="L145" s="2486"/>
      <c r="M145" s="2485"/>
      <c r="N145" s="2485"/>
      <c r="O145" s="2486"/>
      <c r="P145" s="2485"/>
      <c r="Q145" s="2485"/>
      <c r="R145" s="2487"/>
    </row>
    <row r="146" spans="2:18" s="798" customFormat="1">
      <c r="B146" s="2485"/>
      <c r="C146" s="2485"/>
      <c r="D146" s="2485"/>
      <c r="E146" s="2485"/>
      <c r="F146" s="2485"/>
      <c r="G146" s="2486"/>
      <c r="H146" s="2485"/>
      <c r="I146" s="2486"/>
      <c r="J146" s="2485"/>
      <c r="K146" s="2485"/>
      <c r="L146" s="2486"/>
      <c r="M146" s="2485"/>
      <c r="N146" s="2485"/>
      <c r="O146" s="2486"/>
      <c r="P146" s="2485"/>
      <c r="Q146" s="2485"/>
      <c r="R146" s="2487"/>
    </row>
    <row r="147" spans="2:18" s="798" customFormat="1">
      <c r="B147" s="2485"/>
      <c r="C147" s="2485"/>
      <c r="D147" s="2485"/>
      <c r="E147" s="2485"/>
      <c r="F147" s="2485"/>
      <c r="G147" s="2486"/>
      <c r="H147" s="2485"/>
      <c r="I147" s="2486"/>
      <c r="J147" s="2485"/>
      <c r="K147" s="2485"/>
      <c r="L147" s="2486"/>
      <c r="M147" s="2485"/>
      <c r="N147" s="2485"/>
      <c r="O147" s="2486"/>
      <c r="P147" s="2485"/>
      <c r="Q147" s="2485"/>
      <c r="R147" s="2487"/>
    </row>
    <row r="148" spans="2:18" s="798" customFormat="1">
      <c r="B148" s="2485"/>
      <c r="C148" s="2485"/>
      <c r="D148" s="2485"/>
      <c r="E148" s="2485"/>
      <c r="F148" s="2485"/>
      <c r="G148" s="2486"/>
      <c r="H148" s="2485"/>
      <c r="I148" s="2486"/>
      <c r="J148" s="2485"/>
      <c r="K148" s="2485"/>
      <c r="L148" s="2486"/>
      <c r="M148" s="2485"/>
      <c r="N148" s="2485"/>
      <c r="O148" s="2486"/>
      <c r="P148" s="2485"/>
      <c r="Q148" s="2485"/>
      <c r="R148" s="2487"/>
    </row>
    <row r="149" spans="2:18" s="798" customFormat="1">
      <c r="B149" s="2485"/>
      <c r="C149" s="2485"/>
      <c r="D149" s="2485"/>
      <c r="E149" s="2485"/>
      <c r="F149" s="2485"/>
      <c r="G149" s="2486"/>
      <c r="H149" s="2485"/>
      <c r="I149" s="2486"/>
      <c r="J149" s="2485"/>
      <c r="K149" s="2485"/>
      <c r="L149" s="2486"/>
      <c r="M149" s="2485"/>
      <c r="N149" s="2485"/>
      <c r="O149" s="2486"/>
      <c r="P149" s="2485"/>
      <c r="Q149" s="2485"/>
      <c r="R149" s="2487"/>
    </row>
    <row r="150" spans="2:18" s="798" customFormat="1">
      <c r="B150" s="2485"/>
      <c r="C150" s="2485"/>
      <c r="D150" s="2485"/>
      <c r="E150" s="2485"/>
      <c r="F150" s="2485"/>
      <c r="G150" s="2486"/>
      <c r="H150" s="2485"/>
      <c r="I150" s="2486"/>
      <c r="J150" s="2485"/>
      <c r="K150" s="2485"/>
      <c r="L150" s="2486"/>
      <c r="M150" s="2485"/>
      <c r="N150" s="2485"/>
      <c r="O150" s="2486"/>
      <c r="P150" s="2485"/>
      <c r="Q150" s="2485"/>
      <c r="R150" s="2487"/>
    </row>
    <row r="151" spans="2:18" s="798" customFormat="1">
      <c r="B151" s="2485"/>
      <c r="C151" s="2485"/>
      <c r="D151" s="2485"/>
      <c r="E151" s="2485"/>
      <c r="F151" s="2485"/>
      <c r="G151" s="2486"/>
      <c r="H151" s="2485"/>
      <c r="I151" s="2486"/>
      <c r="J151" s="2485"/>
      <c r="K151" s="2485"/>
      <c r="L151" s="2486"/>
      <c r="M151" s="2485"/>
      <c r="N151" s="2485"/>
      <c r="O151" s="2486"/>
      <c r="P151" s="2485"/>
      <c r="Q151" s="2485"/>
      <c r="R151" s="2487"/>
    </row>
    <row r="152" spans="2:18" s="798" customFormat="1">
      <c r="B152" s="2485"/>
      <c r="C152" s="2485"/>
      <c r="D152" s="2485"/>
      <c r="E152" s="2485"/>
      <c r="F152" s="2485"/>
      <c r="G152" s="2486"/>
      <c r="H152" s="2485"/>
      <c r="I152" s="2486"/>
      <c r="J152" s="2485"/>
      <c r="K152" s="2485"/>
      <c r="L152" s="2486"/>
      <c r="M152" s="2485"/>
      <c r="N152" s="2485"/>
      <c r="O152" s="2486"/>
      <c r="P152" s="2485"/>
      <c r="Q152" s="2485"/>
      <c r="R152" s="2487"/>
    </row>
    <row r="153" spans="2:18" s="798" customFormat="1">
      <c r="B153" s="2485"/>
      <c r="C153" s="2485"/>
      <c r="D153" s="2485"/>
      <c r="E153" s="2485"/>
      <c r="F153" s="2485"/>
      <c r="G153" s="2486"/>
      <c r="H153" s="2485"/>
      <c r="I153" s="2486"/>
      <c r="J153" s="2485"/>
      <c r="K153" s="2485"/>
      <c r="L153" s="2486"/>
      <c r="M153" s="2485"/>
      <c r="N153" s="2485"/>
      <c r="O153" s="2486"/>
      <c r="P153" s="2485"/>
      <c r="Q153" s="2485"/>
      <c r="R153" s="2487"/>
    </row>
    <row r="154" spans="2:18" s="798" customFormat="1">
      <c r="B154" s="2485"/>
      <c r="C154" s="2485"/>
      <c r="D154" s="2485"/>
      <c r="E154" s="2485"/>
      <c r="F154" s="2485"/>
      <c r="G154" s="2486"/>
      <c r="H154" s="2485"/>
      <c r="I154" s="2486"/>
      <c r="J154" s="2485"/>
      <c r="K154" s="2485"/>
      <c r="L154" s="2486"/>
      <c r="M154" s="2485"/>
      <c r="N154" s="2485"/>
      <c r="O154" s="2486"/>
      <c r="P154" s="2485"/>
      <c r="Q154" s="2485"/>
      <c r="R154" s="2487"/>
    </row>
    <row r="155" spans="2:18" s="798" customFormat="1">
      <c r="B155" s="2485"/>
      <c r="C155" s="2485"/>
      <c r="D155" s="2485"/>
      <c r="E155" s="2485"/>
      <c r="F155" s="2485"/>
      <c r="G155" s="2486"/>
      <c r="H155" s="2485"/>
      <c r="I155" s="2486"/>
      <c r="J155" s="2485"/>
      <c r="K155" s="2485"/>
      <c r="L155" s="2486"/>
      <c r="M155" s="2485"/>
      <c r="N155" s="2485"/>
      <c r="O155" s="2486"/>
      <c r="P155" s="2485"/>
      <c r="Q155" s="2485"/>
      <c r="R155" s="2487"/>
    </row>
    <row r="156" spans="2:18" s="798" customFormat="1">
      <c r="B156" s="2485"/>
      <c r="C156" s="2485"/>
      <c r="D156" s="2485"/>
      <c r="E156" s="2485"/>
      <c r="F156" s="2485"/>
      <c r="G156" s="2486"/>
      <c r="H156" s="2485"/>
      <c r="I156" s="2486"/>
      <c r="J156" s="2485"/>
      <c r="K156" s="2485"/>
      <c r="L156" s="2486"/>
      <c r="M156" s="2485"/>
      <c r="N156" s="2485"/>
      <c r="O156" s="2486"/>
      <c r="P156" s="2485"/>
      <c r="Q156" s="2485"/>
      <c r="R156" s="2487"/>
    </row>
    <row r="157" spans="2:18" s="798" customFormat="1">
      <c r="B157" s="2485"/>
      <c r="C157" s="2485"/>
      <c r="D157" s="2485"/>
      <c r="E157" s="2485"/>
      <c r="F157" s="2485"/>
      <c r="G157" s="2486"/>
      <c r="H157" s="2485"/>
      <c r="I157" s="2486"/>
      <c r="J157" s="2485"/>
      <c r="K157" s="2485"/>
      <c r="L157" s="2486"/>
      <c r="M157" s="2485"/>
      <c r="N157" s="2485"/>
      <c r="O157" s="2486"/>
      <c r="P157" s="2485"/>
      <c r="Q157" s="2485"/>
      <c r="R157" s="2487"/>
    </row>
    <row r="158" spans="2:18" s="798" customFormat="1">
      <c r="B158" s="2485"/>
      <c r="C158" s="2485"/>
      <c r="D158" s="2485"/>
      <c r="E158" s="2485"/>
      <c r="F158" s="2485"/>
      <c r="G158" s="2486"/>
      <c r="H158" s="2485"/>
      <c r="I158" s="2486"/>
      <c r="J158" s="2485"/>
      <c r="K158" s="2485"/>
      <c r="L158" s="2486"/>
      <c r="M158" s="2485"/>
      <c r="N158" s="2485"/>
      <c r="O158" s="2486"/>
      <c r="P158" s="2485"/>
      <c r="Q158" s="2485"/>
      <c r="R158" s="2487"/>
    </row>
    <row r="159" spans="2:18" s="798" customFormat="1">
      <c r="B159" s="2485"/>
      <c r="C159" s="2485"/>
      <c r="D159" s="2485"/>
      <c r="E159" s="2485"/>
      <c r="F159" s="2485"/>
      <c r="G159" s="2486"/>
      <c r="H159" s="2485"/>
      <c r="I159" s="2486"/>
      <c r="J159" s="2485"/>
      <c r="K159" s="2485"/>
      <c r="L159" s="2486"/>
      <c r="M159" s="2485"/>
      <c r="N159" s="2485"/>
      <c r="O159" s="2486"/>
      <c r="P159" s="2485"/>
      <c r="Q159" s="2485"/>
      <c r="R159" s="2487"/>
    </row>
    <row r="160" spans="2:18" s="798" customFormat="1">
      <c r="B160" s="2485"/>
      <c r="C160" s="2485"/>
      <c r="D160" s="2485"/>
      <c r="E160" s="2485"/>
      <c r="F160" s="2485"/>
      <c r="G160" s="2486"/>
      <c r="H160" s="2485"/>
      <c r="I160" s="2486"/>
      <c r="J160" s="2485"/>
      <c r="K160" s="2485"/>
      <c r="L160" s="2486"/>
      <c r="M160" s="2485"/>
      <c r="N160" s="2485"/>
      <c r="O160" s="2486"/>
      <c r="P160" s="2485"/>
      <c r="Q160" s="2485"/>
      <c r="R160" s="2487"/>
    </row>
    <row r="161" spans="2:18" s="798" customFormat="1">
      <c r="B161" s="2485"/>
      <c r="C161" s="2485"/>
      <c r="D161" s="2485"/>
      <c r="E161" s="2485"/>
      <c r="F161" s="2485"/>
      <c r="G161" s="2486"/>
      <c r="H161" s="2485"/>
      <c r="I161" s="2486"/>
      <c r="J161" s="2485"/>
      <c r="K161" s="2485"/>
      <c r="L161" s="2486"/>
      <c r="M161" s="2485"/>
      <c r="N161" s="2485"/>
      <c r="O161" s="2486"/>
      <c r="P161" s="2485"/>
      <c r="Q161" s="2485"/>
      <c r="R161" s="2487"/>
    </row>
    <row r="162" spans="2:18" s="798" customFormat="1">
      <c r="B162" s="2485"/>
      <c r="C162" s="2485"/>
      <c r="D162" s="2485"/>
      <c r="E162" s="2485"/>
      <c r="F162" s="2485"/>
      <c r="G162" s="2486"/>
      <c r="H162" s="2485"/>
      <c r="I162" s="2486"/>
      <c r="J162" s="2485"/>
      <c r="K162" s="2485"/>
      <c r="L162" s="2486"/>
      <c r="M162" s="2485"/>
      <c r="N162" s="2485"/>
      <c r="O162" s="2486"/>
      <c r="P162" s="2485"/>
      <c r="Q162" s="2485"/>
      <c r="R162" s="2487"/>
    </row>
    <row r="163" spans="2:18" s="798" customFormat="1">
      <c r="B163" s="2485"/>
      <c r="C163" s="2485"/>
      <c r="D163" s="2485"/>
      <c r="E163" s="2485"/>
      <c r="F163" s="2485"/>
      <c r="G163" s="2486"/>
      <c r="H163" s="2485"/>
      <c r="I163" s="2486"/>
      <c r="J163" s="2485"/>
      <c r="K163" s="2485"/>
      <c r="L163" s="2486"/>
      <c r="M163" s="2485"/>
      <c r="N163" s="2485"/>
      <c r="O163" s="2486"/>
      <c r="P163" s="2485"/>
      <c r="Q163" s="2485"/>
      <c r="R163" s="2487"/>
    </row>
    <row r="164" spans="2:18" s="798" customFormat="1">
      <c r="B164" s="2485"/>
      <c r="C164" s="2485"/>
      <c r="D164" s="2485"/>
      <c r="E164" s="2485"/>
      <c r="F164" s="2485"/>
      <c r="G164" s="2486"/>
      <c r="H164" s="2485"/>
      <c r="I164" s="2486"/>
      <c r="J164" s="2485"/>
      <c r="K164" s="2485"/>
      <c r="L164" s="2486"/>
      <c r="M164" s="2485"/>
      <c r="N164" s="2485"/>
      <c r="O164" s="2486"/>
      <c r="P164" s="2485"/>
      <c r="Q164" s="2485"/>
      <c r="R164" s="2487"/>
    </row>
    <row r="165" spans="2:18" s="798" customFormat="1">
      <c r="B165" s="2485"/>
      <c r="C165" s="2485"/>
      <c r="D165" s="2485"/>
      <c r="E165" s="2485"/>
      <c r="F165" s="2485"/>
      <c r="G165" s="2486"/>
      <c r="H165" s="2485"/>
      <c r="I165" s="2486"/>
      <c r="J165" s="2485"/>
      <c r="K165" s="2485"/>
      <c r="L165" s="2486"/>
      <c r="M165" s="2485"/>
      <c r="N165" s="2485"/>
      <c r="O165" s="2486"/>
      <c r="P165" s="2485"/>
      <c r="Q165" s="2485"/>
      <c r="R165" s="2487"/>
    </row>
    <row r="166" spans="2:18" s="798" customFormat="1">
      <c r="B166" s="2485"/>
      <c r="C166" s="2485"/>
      <c r="D166" s="2485"/>
      <c r="E166" s="2485"/>
      <c r="F166" s="2485"/>
      <c r="G166" s="2486"/>
      <c r="H166" s="2485"/>
      <c r="I166" s="2486"/>
      <c r="J166" s="2485"/>
      <c r="K166" s="2485"/>
      <c r="L166" s="2486"/>
      <c r="M166" s="2485"/>
      <c r="N166" s="2485"/>
      <c r="O166" s="2486"/>
      <c r="P166" s="2485"/>
      <c r="Q166" s="2485"/>
      <c r="R166" s="2487"/>
    </row>
    <row r="167" spans="2:18" s="798" customFormat="1">
      <c r="B167" s="2485"/>
      <c r="C167" s="2485"/>
      <c r="D167" s="2485"/>
      <c r="E167" s="2485"/>
      <c r="F167" s="2485"/>
      <c r="G167" s="2486"/>
      <c r="H167" s="2485"/>
      <c r="I167" s="2486"/>
      <c r="J167" s="2485"/>
      <c r="K167" s="2485"/>
      <c r="L167" s="2486"/>
      <c r="M167" s="2485"/>
      <c r="N167" s="2485"/>
      <c r="O167" s="2486"/>
      <c r="P167" s="2485"/>
      <c r="Q167" s="2485"/>
      <c r="R167" s="2487"/>
    </row>
    <row r="168" spans="2:18" s="798" customFormat="1">
      <c r="B168" s="2485"/>
      <c r="C168" s="2485"/>
      <c r="D168" s="2485"/>
      <c r="E168" s="2485"/>
      <c r="F168" s="2485"/>
      <c r="G168" s="2486"/>
      <c r="H168" s="2485"/>
      <c r="I168" s="2486"/>
      <c r="J168" s="2485"/>
      <c r="K168" s="2485"/>
      <c r="L168" s="2486"/>
      <c r="M168" s="2485"/>
      <c r="N168" s="2485"/>
      <c r="O168" s="2486"/>
      <c r="P168" s="2485"/>
      <c r="Q168" s="2485"/>
      <c r="R168" s="2487"/>
    </row>
    <row r="169" spans="2:18" s="798" customFormat="1">
      <c r="B169" s="2485"/>
      <c r="C169" s="2485"/>
      <c r="D169" s="2485"/>
      <c r="E169" s="2485"/>
      <c r="F169" s="2485"/>
      <c r="G169" s="2486"/>
      <c r="H169" s="2485"/>
      <c r="I169" s="2486"/>
      <c r="J169" s="2485"/>
      <c r="K169" s="2485"/>
      <c r="L169" s="2486"/>
      <c r="M169" s="2485"/>
      <c r="N169" s="2485"/>
      <c r="O169" s="2486"/>
      <c r="P169" s="2485"/>
      <c r="Q169" s="2485"/>
      <c r="R169" s="2487"/>
    </row>
    <row r="170" spans="2:18" s="798" customFormat="1">
      <c r="B170" s="2485"/>
      <c r="C170" s="2485"/>
      <c r="D170" s="2485"/>
      <c r="E170" s="2485"/>
      <c r="F170" s="2485"/>
      <c r="G170" s="2486"/>
      <c r="H170" s="2485"/>
      <c r="I170" s="2486"/>
      <c r="J170" s="2485"/>
      <c r="K170" s="2485"/>
      <c r="L170" s="2486"/>
      <c r="M170" s="2485"/>
      <c r="N170" s="2485"/>
      <c r="O170" s="2486"/>
      <c r="P170" s="2485"/>
      <c r="Q170" s="2485"/>
      <c r="R170" s="2487"/>
    </row>
    <row r="171" spans="2:18" s="798" customFormat="1">
      <c r="B171" s="2485"/>
      <c r="C171" s="2485"/>
      <c r="D171" s="2485"/>
      <c r="E171" s="2485"/>
      <c r="F171" s="2485"/>
      <c r="G171" s="2486"/>
      <c r="H171" s="2485"/>
      <c r="I171" s="2486"/>
      <c r="J171" s="2485"/>
      <c r="K171" s="2485"/>
      <c r="L171" s="2486"/>
      <c r="M171" s="2485"/>
      <c r="N171" s="2485"/>
      <c r="O171" s="2486"/>
      <c r="P171" s="2485"/>
      <c r="Q171" s="2485"/>
      <c r="R171" s="2487"/>
    </row>
    <row r="172" spans="2:18" s="798" customFormat="1">
      <c r="B172" s="2485"/>
      <c r="C172" s="2485"/>
      <c r="D172" s="2485"/>
      <c r="E172" s="2485"/>
      <c r="F172" s="2485"/>
      <c r="G172" s="2486"/>
      <c r="H172" s="2485"/>
      <c r="I172" s="2486"/>
      <c r="J172" s="2485"/>
      <c r="K172" s="2485"/>
      <c r="L172" s="2486"/>
      <c r="M172" s="2485"/>
      <c r="N172" s="2485"/>
      <c r="O172" s="2486"/>
      <c r="P172" s="2485"/>
      <c r="Q172" s="2485"/>
      <c r="R172" s="2487"/>
    </row>
    <row r="173" spans="2:18" s="798" customFormat="1">
      <c r="B173" s="2485"/>
      <c r="C173" s="2485"/>
      <c r="D173" s="2485"/>
      <c r="E173" s="2485"/>
      <c r="F173" s="2485"/>
      <c r="G173" s="2486"/>
      <c r="H173" s="2485"/>
      <c r="I173" s="2486"/>
      <c r="J173" s="2485"/>
      <c r="K173" s="2485"/>
      <c r="L173" s="2486"/>
      <c r="M173" s="2485"/>
      <c r="N173" s="2485"/>
      <c r="O173" s="2486"/>
      <c r="P173" s="2485"/>
      <c r="Q173" s="2485"/>
      <c r="R173" s="2487"/>
    </row>
    <row r="174" spans="2:18" s="798" customFormat="1">
      <c r="B174" s="2485"/>
      <c r="C174" s="2485"/>
      <c r="D174" s="2485"/>
      <c r="E174" s="2485"/>
      <c r="F174" s="2485"/>
      <c r="G174" s="2486"/>
      <c r="H174" s="2485"/>
      <c r="I174" s="2486"/>
      <c r="J174" s="2485"/>
      <c r="K174" s="2485"/>
      <c r="L174" s="2486"/>
      <c r="M174" s="2485"/>
      <c r="N174" s="2485"/>
      <c r="O174" s="2486"/>
      <c r="P174" s="2485"/>
      <c r="Q174" s="2485"/>
      <c r="R174" s="2487"/>
    </row>
    <row r="175" spans="2:18" s="798" customFormat="1">
      <c r="B175" s="2485"/>
      <c r="C175" s="2485"/>
      <c r="D175" s="2485"/>
      <c r="E175" s="2485"/>
      <c r="F175" s="2485"/>
      <c r="G175" s="2486"/>
      <c r="H175" s="2485"/>
      <c r="I175" s="2486"/>
      <c r="J175" s="2485"/>
      <c r="K175" s="2485"/>
      <c r="L175" s="2486"/>
      <c r="M175" s="2485"/>
      <c r="N175" s="2485"/>
      <c r="O175" s="2486"/>
      <c r="P175" s="2485"/>
      <c r="Q175" s="2485"/>
      <c r="R175" s="2487"/>
    </row>
    <row r="176" spans="2:18" s="798" customFormat="1">
      <c r="B176" s="2485"/>
      <c r="C176" s="2485"/>
      <c r="D176" s="2485"/>
      <c r="E176" s="2485"/>
      <c r="F176" s="2485"/>
      <c r="G176" s="2486"/>
      <c r="H176" s="2485"/>
      <c r="I176" s="2486"/>
      <c r="J176" s="2485"/>
      <c r="K176" s="2485"/>
      <c r="L176" s="2486"/>
      <c r="M176" s="2485"/>
      <c r="N176" s="2485"/>
      <c r="O176" s="2486"/>
      <c r="P176" s="2485"/>
      <c r="Q176" s="2485"/>
      <c r="R176" s="2487"/>
    </row>
    <row r="177" spans="1:18" s="798" customFormat="1">
      <c r="B177" s="2485"/>
      <c r="C177" s="2485"/>
      <c r="D177" s="2485"/>
      <c r="E177" s="2485"/>
      <c r="F177" s="2485"/>
      <c r="G177" s="2486"/>
      <c r="H177" s="2485"/>
      <c r="I177" s="2486"/>
      <c r="J177" s="2485"/>
      <c r="K177" s="2485"/>
      <c r="L177" s="2486"/>
      <c r="M177" s="2485"/>
      <c r="N177" s="2485"/>
      <c r="O177" s="2486"/>
      <c r="P177" s="2485"/>
      <c r="Q177" s="2485"/>
      <c r="R177" s="2487"/>
    </row>
    <row r="178" spans="1:18" s="798" customFormat="1">
      <c r="B178" s="2485"/>
      <c r="C178" s="2485"/>
      <c r="D178" s="2485"/>
      <c r="E178" s="2485"/>
      <c r="F178" s="2485"/>
      <c r="G178" s="2486"/>
      <c r="H178" s="2485"/>
      <c r="I178" s="2486"/>
      <c r="J178" s="2485"/>
      <c r="K178" s="2485"/>
      <c r="L178" s="2486"/>
      <c r="M178" s="2485"/>
      <c r="N178" s="2485"/>
      <c r="O178" s="2486"/>
      <c r="P178" s="2485"/>
      <c r="Q178" s="2485"/>
      <c r="R178" s="2487"/>
    </row>
    <row r="179" spans="1:18" s="798" customFormat="1">
      <c r="B179" s="2485"/>
      <c r="C179" s="2485"/>
      <c r="D179" s="2485"/>
      <c r="E179" s="2485"/>
      <c r="F179" s="2485"/>
      <c r="G179" s="2486"/>
      <c r="H179" s="2485"/>
      <c r="I179" s="2486"/>
      <c r="J179" s="2485"/>
      <c r="K179" s="2485"/>
      <c r="L179" s="2486"/>
      <c r="M179" s="2485"/>
      <c r="N179" s="2485"/>
      <c r="O179" s="2486"/>
      <c r="P179" s="2485"/>
      <c r="Q179" s="2485"/>
      <c r="R179" s="2487"/>
    </row>
    <row r="180" spans="1:18" s="798" customFormat="1">
      <c r="B180" s="2485"/>
      <c r="C180" s="2485"/>
      <c r="D180" s="2485"/>
      <c r="E180" s="2485"/>
      <c r="F180" s="2485"/>
      <c r="G180" s="2486"/>
      <c r="H180" s="2485"/>
      <c r="I180" s="2486"/>
      <c r="J180" s="2485"/>
      <c r="K180" s="2485"/>
      <c r="L180" s="2486"/>
      <c r="M180" s="2485"/>
      <c r="N180" s="2485"/>
      <c r="O180" s="2486"/>
      <c r="P180" s="2485"/>
      <c r="Q180" s="2485"/>
      <c r="R180" s="2487"/>
    </row>
    <row r="181" spans="1:18" s="798" customFormat="1">
      <c r="B181" s="2485"/>
      <c r="C181" s="2485"/>
      <c r="D181" s="2485"/>
      <c r="E181" s="2485"/>
      <c r="F181" s="2485"/>
      <c r="G181" s="2486"/>
      <c r="H181" s="2485"/>
      <c r="I181" s="2486"/>
      <c r="J181" s="2485"/>
      <c r="K181" s="2485"/>
      <c r="L181" s="2486"/>
      <c r="M181" s="2485"/>
      <c r="N181" s="2485"/>
      <c r="O181" s="2486"/>
      <c r="P181" s="2485"/>
      <c r="Q181" s="2485"/>
      <c r="R181" s="2487"/>
    </row>
    <row r="182" spans="1:18" s="798" customFormat="1">
      <c r="B182" s="2485"/>
      <c r="C182" s="2485"/>
      <c r="D182" s="2485"/>
      <c r="E182" s="2485"/>
      <c r="F182" s="2485"/>
      <c r="G182" s="2486"/>
      <c r="H182" s="2485"/>
      <c r="I182" s="2486"/>
      <c r="J182" s="2485"/>
      <c r="K182" s="2485"/>
      <c r="L182" s="2486"/>
      <c r="M182" s="2485"/>
      <c r="N182" s="2485"/>
      <c r="O182" s="2486"/>
      <c r="P182" s="2485"/>
      <c r="Q182" s="2485"/>
      <c r="R182" s="2487"/>
    </row>
    <row r="183" spans="1:18" s="798" customFormat="1">
      <c r="B183" s="2485"/>
      <c r="C183" s="2485"/>
      <c r="D183" s="2485"/>
      <c r="E183" s="2485"/>
      <c r="F183" s="2485"/>
      <c r="G183" s="2486"/>
      <c r="H183" s="2485"/>
      <c r="I183" s="2486"/>
      <c r="J183" s="2485"/>
      <c r="K183" s="2485"/>
      <c r="L183" s="2486"/>
      <c r="M183" s="2485"/>
      <c r="N183" s="2485"/>
      <c r="O183" s="2486"/>
      <c r="P183" s="2485"/>
      <c r="Q183" s="2485"/>
      <c r="R183" s="2487"/>
    </row>
    <row r="184" spans="1:18" s="798" customFormat="1">
      <c r="B184" s="2485"/>
      <c r="C184" s="2485"/>
      <c r="D184" s="2485"/>
      <c r="E184" s="2485"/>
      <c r="F184" s="2485"/>
      <c r="G184" s="2486"/>
      <c r="H184" s="2485"/>
      <c r="I184" s="2486"/>
      <c r="J184" s="2485"/>
      <c r="K184" s="2485"/>
      <c r="L184" s="2486"/>
      <c r="M184" s="2485"/>
      <c r="N184" s="2485"/>
      <c r="O184" s="2486"/>
      <c r="P184" s="2485"/>
      <c r="Q184" s="2485"/>
      <c r="R184" s="2487"/>
    </row>
    <row r="185" spans="1:18" s="798"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8"/>
      <c r="B186" s="2485"/>
      <c r="C186" s="2485"/>
      <c r="E186" s="2485"/>
      <c r="F186" s="2485"/>
      <c r="G186" s="2486"/>
    </row>
    <row r="187" spans="1:18">
      <c r="A187" s="798"/>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7" sqref="D17"/>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120.57</v>
      </c>
      <c r="C1" s="2680"/>
      <c r="D1" s="2680"/>
      <c r="E1" s="2680"/>
      <c r="F1" s="2680"/>
      <c r="G1" s="2681"/>
      <c r="H1" s="2682"/>
      <c r="I1" s="2682"/>
      <c r="J1" s="2682"/>
      <c r="K1" s="2682"/>
    </row>
    <row r="2" spans="1:11" ht="16.5">
      <c r="A2" s="2506" t="s">
        <v>653</v>
      </c>
      <c r="B2" s="2506">
        <f>SUM(C14:C23)</f>
        <v>30.64</v>
      </c>
      <c r="C2" s="2680"/>
      <c r="D2" s="2680"/>
      <c r="E2" s="2680"/>
      <c r="F2" s="2680"/>
      <c r="G2" s="2681"/>
      <c r="H2" s="2682"/>
      <c r="I2" s="2682"/>
      <c r="J2" s="2682"/>
      <c r="K2" s="2682"/>
    </row>
    <row r="3" spans="1:11" ht="16.5">
      <c r="A3" s="2506" t="s">
        <v>662</v>
      </c>
      <c r="B3" s="2508">
        <f>项目基本情况!D3</f>
        <v>45135</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398</v>
      </c>
      <c r="C5" s="2506">
        <f ca="1">IF(B5=D14,结果表!H102,ROUND(B5*10000/$B$1,0))</f>
        <v>33001</v>
      </c>
      <c r="D5" s="2506">
        <f ca="1">ROUND(B5*10000/$B$2,0)</f>
        <v>129896</v>
      </c>
      <c r="E5" s="2680"/>
      <c r="F5" s="2681"/>
      <c r="G5" s="2681"/>
      <c r="H5" s="2682"/>
      <c r="I5" s="2682"/>
      <c r="J5" s="2682"/>
      <c r="K5" s="2682"/>
    </row>
    <row r="6" spans="1:11" ht="16.5">
      <c r="A6" s="2506" t="s">
        <v>656</v>
      </c>
      <c r="B6" s="2506">
        <f ca="1">SUM(G14:G23)</f>
        <v>398</v>
      </c>
      <c r="C6" s="2506">
        <f ca="1">IF(B6=G14,结果表!H108,ROUND(B6*10000/$B$1,0))</f>
        <v>33001</v>
      </c>
      <c r="D6" s="2506">
        <f ca="1">ROUND(B6*10000/$B$2,0)</f>
        <v>129896</v>
      </c>
      <c r="E6" s="2680"/>
      <c r="F6" s="2681"/>
      <c r="G6" s="2681"/>
      <c r="H6" s="2682"/>
      <c r="I6" s="2682"/>
      <c r="J6" s="2682"/>
      <c r="K6" s="2682"/>
    </row>
    <row r="7" spans="1:11" ht="16.5">
      <c r="A7" s="2506" t="s">
        <v>664</v>
      </c>
      <c r="B7" s="2506">
        <f>SUM(H14:H23)</f>
        <v>0</v>
      </c>
      <c r="C7" s="2506" t="str">
        <f>IF(B7=H14,结果表!H110,ROUND(B7*10000/$B$1,0))</f>
        <v>——</v>
      </c>
      <c r="D7" s="2506">
        <f>ROUND(B7*10000/$B$2,0)</f>
        <v>0</v>
      </c>
      <c r="E7" s="2680"/>
      <c r="F7" s="2681"/>
      <c r="G7" s="2681"/>
      <c r="H7" s="2682"/>
      <c r="I7" s="2682"/>
      <c r="J7" s="2682"/>
      <c r="K7" s="2682"/>
    </row>
    <row r="8" spans="1:11" ht="16.5">
      <c r="A8" s="2506" t="s">
        <v>587</v>
      </c>
      <c r="B8" s="2506">
        <f>SUM(I14:I23)</f>
        <v>0</v>
      </c>
      <c r="C8" s="2506" t="str">
        <f>IF(B8=I14,结果表!H112,ROUND(B8*10000/$B$1,0))</f>
        <v>——</v>
      </c>
      <c r="D8" s="2506">
        <f>ROUND(B8*10000/$B$2,0)</f>
        <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3348</v>
      </c>
      <c r="D10" s="2506" t="s">
        <v>3349</v>
      </c>
      <c r="E10" s="3435"/>
      <c r="F10" s="3439" t="s">
        <v>3350</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120.57</v>
      </c>
      <c r="C14" s="2512">
        <f>结果表!C118</f>
        <v>30.64</v>
      </c>
      <c r="D14" s="2512">
        <f ca="1">结果表!H118</f>
        <v>398</v>
      </c>
      <c r="E14" s="2512">
        <f ca="1">ROUND(D14*10000/B14,0)</f>
        <v>33010</v>
      </c>
      <c r="F14" s="2512">
        <f ca="1">ROUND(D14*10000/C14,0)</f>
        <v>129896</v>
      </c>
      <c r="G14" s="2512">
        <f ca="1">结果表!D122</f>
        <v>398</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30"/>
      <c r="H15" s="1330"/>
      <c r="I15" s="2513"/>
      <c r="J15" s="2681"/>
      <c r="K15" s="2682"/>
    </row>
    <row r="16" spans="1:11" ht="16.5">
      <c r="A16" s="2511" t="s">
        <v>648</v>
      </c>
      <c r="B16" s="2513"/>
      <c r="C16" s="2513"/>
      <c r="D16" s="2513"/>
      <c r="E16" s="2512" t="e">
        <f t="shared" si="0"/>
        <v>#DIV/0!</v>
      </c>
      <c r="F16" s="2512" t="e">
        <f t="shared" si="1"/>
        <v>#DIV/0!</v>
      </c>
      <c r="G16" s="1330"/>
      <c r="H16" s="1330"/>
      <c r="I16" s="2513"/>
      <c r="J16" s="2682"/>
      <c r="K16" s="2682"/>
    </row>
    <row r="17" spans="1:11" ht="16.5">
      <c r="A17" s="2511" t="s">
        <v>647</v>
      </c>
      <c r="B17" s="2513"/>
      <c r="C17" s="2513"/>
      <c r="D17" s="2513"/>
      <c r="E17" s="2512" t="e">
        <f t="shared" si="0"/>
        <v>#DIV/0!</v>
      </c>
      <c r="F17" s="2512" t="e">
        <f t="shared" si="1"/>
        <v>#DIV/0!</v>
      </c>
      <c r="G17" s="1330"/>
      <c r="H17" s="1330"/>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31" zoomScale="90" zoomScaleNormal="100" zoomScaleSheetLayoutView="90" zoomScalePageLayoutView="80" workbookViewId="0">
      <selection activeCell="K39" sqref="K39"/>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1260</v>
      </c>
      <c r="B1" s="1746"/>
      <c r="C1" s="1747"/>
      <c r="D1" s="1746"/>
      <c r="E1" s="1746"/>
      <c r="F1" s="1748" t="s">
        <v>1261</v>
      </c>
      <c r="G1" s="1560" t="s">
        <v>3374</v>
      </c>
      <c r="H1" s="1749" t="str">
        <f>IF(G1="现房","——","估价对象范围")</f>
        <v>——</v>
      </c>
      <c r="I1" s="1750" t="s">
        <v>3511</v>
      </c>
    </row>
    <row r="2" spans="1:12" ht="21.75" customHeight="1" thickBot="1">
      <c r="A2" s="3618" t="str">
        <f>项目基本情况!S2</f>
        <v>北京市朝阳区日坛北路17号院1号楼7层728号房地产</v>
      </c>
      <c r="B2" s="3619"/>
      <c r="C2" s="3619"/>
      <c r="D2" s="3619"/>
      <c r="E2" s="3619"/>
      <c r="F2" s="3619"/>
      <c r="G2" s="3619"/>
      <c r="H2" s="3619"/>
      <c r="I2" s="3620"/>
    </row>
    <row r="3" spans="1:12" ht="12.75">
      <c r="A3" s="3622" t="s">
        <v>1262</v>
      </c>
      <c r="B3" s="3623"/>
      <c r="C3" s="3623"/>
      <c r="D3" s="3623"/>
      <c r="E3" s="3623"/>
      <c r="F3" s="3623"/>
      <c r="G3" s="3623"/>
      <c r="H3" s="3623"/>
      <c r="I3" s="3623"/>
    </row>
    <row r="4" spans="1:12" ht="14.25">
      <c r="A4" s="1753" t="s">
        <v>1263</v>
      </c>
      <c r="B4" s="1754" t="s">
        <v>1264</v>
      </c>
      <c r="C4" s="1755" t="s">
        <v>3505</v>
      </c>
      <c r="D4" s="1755" t="s">
        <v>3504</v>
      </c>
      <c r="E4" s="3627" t="s">
        <v>1265</v>
      </c>
      <c r="F4" s="3628"/>
      <c r="G4" s="3628"/>
      <c r="H4" s="3628"/>
      <c r="I4" s="362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6" t="s">
        <v>1266</v>
      </c>
      <c r="B5" s="3621">
        <v>25</v>
      </c>
      <c r="C5" s="3624"/>
      <c r="D5" s="3612"/>
      <c r="E5" s="131" t="s">
        <v>1267</v>
      </c>
      <c r="F5" s="1756"/>
      <c r="G5" s="1756"/>
      <c r="H5" s="1756"/>
      <c r="I5" s="1372"/>
    </row>
    <row r="6" spans="1:12" ht="12.75">
      <c r="A6" s="3566"/>
      <c r="B6" s="3621"/>
      <c r="C6" s="3626"/>
      <c r="D6" s="3612"/>
      <c r="E6" s="131" t="s">
        <v>1268</v>
      </c>
      <c r="F6" s="1756"/>
      <c r="G6" s="1756"/>
      <c r="H6" s="1756"/>
      <c r="I6" s="1372"/>
    </row>
    <row r="7" spans="1:12" ht="12.75">
      <c r="A7" s="3566"/>
      <c r="B7" s="3621"/>
      <c r="C7" s="3625"/>
      <c r="D7" s="3612"/>
      <c r="E7" s="131" t="s">
        <v>1269</v>
      </c>
      <c r="F7" s="1756"/>
      <c r="G7" s="1756"/>
      <c r="H7" s="1756"/>
      <c r="I7" s="1372"/>
    </row>
    <row r="8" spans="1:12" ht="12.75">
      <c r="A8" s="3566" t="s">
        <v>1270</v>
      </c>
      <c r="B8" s="3621">
        <v>15</v>
      </c>
      <c r="C8" s="3624"/>
      <c r="D8" s="3612"/>
      <c r="E8" s="131" t="s">
        <v>1271</v>
      </c>
      <c r="F8" s="1756"/>
      <c r="G8" s="1756"/>
      <c r="H8" s="1756"/>
      <c r="I8" s="1372"/>
    </row>
    <row r="9" spans="1:12" ht="12.75">
      <c r="A9" s="3566"/>
      <c r="B9" s="3621"/>
      <c r="C9" s="3625"/>
      <c r="D9" s="3612"/>
      <c r="E9" s="131" t="s">
        <v>1272</v>
      </c>
      <c r="F9" s="1756"/>
      <c r="G9" s="1756"/>
      <c r="H9" s="1756"/>
      <c r="I9" s="1372"/>
    </row>
    <row r="10" spans="1:12" ht="12.75">
      <c r="A10" s="3566" t="s">
        <v>1273</v>
      </c>
      <c r="B10" s="3621">
        <v>15</v>
      </c>
      <c r="C10" s="3624"/>
      <c r="D10" s="3612"/>
      <c r="E10" s="131" t="s">
        <v>1274</v>
      </c>
      <c r="F10" s="1756"/>
      <c r="G10" s="1756"/>
      <c r="H10" s="1756"/>
      <c r="I10" s="1372"/>
    </row>
    <row r="11" spans="1:12" ht="12.75">
      <c r="A11" s="3566"/>
      <c r="B11" s="3621"/>
      <c r="C11" s="3625"/>
      <c r="D11" s="3612"/>
      <c r="E11" s="131" t="s">
        <v>1275</v>
      </c>
      <c r="F11" s="1756"/>
      <c r="G11" s="1756"/>
      <c r="H11" s="1756"/>
      <c r="I11" s="1372"/>
    </row>
    <row r="12" spans="1:12" ht="12.75">
      <c r="A12" s="3566" t="s">
        <v>1276</v>
      </c>
      <c r="B12" s="3621">
        <v>15</v>
      </c>
      <c r="C12" s="3624"/>
      <c r="D12" s="3612"/>
      <c r="E12" s="131" t="s">
        <v>1277</v>
      </c>
      <c r="F12" s="1756"/>
      <c r="G12" s="1756"/>
      <c r="H12" s="1756"/>
      <c r="I12" s="1372"/>
    </row>
    <row r="13" spans="1:12" ht="12.75">
      <c r="A13" s="3566"/>
      <c r="B13" s="3621"/>
      <c r="C13" s="3625"/>
      <c r="D13" s="3612"/>
      <c r="E13" s="131" t="s">
        <v>1278</v>
      </c>
      <c r="F13" s="1756"/>
      <c r="G13" s="1756"/>
      <c r="H13" s="1756"/>
      <c r="I13" s="1372"/>
    </row>
    <row r="14" spans="1:12" ht="12.75">
      <c r="A14" s="3566" t="s">
        <v>1279</v>
      </c>
      <c r="B14" s="3621">
        <v>30</v>
      </c>
      <c r="C14" s="3624">
        <v>4</v>
      </c>
      <c r="D14" s="3612">
        <v>6</v>
      </c>
      <c r="E14" s="131" t="s">
        <v>1280</v>
      </c>
      <c r="F14" s="1756"/>
      <c r="G14" s="1756"/>
      <c r="H14" s="1756"/>
      <c r="I14" s="1372"/>
    </row>
    <row r="15" spans="1:12" ht="12.75">
      <c r="A15" s="3566"/>
      <c r="B15" s="3621"/>
      <c r="C15" s="3626"/>
      <c r="D15" s="3612"/>
      <c r="E15" s="131" t="s">
        <v>1281</v>
      </c>
      <c r="F15" s="1756"/>
      <c r="G15" s="1756"/>
      <c r="H15" s="1756"/>
      <c r="I15" s="1372"/>
    </row>
    <row r="16" spans="1:12" ht="12.75">
      <c r="A16" s="3566"/>
      <c r="B16" s="3621"/>
      <c r="C16" s="3625"/>
      <c r="D16" s="3612"/>
      <c r="E16" s="131" t="s">
        <v>1282</v>
      </c>
      <c r="F16" s="1756"/>
      <c r="G16" s="1756"/>
      <c r="H16" s="1756"/>
      <c r="I16" s="1372"/>
    </row>
    <row r="17" spans="1:36" ht="15">
      <c r="A17" s="1757" t="s">
        <v>1283</v>
      </c>
      <c r="B17" s="56"/>
      <c r="C17" s="132">
        <f>SUM(C5:C16)</f>
        <v>4</v>
      </c>
      <c r="D17" s="132">
        <f>SUM(D5:D16)</f>
        <v>6</v>
      </c>
      <c r="E17" s="129"/>
      <c r="F17" s="129"/>
      <c r="G17" s="129"/>
      <c r="H17" s="129"/>
      <c r="I17" s="129"/>
      <c r="K17" s="302"/>
      <c r="L17" s="302" t="s">
        <v>1284</v>
      </c>
      <c r="M17" s="302" t="s">
        <v>1285</v>
      </c>
    </row>
    <row r="18" spans="1:36" ht="31.9" customHeight="1" thickBot="1">
      <c r="A18" s="1758" t="s">
        <v>1286</v>
      </c>
      <c r="B18" s="1759"/>
      <c r="C18" s="133">
        <f>ROUND(C17/SUM(C17:D17),2)</f>
        <v>0.4</v>
      </c>
      <c r="D18" s="133">
        <f>1-C18</f>
        <v>0.6</v>
      </c>
      <c r="E18" s="3643" t="s">
        <v>2129</v>
      </c>
      <c r="F18" s="3644"/>
      <c r="G18" s="3644"/>
      <c r="H18" s="3644"/>
      <c r="I18" s="3644"/>
      <c r="K18" s="302" t="s">
        <v>1287</v>
      </c>
      <c r="L18" s="302">
        <f>IF(C1="",'数据-汇总表'!E3,SUMIF(项目类型,C1,'数据-汇总表'!E17:E26)+SUMIF(项目类型,C1,'数据-汇总表'!I17:I26))</f>
        <v>120.57</v>
      </c>
      <c r="M18" s="302">
        <f>IF(C1="",'数据-汇总表'!E3,SUMIF(项目类型,C1,'数据-汇总表'!E17:E26))</f>
        <v>120.57</v>
      </c>
    </row>
    <row r="19" spans="1:36" ht="15">
      <c r="A19" s="1760" t="s">
        <v>1288</v>
      </c>
      <c r="B19" s="1761" t="s">
        <v>1289</v>
      </c>
      <c r="C19" s="134">
        <f ca="1">SUMIF(INDIRECT("'"&amp;C4&amp;"'"&amp;"!A:A"),结果表!B19,INDIRECT("'"&amp;C4&amp;"'"&amp;"!B:B"))</f>
        <v>591.25480000000005</v>
      </c>
      <c r="D19" s="135">
        <f ca="1">SUMIF(INDIRECT("'"&amp;D4&amp;"'"&amp;"!A:A"),结果表!B19,INDIRECT("'"&amp;D4&amp;"'"&amp;"!B:B"))</f>
        <v>268.97449999999998</v>
      </c>
      <c r="E19" s="1760" t="s">
        <v>1290</v>
      </c>
      <c r="F19" s="1761" t="s">
        <v>1289</v>
      </c>
      <c r="G19" s="136">
        <f ca="1">ROUND(C19*$C$18+D19*$D$18,0)</f>
        <v>398</v>
      </c>
      <c r="H19" s="1762" t="s">
        <v>1291</v>
      </c>
      <c r="I19" s="129"/>
      <c r="K19" s="302" t="s">
        <v>1292</v>
      </c>
      <c r="L19" s="302">
        <f>IF(C1="",'数据-汇总表'!D3,SUMIF(项目类型,C1,'数据-汇总表'!D17:D26)+SUMIF(项目类型,C1,'数据-汇总表'!H17:H27))</f>
        <v>30.64</v>
      </c>
      <c r="M19" s="302">
        <f>IF(C1="",'数据-汇总表'!D3,SUMIF(项目类型,C1,'数据-汇总表'!D17:D26))</f>
        <v>30.64</v>
      </c>
    </row>
    <row r="20" spans="1:36" ht="15">
      <c r="A20" s="1763"/>
      <c r="B20" s="1025" t="s">
        <v>1293</v>
      </c>
      <c r="C20" s="137">
        <f ca="1">SUMIF(INDIRECT("'"&amp;C4&amp;"'"&amp;"!A:A"),结果表!B20,INDIRECT("'"&amp;C4&amp;"'"&amp;"!B:B"))</f>
        <v>49038</v>
      </c>
      <c r="D20" s="138">
        <f ca="1">SUMIF(INDIRECT("'"&amp;D4&amp;"'"&amp;"!A:A"),结果表!B20,INDIRECT("'"&amp;D4&amp;"'"&amp;"!B:B"))</f>
        <v>22309</v>
      </c>
      <c r="E20" s="1763"/>
      <c r="F20" s="1025" t="s">
        <v>1293</v>
      </c>
      <c r="G20" s="139">
        <f ca="1">ROUND(C20*$C$18+D20*$D$18,0)</f>
        <v>33001</v>
      </c>
      <c r="H20" s="807" t="s">
        <v>1294</v>
      </c>
      <c r="I20" s="129"/>
    </row>
    <row r="21" spans="1:36" ht="15" customHeight="1" thickBot="1">
      <c r="A21" s="827"/>
      <c r="B21" s="1764" t="s">
        <v>1295</v>
      </c>
      <c r="C21" s="718">
        <f ca="1">ROUND(C19*10000/L19,0)</f>
        <v>192968</v>
      </c>
      <c r="D21" s="719">
        <f ca="1">ROUND(D19*10000/L19,0)</f>
        <v>87785</v>
      </c>
      <c r="E21" s="827"/>
      <c r="F21" s="1764" t="s">
        <v>1295</v>
      </c>
      <c r="G21" s="140">
        <f ca="1">ROUND(G19*10000/L19,0)</f>
        <v>129896</v>
      </c>
      <c r="H21" s="1765" t="s">
        <v>1294</v>
      </c>
      <c r="I21" s="129"/>
      <c r="K21" s="724" t="s">
        <v>3506</v>
      </c>
    </row>
    <row r="22" spans="1:36" ht="15" thickBot="1">
      <c r="A22" s="1687" t="s">
        <v>1296</v>
      </c>
      <c r="B22" s="1766"/>
      <c r="C22" s="1767"/>
      <c r="D22" s="720">
        <f ca="1">IF(C19&lt;D19,D19/C19-1,C19/D19-1)</f>
        <v>1.198181612011548</v>
      </c>
      <c r="E22" s="129"/>
      <c r="F22" s="129"/>
      <c r="G22" s="129"/>
      <c r="H22" s="129"/>
      <c r="I22" s="129"/>
    </row>
    <row r="23" spans="1:36" ht="13.5" thickBot="1">
      <c r="A23" s="1746"/>
      <c r="B23" s="1746"/>
      <c r="C23" s="1746"/>
      <c r="D23" s="1746"/>
      <c r="E23" s="129"/>
      <c r="F23" s="129"/>
      <c r="G23" s="129"/>
      <c r="H23" s="129"/>
      <c r="I23" s="129"/>
    </row>
    <row r="24" spans="1:36" ht="14.25">
      <c r="A24" s="3636" t="s">
        <v>1297</v>
      </c>
      <c r="B24" s="1761" t="s">
        <v>1289</v>
      </c>
      <c r="C24" s="136">
        <f>IF(B30=0,0,D30)</f>
        <v>0</v>
      </c>
      <c r="D24" s="1768"/>
      <c r="E24" s="129"/>
      <c r="F24" s="129"/>
      <c r="G24" s="129"/>
      <c r="H24" s="129"/>
      <c r="I24" s="129"/>
    </row>
    <row r="25" spans="1:36" ht="14.25">
      <c r="A25" s="3637"/>
      <c r="B25" s="1025"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0" t="s">
        <v>2130</v>
      </c>
      <c r="F30" s="129"/>
      <c r="G30" s="129"/>
      <c r="H30" s="129"/>
      <c r="I30" s="129"/>
    </row>
    <row r="31" spans="1:36" s="2306" customFormat="1" ht="26.45" customHeight="1" thickTop="1" thickBot="1">
      <c r="A31" s="2301"/>
      <c r="B31" s="2302"/>
      <c r="C31" s="2302"/>
      <c r="D31" s="2302"/>
      <c r="E31" s="2302"/>
      <c r="F31" s="2302"/>
      <c r="G31" s="2302"/>
      <c r="H31" s="2302"/>
      <c r="I31" s="2303" t="s">
        <v>2131</v>
      </c>
      <c r="J31" s="2683"/>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2" t="s">
        <v>1303</v>
      </c>
      <c r="B32" s="1773"/>
      <c r="C32" s="144">
        <f ca="1">IF(D32="总价",G19-C24,G20-C25)</f>
        <v>33001</v>
      </c>
      <c r="D32" s="1774" t="s">
        <v>3509</v>
      </c>
      <c r="E32" s="129"/>
      <c r="F32" s="129"/>
      <c r="G32" s="129"/>
      <c r="H32" s="129"/>
      <c r="I32" s="129"/>
    </row>
    <row r="33" spans="1:15" ht="15">
      <c r="A33" s="785" t="s">
        <v>1304</v>
      </c>
      <c r="B33" s="1775"/>
      <c r="C33" s="1776"/>
      <c r="D33" s="1777"/>
      <c r="E33" s="1778" t="s">
        <v>1305</v>
      </c>
      <c r="F33" s="1779" t="str">
        <f>IF(D32="楼面单价","取值（单价）","取值（总价）")</f>
        <v>取值（单价）</v>
      </c>
      <c r="G33" s="129"/>
      <c r="H33" s="129"/>
      <c r="I33" s="129"/>
    </row>
    <row r="34" spans="1:15" ht="15">
      <c r="A34" s="1780"/>
      <c r="B34" s="1781" t="s">
        <v>1306</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1307</v>
      </c>
      <c r="F34" s="1329"/>
      <c r="G34" s="129"/>
      <c r="H34" s="129"/>
      <c r="I34" s="129"/>
    </row>
    <row r="35" spans="1:15" ht="15.75" thickBot="1">
      <c r="A35" s="1783"/>
      <c r="B35" s="1784" t="s">
        <v>1308</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1309</v>
      </c>
      <c r="F35" s="154"/>
      <c r="G35" s="129"/>
      <c r="H35" s="129"/>
      <c r="I35" s="129"/>
    </row>
    <row r="36" spans="1:15" ht="15.75" thickBot="1">
      <c r="A36" s="3613" t="s">
        <v>1310</v>
      </c>
      <c r="B36" s="1786" t="s">
        <v>1311</v>
      </c>
      <c r="C36" s="145"/>
      <c r="D36" s="1787" t="s">
        <v>3510</v>
      </c>
      <c r="E36" s="1788"/>
      <c r="F36" s="1789"/>
      <c r="G36" s="129"/>
      <c r="H36" s="129"/>
      <c r="I36" s="129"/>
    </row>
    <row r="37" spans="1:15" ht="15.75" thickBot="1">
      <c r="A37" s="3614"/>
      <c r="B37" s="1673" t="s">
        <v>1312</v>
      </c>
      <c r="C37" s="147"/>
      <c r="D37" s="1138"/>
      <c r="E37" s="1138"/>
      <c r="F37" s="1789"/>
      <c r="G37" s="129"/>
      <c r="H37" s="129"/>
      <c r="I37" s="129"/>
    </row>
    <row r="38" spans="1:15" ht="15.75" thickBot="1">
      <c r="A38" s="3615"/>
      <c r="B38" s="1790" t="s">
        <v>1313</v>
      </c>
      <c r="C38" s="673"/>
      <c r="D38" s="1791" t="s">
        <v>1314</v>
      </c>
      <c r="E38" s="1138"/>
      <c r="F38" s="1789"/>
      <c r="G38" s="129"/>
      <c r="H38" s="129"/>
      <c r="I38" s="129"/>
    </row>
    <row r="39" spans="1:15" ht="15">
      <c r="A39" s="1763" t="s">
        <v>1315</v>
      </c>
      <c r="B39" s="1792" t="s">
        <v>1316</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hidden="1">
      <c r="A44" s="1799" t="s">
        <v>1322</v>
      </c>
      <c r="B44" s="1800"/>
      <c r="C44" s="1800"/>
      <c r="D44" s="1801"/>
      <c r="E44" s="1801"/>
      <c r="F44" s="1802"/>
      <c r="G44" s="1802"/>
      <c r="H44" s="1802"/>
      <c r="I44" s="1802"/>
      <c r="J44" s="1803" t="s">
        <v>1323</v>
      </c>
      <c r="K44" s="1804"/>
      <c r="L44" s="1804"/>
      <c r="M44" s="1804"/>
      <c r="N44" s="1804"/>
      <c r="O44" s="1804"/>
    </row>
    <row r="45" spans="1:15" ht="14.25" hidden="1" customHeight="1" thickBot="1">
      <c r="A45" s="3633" t="s">
        <v>1324</v>
      </c>
      <c r="B45" s="3634"/>
      <c r="C45" s="3635"/>
      <c r="D45" s="155">
        <f ca="1">ROUND(H101*F45,0)</f>
        <v>398</v>
      </c>
      <c r="E45" s="156" t="s">
        <v>1325</v>
      </c>
      <c r="F45" s="157">
        <v>1</v>
      </c>
      <c r="G45" s="158" t="s">
        <v>1326</v>
      </c>
      <c r="H45" s="129"/>
      <c r="I45" s="129"/>
      <c r="J45" s="3553" t="s">
        <v>1327</v>
      </c>
      <c r="K45" s="3553"/>
      <c r="L45" s="3553"/>
      <c r="M45" s="3553"/>
      <c r="N45" s="3553"/>
      <c r="O45" s="3553"/>
    </row>
    <row r="46" spans="1:15" ht="14.25" hidden="1" customHeight="1">
      <c r="A46" s="3630" t="s">
        <v>1328</v>
      </c>
      <c r="B46" s="3631"/>
      <c r="C46" s="3631"/>
      <c r="D46" s="3631"/>
      <c r="E46" s="3631"/>
      <c r="F46" s="3631"/>
      <c r="G46" s="3632"/>
      <c r="H46" s="1805"/>
      <c r="I46" s="159"/>
      <c r="J46" s="2517">
        <v>1</v>
      </c>
      <c r="K46" s="3554" t="s">
        <v>1329</v>
      </c>
      <c r="L46" s="3554"/>
      <c r="M46" s="3555"/>
      <c r="N46" s="3555"/>
      <c r="O46" s="3555"/>
    </row>
    <row r="47" spans="1:15" ht="12" hidden="1" customHeight="1">
      <c r="A47" s="160" t="s">
        <v>1330</v>
      </c>
      <c r="B47" s="161"/>
      <c r="C47" s="162"/>
      <c r="D47" s="1086" t="s">
        <v>1331</v>
      </c>
      <c r="E47" s="302" t="s">
        <v>1332</v>
      </c>
      <c r="F47" s="163" t="s">
        <v>1333</v>
      </c>
      <c r="G47" s="2540" t="s">
        <v>1334</v>
      </c>
      <c r="H47" s="2541"/>
      <c r="I47" s="159"/>
      <c r="J47" s="2517">
        <v>2</v>
      </c>
      <c r="K47" s="3554" t="s">
        <v>1335</v>
      </c>
      <c r="L47" s="3554"/>
      <c r="M47" s="3556">
        <f>'数据-取费表'!B2</f>
        <v>45135</v>
      </c>
      <c r="N47" s="3556"/>
      <c r="O47" s="3556"/>
    </row>
    <row r="48" spans="1:15" ht="25.5" hidden="1">
      <c r="A48" s="3616" t="s">
        <v>1336</v>
      </c>
      <c r="B48" s="3617"/>
      <c r="C48" s="3617"/>
      <c r="D48" s="2321">
        <f ca="1">IF(H48="情况1",0,IF(H48="情况2",D52,IF(H48="情况3",D53,IF(H48="情况4",D54))))</f>
        <v>21</v>
      </c>
      <c r="E48" s="2331" t="str">
        <f>IF(H48="情况4","(销售额-原购置价)×税（费）率","销售额×税（费）率")</f>
        <v>销售额×税（费）率</v>
      </c>
      <c r="F48" s="2542">
        <f>IF(H48="情况1","免征",'数据-取费表'!B41)</f>
        <v>5.6000000000000001E-2</v>
      </c>
      <c r="G48" s="2543" t="s">
        <v>1337</v>
      </c>
      <c r="H48" s="2544" t="s">
        <v>3390</v>
      </c>
      <c r="I48" s="1805"/>
      <c r="J48" s="2517">
        <v>3</v>
      </c>
      <c r="K48" s="3554" t="s">
        <v>1338</v>
      </c>
      <c r="L48" s="3554"/>
      <c r="M48" s="3557">
        <f ca="1">H101</f>
        <v>398</v>
      </c>
      <c r="N48" s="3557"/>
      <c r="O48" s="3557"/>
    </row>
    <row r="49" spans="1:35" ht="25.5" hidden="1" customHeight="1">
      <c r="A49" s="2330" t="s">
        <v>1339</v>
      </c>
      <c r="B49" s="3602" t="s">
        <v>1340</v>
      </c>
      <c r="C49" s="3602"/>
      <c r="D49" s="1589">
        <v>0</v>
      </c>
      <c r="E49" s="324" t="s">
        <v>1341</v>
      </c>
      <c r="F49" s="2419" t="s">
        <v>28</v>
      </c>
      <c r="G49" s="3585"/>
      <c r="H49" s="2307" t="s">
        <v>2132</v>
      </c>
      <c r="I49" s="2308"/>
      <c r="J49" s="2517">
        <v>4</v>
      </c>
      <c r="K49" s="3554" t="str">
        <f>IF(项目基本情况!E8="房地产抵押价值","房地产抵押价值","抵押担保权已注销时的房地产抵押价值")</f>
        <v>房地产抵押价值</v>
      </c>
      <c r="L49" s="3554"/>
      <c r="M49" s="3557">
        <f ca="1">IF(项目基本情况!E8="房地产抵押价值",H107,H109)</f>
        <v>398</v>
      </c>
      <c r="N49" s="3557"/>
      <c r="O49" s="3557"/>
    </row>
    <row r="50" spans="1:35" ht="25.5" hidden="1" customHeight="1">
      <c r="A50" s="2545"/>
      <c r="B50" s="3602" t="s">
        <v>1342</v>
      </c>
      <c r="C50" s="3602"/>
      <c r="D50" s="2546"/>
      <c r="E50" s="332"/>
      <c r="F50" s="2419"/>
      <c r="G50" s="3586"/>
      <c r="H50" s="2309" t="s">
        <v>2133</v>
      </c>
      <c r="I50" s="2308"/>
      <c r="J50" s="3553" t="s">
        <v>1343</v>
      </c>
      <c r="K50" s="3553"/>
      <c r="L50" s="3553"/>
      <c r="M50" s="3553"/>
      <c r="N50" s="3553"/>
      <c r="O50" s="3553"/>
    </row>
    <row r="51" spans="1:35" ht="20.45" hidden="1" customHeight="1">
      <c r="A51" s="2547"/>
      <c r="B51" s="3602" t="s">
        <v>1344</v>
      </c>
      <c r="C51" s="3602"/>
      <c r="D51" s="1086"/>
      <c r="E51" s="327"/>
      <c r="F51" s="2419"/>
      <c r="G51" s="3587"/>
      <c r="H51" s="2309" t="s">
        <v>2134</v>
      </c>
      <c r="I51" s="2308"/>
      <c r="J51" s="2518" t="s">
        <v>1345</v>
      </c>
      <c r="K51" s="3554" t="s">
        <v>1346</v>
      </c>
      <c r="L51" s="3554"/>
      <c r="M51" s="2518" t="s">
        <v>1347</v>
      </c>
      <c r="N51" s="2518" t="s">
        <v>1348</v>
      </c>
      <c r="O51" s="2518" t="s">
        <v>1349</v>
      </c>
    </row>
    <row r="52" spans="1:35" ht="24" hidden="1" customHeight="1">
      <c r="A52" s="2332" t="s">
        <v>1350</v>
      </c>
      <c r="B52" s="3602" t="s">
        <v>1351</v>
      </c>
      <c r="C52" s="3602"/>
      <c r="D52" s="1086">
        <f ca="1">ROUND(D45*'数据-取费表'!B41/(1+'数据-取费表'!C42),0)</f>
        <v>21</v>
      </c>
      <c r="E52" s="2331" t="s">
        <v>1352</v>
      </c>
      <c r="F52" s="2548">
        <f>'数据-取费表'!B41</f>
        <v>5.6000000000000001E-2</v>
      </c>
      <c r="G52" s="2549"/>
      <c r="H52" s="2538"/>
      <c r="I52" s="1806"/>
      <c r="J52" s="2517">
        <v>1</v>
      </c>
      <c r="K52" s="3579" t="s">
        <v>1353</v>
      </c>
      <c r="L52" s="3579"/>
      <c r="M52" s="2519">
        <f ca="1">D48</f>
        <v>21</v>
      </c>
      <c r="N52" s="2517" t="str">
        <f>E48</f>
        <v>销售额×税（费）率</v>
      </c>
      <c r="O52" s="2520">
        <f>F48</f>
        <v>5.6000000000000001E-2</v>
      </c>
    </row>
    <row r="53" spans="1:35" ht="12" hidden="1" customHeight="1">
      <c r="A53" s="2332" t="s">
        <v>1354</v>
      </c>
      <c r="B53" s="3603" t="s">
        <v>2277</v>
      </c>
      <c r="C53" s="3604"/>
      <c r="D53" s="1086">
        <f ca="1">ROUND(D45*'数据-取费表'!B41/(1+'数据-取费表'!C42),0)</f>
        <v>21</v>
      </c>
      <c r="E53" s="2331" t="s">
        <v>1352</v>
      </c>
      <c r="F53" s="2548">
        <f>'数据-取费表'!B41</f>
        <v>5.6000000000000001E-2</v>
      </c>
      <c r="G53" s="2549"/>
      <c r="H53" s="2538"/>
      <c r="I53" s="1806"/>
      <c r="J53" s="2517">
        <v>2</v>
      </c>
      <c r="K53" s="3579" t="s">
        <v>1355</v>
      </c>
      <c r="L53" s="3579"/>
      <c r="M53" s="2519">
        <f t="shared" ref="M53:O54" ca="1" si="0">D55</f>
        <v>0</v>
      </c>
      <c r="N53" s="2517" t="str">
        <f t="shared" si="0"/>
        <v>销售额×税（费）率</v>
      </c>
      <c r="O53" s="2520">
        <f t="shared" si="0"/>
        <v>5.0000000000000001E-4</v>
      </c>
    </row>
    <row r="54" spans="1:35" ht="12" hidden="1" customHeight="1">
      <c r="A54" s="2332" t="s">
        <v>1356</v>
      </c>
      <c r="B54" s="3603" t="s">
        <v>2278</v>
      </c>
      <c r="C54" s="3604"/>
      <c r="D54" s="1086">
        <f ca="1">C68</f>
        <v>21</v>
      </c>
      <c r="E54" s="327" t="s">
        <v>1357</v>
      </c>
      <c r="F54" s="2548">
        <f>'数据-取费表'!B41</f>
        <v>5.6000000000000001E-2</v>
      </c>
      <c r="G54" s="2549"/>
      <c r="H54" s="2550"/>
      <c r="I54" s="1806"/>
      <c r="J54" s="2517">
        <v>3</v>
      </c>
      <c r="K54" s="3579" t="s">
        <v>1358</v>
      </c>
      <c r="L54" s="3579"/>
      <c r="M54" s="2519">
        <f t="shared" ca="1" si="0"/>
        <v>226</v>
      </c>
      <c r="N54" s="2517" t="str">
        <f t="shared" si="0"/>
        <v>增值额×税（费）率</v>
      </c>
      <c r="O54" s="2521" t="str">
        <f t="shared" si="0"/>
        <v>——</v>
      </c>
    </row>
    <row r="55" spans="1:35" ht="24" hidden="1" customHeight="1">
      <c r="A55" s="3639" t="s">
        <v>1359</v>
      </c>
      <c r="B55" s="3617"/>
      <c r="C55" s="3617"/>
      <c r="D55" s="2321">
        <f ca="1">IF(H55="个人住宅",0,ROUND(D45*I55,0))</f>
        <v>0</v>
      </c>
      <c r="E55" s="2331" t="s">
        <v>1360</v>
      </c>
      <c r="F55" s="2548">
        <f>IF(H55="正常",I55,"免征")</f>
        <v>5.0000000000000001E-4</v>
      </c>
      <c r="G55" s="2549"/>
      <c r="H55" s="2544" t="s">
        <v>3391</v>
      </c>
      <c r="I55" s="165">
        <f>'数据-取费表'!B49</f>
        <v>5.0000000000000001E-4</v>
      </c>
      <c r="J55" s="2517" t="str">
        <f>IF(H59="非个人房产","",4)</f>
        <v/>
      </c>
      <c r="K55" s="3579" t="str">
        <f>IF(H59="非个人房产","——","个人所得税")</f>
        <v>——</v>
      </c>
      <c r="L55" s="3579"/>
      <c r="M55" s="2522" t="str">
        <f>D59</f>
        <v>——</v>
      </c>
      <c r="N55" s="2037" t="str">
        <f>E59</f>
        <v>——</v>
      </c>
      <c r="O55" s="2523" t="str">
        <f>F59</f>
        <v>——</v>
      </c>
    </row>
    <row r="56" spans="1:35" ht="24.75" hidden="1">
      <c r="A56" s="3639" t="s">
        <v>1361</v>
      </c>
      <c r="B56" s="3617"/>
      <c r="C56" s="3617"/>
      <c r="D56" s="2321">
        <f ca="1">IF(H56="个人住宅",D57,D58)</f>
        <v>226</v>
      </c>
      <c r="E56" s="2331" t="s">
        <v>1362</v>
      </c>
      <c r="F56" s="2548" t="str">
        <f>IF(H56="正常",F58,"免征")</f>
        <v>——</v>
      </c>
      <c r="G56" s="2551" t="s">
        <v>1363</v>
      </c>
      <c r="H56" s="2552" t="s">
        <v>3391</v>
      </c>
      <c r="I56" s="1807"/>
      <c r="J56" s="2517" t="str">
        <f>IF(项目基本情况!K6="上海银行",IF(J55="",4,J55+1),"")</f>
        <v/>
      </c>
      <c r="K56" s="3560" t="str">
        <f>IF(项目基本情况!K6="上海银行","其他处置费用","")</f>
        <v/>
      </c>
      <c r="L56" s="3561"/>
      <c r="M56" s="2519" t="str">
        <f>IF(项目基本情况!K6="上海银行",M69,"")</f>
        <v/>
      </c>
      <c r="N56" s="3560" t="str">
        <f>IF(项目基本情况!K6="上海银行","包含处置中涉及的律师、诉讼、拍卖、评估等费用","")</f>
        <v/>
      </c>
      <c r="O56" s="3563"/>
    </row>
    <row r="57" spans="1:35" ht="12.75" hidden="1">
      <c r="A57" s="2332" t="s">
        <v>1339</v>
      </c>
      <c r="B57" s="3603" t="s">
        <v>1364</v>
      </c>
      <c r="C57" s="3604"/>
      <c r="D57" s="1589">
        <v>0</v>
      </c>
      <c r="E57" s="324" t="s">
        <v>1341</v>
      </c>
      <c r="F57" s="302"/>
      <c r="G57" s="2549"/>
      <c r="H57" s="2553"/>
      <c r="I57" s="1807"/>
      <c r="J57" s="3579">
        <f>IF(AND(J55="",J56=""),4,IF(项目基本情况!K6="上海银行",结果表!J56+1,结果表!J55+1))</f>
        <v>4</v>
      </c>
      <c r="K57" s="3579" t="s">
        <v>1365</v>
      </c>
      <c r="L57" s="2524" t="s">
        <v>1366</v>
      </c>
      <c r="M57" s="2525"/>
      <c r="N57" s="2526">
        <f ca="1">SUMIF(M52:M56,"&lt;9e307")</f>
        <v>247</v>
      </c>
      <c r="O57" s="2527"/>
      <c r="P57" s="2684">
        <f ca="1">N57/M49</f>
        <v>0.62060301507537685</v>
      </c>
    </row>
    <row r="58" spans="1:35" ht="24.75" hidden="1">
      <c r="A58" s="2332" t="s">
        <v>1350</v>
      </c>
      <c r="B58" s="3603" t="s">
        <v>1367</v>
      </c>
      <c r="C58" s="3602"/>
      <c r="D58" s="2321">
        <f ca="1">IF(H58="转让取得",C81,C97)</f>
        <v>226</v>
      </c>
      <c r="E58" s="2331" t="s">
        <v>1362</v>
      </c>
      <c r="F58" s="302" t="s">
        <v>28</v>
      </c>
      <c r="G58" s="2549"/>
      <c r="H58" s="2552" t="s">
        <v>3392</v>
      </c>
      <c r="I58" s="1807"/>
      <c r="J58" s="3579"/>
      <c r="K58" s="3579"/>
      <c r="L58" s="2524" t="s">
        <v>1368</v>
      </c>
      <c r="M58" s="2528"/>
      <c r="N58" s="2529" t="str">
        <f ca="1">NUMBERSTRING(INT(N57*10000),2)&amp;"元整"</f>
        <v>贰佰肆拾柒万元整</v>
      </c>
      <c r="O58" s="2530"/>
    </row>
    <row r="59" spans="1:35" ht="24.75" hidden="1" thickBot="1">
      <c r="A59" s="3583" t="s">
        <v>1369</v>
      </c>
      <c r="B59" s="3584"/>
      <c r="C59" s="3584"/>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1363</v>
      </c>
      <c r="H59" s="2311" t="s">
        <v>3393</v>
      </c>
      <c r="I59" s="2310" t="s">
        <v>2135</v>
      </c>
      <c r="J59" s="3581">
        <f>J57+1</f>
        <v>5</v>
      </c>
      <c r="K59" s="3579" t="s">
        <v>1370</v>
      </c>
      <c r="L59" s="2517" t="s">
        <v>1366</v>
      </c>
      <c r="M59" s="2531"/>
      <c r="N59" s="2532">
        <f ca="1">M49-N57</f>
        <v>151</v>
      </c>
      <c r="O59" s="2533"/>
    </row>
    <row r="60" spans="1:35" ht="12" hidden="1" customHeight="1">
      <c r="A60" s="1808"/>
      <c r="B60" s="1746"/>
      <c r="C60" s="1746"/>
      <c r="D60" s="1746"/>
      <c r="E60" s="1577"/>
      <c r="F60" s="1807"/>
      <c r="G60" s="1807"/>
      <c r="H60" s="1809"/>
      <c r="I60" s="129"/>
      <c r="J60" s="3582"/>
      <c r="K60" s="3579"/>
      <c r="L60" s="2524" t="s">
        <v>1368</v>
      </c>
      <c r="M60" s="2528"/>
      <c r="N60" s="2529" t="str">
        <f ca="1">NUMBERSTRING(INT(N59*10000),2)&amp;"元整"</f>
        <v>壹佰伍拾壹万元整</v>
      </c>
      <c r="O60" s="2530"/>
    </row>
    <row r="61" spans="1:35" ht="13.5" hidden="1" thickBot="1">
      <c r="A61" s="3638" t="s">
        <v>1371</v>
      </c>
      <c r="B61" s="3638"/>
      <c r="C61" s="3638"/>
      <c r="D61" s="3638"/>
      <c r="E61" s="3638"/>
      <c r="F61" s="1807"/>
      <c r="G61" s="1807"/>
      <c r="H61" s="1809"/>
      <c r="I61" s="129"/>
      <c r="J61" s="2517">
        <f>J59+1</f>
        <v>6</v>
      </c>
      <c r="K61" s="3579" t="s">
        <v>1372</v>
      </c>
      <c r="L61" s="3579"/>
      <c r="M61" s="2534"/>
      <c r="N61" s="2535">
        <f ca="1">ROUND(N59*10000/'数据-汇总表'!E3,0)</f>
        <v>12524</v>
      </c>
      <c r="O61" s="2536"/>
    </row>
    <row r="62" spans="1:35" ht="12.75" hidden="1">
      <c r="A62" s="3598" t="s">
        <v>1373</v>
      </c>
      <c r="B62" s="3599"/>
      <c r="C62" s="2018"/>
      <c r="D62" s="2018" t="s">
        <v>1374</v>
      </c>
      <c r="E62" s="166" t="s">
        <v>1375</v>
      </c>
      <c r="F62" s="1807"/>
      <c r="G62" s="1807"/>
      <c r="H62" s="1809"/>
      <c r="I62" s="129"/>
    </row>
    <row r="63" spans="1:35" ht="12.75" hidden="1">
      <c r="A63" s="173" t="s">
        <v>330</v>
      </c>
      <c r="B63" s="167" t="s">
        <v>1376</v>
      </c>
      <c r="C63" s="2558">
        <f ca="1">ROUND((C64+C65)/(1+'数据-取费表'!C42),0)</f>
        <v>379</v>
      </c>
      <c r="D63" s="167"/>
      <c r="E63" s="168"/>
      <c r="F63" s="1807"/>
      <c r="G63" s="1807"/>
      <c r="H63" s="1809"/>
      <c r="I63" s="129"/>
      <c r="J63" s="3562" t="s">
        <v>1377</v>
      </c>
      <c r="K63" s="1331" t="s">
        <v>1378</v>
      </c>
      <c r="L63" s="1331">
        <f ca="1">IF(M49&gt;10000,M49*0.5%,IF(AND(M49&gt;1000,M49&lt;=10000),M49*1%,IF(AND(M49&gt;100,M49&lt;=1000),M49*3%,IF(AND(M49&gt;10,M49&lt;=100),M49*5%,M49*8%))))</f>
        <v>11.94</v>
      </c>
      <c r="M63" s="302">
        <f ca="1">ROUND(L63,1)</f>
        <v>11.9</v>
      </c>
      <c r="N63" s="2537"/>
      <c r="Z63" s="1751"/>
      <c r="AI63" s="1752"/>
    </row>
    <row r="64" spans="1:35" ht="14.25" hidden="1" customHeight="1">
      <c r="A64" s="169" t="s">
        <v>325</v>
      </c>
      <c r="B64" s="170" t="s">
        <v>1379</v>
      </c>
      <c r="C64" s="2559">
        <f ca="1">D45</f>
        <v>398</v>
      </c>
      <c r="D64" s="170" t="s">
        <v>26</v>
      </c>
      <c r="E64" s="172"/>
      <c r="F64" s="1807"/>
      <c r="G64" s="1807"/>
      <c r="H64" s="1809"/>
      <c r="I64" s="129"/>
      <c r="J64" s="3562"/>
      <c r="K64" s="1331" t="s">
        <v>1380</v>
      </c>
      <c r="L64" s="1331">
        <f ca="1">IF(M49&gt;2000,M49*0.5%,IF(AND(M49&gt;1000,M49&lt;=2000),M49*0.6%,IF(AND(M49&gt;500,M49&lt;=1000),M49*0.7%,IF(AND(M49&gt;200,M49&lt;=500),M49*0.8%,IF(AND(M49&gt;100,M49&lt;=200),M49*0.9%,IF(AND(M49&gt;50,M49&lt;=100),M49*1%,IF(AND(M49&gt;20,M49&lt;=50),M49*1.5%,IF(AND(M49&gt;10,M49&lt;=20),M49*2%,IF(AND(M49&gt;1,M49&lt;=10),M49*2.5%)))))))))</f>
        <v>3.1840000000000002</v>
      </c>
      <c r="M64" s="302">
        <f t="shared" ref="M64:M65" ca="1" si="1">ROUND(L64,1)</f>
        <v>3.2</v>
      </c>
      <c r="N64" s="2538" t="s">
        <v>1381</v>
      </c>
      <c r="Z64" s="1751"/>
      <c r="AI64" s="1752"/>
    </row>
    <row r="65" spans="1:35" ht="14.25" hidden="1" customHeight="1">
      <c r="A65" s="169" t="s">
        <v>326</v>
      </c>
      <c r="B65" s="170" t="s">
        <v>1382</v>
      </c>
      <c r="C65" s="2560"/>
      <c r="D65" s="170"/>
      <c r="E65" s="172"/>
      <c r="F65" s="1807"/>
      <c r="G65" s="1807"/>
      <c r="H65" s="1809"/>
      <c r="I65" s="129"/>
      <c r="J65" s="3562"/>
      <c r="K65" s="1331" t="s">
        <v>1383</v>
      </c>
      <c r="L65" s="1331">
        <f ca="1">IF(M49&gt;1000,M49*0.1%,IF(AND(M49&gt;500,M49&lt;=1000),M49*0.5%,IF(AND(M49&gt;50,M49&lt;=500),M49*1%,IF(AND(M49&gt;1,M49&lt;=50),M49*1.5%))))</f>
        <v>3.98</v>
      </c>
      <c r="M65" s="302">
        <f t="shared" ca="1" si="1"/>
        <v>4</v>
      </c>
      <c r="N65" s="2538" t="s">
        <v>1381</v>
      </c>
      <c r="Z65" s="1751"/>
      <c r="AI65" s="1752"/>
    </row>
    <row r="66" spans="1:35" ht="14.25" hidden="1" customHeight="1">
      <c r="A66" s="173" t="s">
        <v>327</v>
      </c>
      <c r="B66" s="174" t="s">
        <v>1384</v>
      </c>
      <c r="C66" s="2561">
        <f>C75/1.05</f>
        <v>0</v>
      </c>
      <c r="D66" s="174" t="s">
        <v>26</v>
      </c>
      <c r="E66" s="1337" t="s">
        <v>671</v>
      </c>
      <c r="F66" s="1807"/>
      <c r="G66" s="1807"/>
      <c r="H66" s="1809"/>
      <c r="I66" s="129"/>
      <c r="J66" s="3562"/>
      <c r="K66" s="1331" t="s">
        <v>1385</v>
      </c>
      <c r="L66" s="1331">
        <f ca="1">M49*0.5%</f>
        <v>1.99</v>
      </c>
      <c r="M66" s="302">
        <f ca="1">IF(L66&gt;0.5,0.5,ROUND(L66,0))</f>
        <v>0.5</v>
      </c>
      <c r="N66" s="2538" t="s">
        <v>1386</v>
      </c>
      <c r="Z66" s="1751"/>
      <c r="AI66" s="1752"/>
    </row>
    <row r="67" spans="1:35" ht="14.25" hidden="1" customHeight="1">
      <c r="A67" s="173" t="s">
        <v>328</v>
      </c>
      <c r="B67" s="174" t="s">
        <v>1387</v>
      </c>
      <c r="C67" s="2562">
        <f ca="1">C63-C66</f>
        <v>379</v>
      </c>
      <c r="D67" s="170" t="s">
        <v>26</v>
      </c>
      <c r="E67" s="172"/>
      <c r="F67" s="1807"/>
      <c r="G67" s="1807"/>
      <c r="H67" s="1809"/>
      <c r="I67" s="129"/>
      <c r="J67" s="3562"/>
      <c r="K67" s="1331" t="s">
        <v>1388</v>
      </c>
      <c r="L67" s="1331">
        <f ca="1">IF(M49&gt;=10000,(8.25+(M49-10000)*0.01%),IF(AND(M49&gt;=8000,M49&lt;10000),(7.85+(M49-8000)*0.02%),IF(AND(M49&gt;=5000,M49&lt;8000),(6.65+(M49-5000)*0.04%),IF(AND(M49&gt;=2000,M49&lt;5000),(4.25+(PM49-2000)*0.08%),IF(AND(M49&gt;=1000,M49&lt;2000),(2.75+(M49-1000)*0.15%),IF(AND(M49&gt;=100,M49&lt;1000),(0.5+(M49-100)*0.25%),IF(AND(M49&gt;0,M49&lt;100),M49*0.5%)))))))</f>
        <v>1.2450000000000001</v>
      </c>
      <c r="M67" s="302">
        <f ca="1">ROUND(L67*0.9,1)</f>
        <v>1.1000000000000001</v>
      </c>
      <c r="N67" s="2537"/>
      <c r="Z67" s="1751"/>
      <c r="AI67" s="1752"/>
    </row>
    <row r="68" spans="1:35" ht="14.25" hidden="1" customHeight="1" thickBot="1">
      <c r="A68" s="176" t="s">
        <v>329</v>
      </c>
      <c r="B68" s="177" t="s">
        <v>1389</v>
      </c>
      <c r="C68" s="2563">
        <f ca="1">IF(C67&lt;=0,0,ROUND(C67*D68,0))</f>
        <v>21</v>
      </c>
      <c r="D68" s="2564">
        <f>'数据-取费表'!B41</f>
        <v>5.6000000000000001E-2</v>
      </c>
      <c r="E68" s="178"/>
      <c r="F68" s="1807"/>
      <c r="G68" s="1807"/>
      <c r="H68" s="1809"/>
      <c r="I68" s="129"/>
      <c r="J68" s="3562"/>
      <c r="K68" s="1331" t="s">
        <v>1390</v>
      </c>
      <c r="L68" s="1331">
        <f ca="1">IF(M49&gt;10000,M49*0.5%,IF(AND(M49&gt;5000,M49&lt;=10000),M49*1%,IF(AND(M49&gt;1000,M49&lt;=5000),M49*2%,IF(AND(M49&gt;200,M49&lt;=1000),M49*3%,M49*5%))))</f>
        <v>11.94</v>
      </c>
      <c r="M68" s="302">
        <f ca="1">ROUND(L68,1)</f>
        <v>11.9</v>
      </c>
      <c r="N68" s="2537"/>
      <c r="Z68" s="1751"/>
      <c r="AI68" s="1752"/>
    </row>
    <row r="69" spans="1:35" s="1771" customFormat="1" ht="16.5" hidden="1" customHeight="1">
      <c r="A69" s="1810"/>
      <c r="B69" s="1811"/>
      <c r="C69" s="1812"/>
      <c r="D69" s="1813"/>
      <c r="E69" s="1814"/>
      <c r="F69" s="1577"/>
      <c r="G69" s="1577"/>
      <c r="H69" s="1576"/>
      <c r="I69" s="1746"/>
      <c r="J69" s="3562"/>
      <c r="K69" s="1331" t="s">
        <v>1391</v>
      </c>
      <c r="L69" s="1331"/>
      <c r="M69" s="302">
        <f ca="1">ROUND(SUM(M63:M68),0)</f>
        <v>33</v>
      </c>
      <c r="N69" s="2539">
        <f ca="1">M69/M49</f>
        <v>8.2914572864321606E-2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hidden="1" thickBot="1">
      <c r="A70" s="3606" t="s">
        <v>1392</v>
      </c>
      <c r="B70" s="3607"/>
      <c r="C70" s="3607"/>
      <c r="D70" s="3607"/>
      <c r="E70" s="3607"/>
      <c r="F70" s="3607"/>
      <c r="G70" s="3607"/>
      <c r="H70" s="3607"/>
      <c r="I70" s="1815"/>
      <c r="J70" s="2685"/>
      <c r="K70" s="2685"/>
      <c r="L70" s="2685"/>
      <c r="M70" s="2685"/>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598" t="s">
        <v>1373</v>
      </c>
      <c r="B71" s="3599"/>
      <c r="C71" s="2018"/>
      <c r="D71" s="2018" t="s">
        <v>1374</v>
      </c>
      <c r="E71" s="179" t="s">
        <v>1375</v>
      </c>
      <c r="F71" s="180"/>
      <c r="G71" s="180"/>
      <c r="H71" s="181"/>
      <c r="I71" s="1819"/>
      <c r="J71" s="2685"/>
      <c r="K71" s="2685"/>
      <c r="L71" s="2685"/>
      <c r="M71" s="2685"/>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1393</v>
      </c>
      <c r="C72" s="2562">
        <f ca="1">ROUND(D45/(1+'数据-取费表'!C42),0)</f>
        <v>379</v>
      </c>
      <c r="D72" s="170" t="s">
        <v>26</v>
      </c>
      <c r="E72" s="2328"/>
      <c r="F72" s="2327"/>
      <c r="G72" s="2327"/>
      <c r="H72" s="182"/>
      <c r="I72" s="1819"/>
      <c r="J72" s="2685"/>
      <c r="K72" s="2685"/>
      <c r="L72" s="2685"/>
      <c r="M72" s="2685"/>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1394</v>
      </c>
      <c r="C73" s="2562">
        <f ca="1">C74+C78</f>
        <v>2</v>
      </c>
      <c r="D73" s="170" t="s">
        <v>26</v>
      </c>
      <c r="E73" s="2328"/>
      <c r="F73" s="2327"/>
      <c r="G73" s="2327"/>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1395</v>
      </c>
      <c r="C74" s="170">
        <f>ROUND(IF(G77="2016年5月1日后购买",C75/(1+'数据-取费表'!C42)+C76+C77,C75+C76+C77),0)</f>
        <v>0</v>
      </c>
      <c r="D74" s="170" t="s">
        <v>26</v>
      </c>
      <c r="E74" s="2328"/>
      <c r="F74" s="2327"/>
      <c r="G74" s="2327"/>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1396</v>
      </c>
      <c r="C75" s="2565"/>
      <c r="D75" s="170" t="s">
        <v>26</v>
      </c>
      <c r="E75" s="184" t="s">
        <v>1397</v>
      </c>
      <c r="F75" s="2566" t="s">
        <v>3394</v>
      </c>
      <c r="G75" s="184" t="s">
        <v>1398</v>
      </c>
      <c r="H75" s="2567"/>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1399</v>
      </c>
      <c r="C76" s="170">
        <f>IF(F75="购房发票",ROUND(C75*H75*D76,0),0)</f>
        <v>0</v>
      </c>
      <c r="D76" s="2568">
        <v>0.05</v>
      </c>
      <c r="E76" s="3603" t="s">
        <v>1400</v>
      </c>
      <c r="F76" s="3602"/>
      <c r="G76" s="3602"/>
      <c r="H76" s="360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1401</v>
      </c>
      <c r="C77" s="170">
        <f>ROUND(IF(G77="个人住宅",0,IF(G77="2016年5月1日前购买",C75*D77,C75*D77/(1+'数据-取费表'!C42))),0)</f>
        <v>0</v>
      </c>
      <c r="D77" s="2569">
        <f>'数据-取费表'!B48+'数据-取费表'!B49</f>
        <v>3.0499999999999999E-2</v>
      </c>
      <c r="E77" s="2321" t="s">
        <v>1402</v>
      </c>
      <c r="F77" s="186"/>
      <c r="G77" s="1821" t="s">
        <v>3395</v>
      </c>
      <c r="H77" s="2329"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1403</v>
      </c>
      <c r="C78" s="2570">
        <f ca="1">ROUND(D45*D78/(1+'数据-取费表'!C42),0)</f>
        <v>2</v>
      </c>
      <c r="D78" s="2571">
        <f>'数据-取费表'!B43</f>
        <v>6.000000000000001E-3</v>
      </c>
      <c r="E78" s="3595" t="s">
        <v>1404</v>
      </c>
      <c r="F78" s="3596"/>
      <c r="G78" s="3596"/>
      <c r="H78" s="359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334</v>
      </c>
      <c r="B79" s="174" t="s">
        <v>1405</v>
      </c>
      <c r="C79" s="2562">
        <f ca="1">C72-C73</f>
        <v>377</v>
      </c>
      <c r="D79" s="170" t="s">
        <v>26</v>
      </c>
      <c r="E79" s="2328"/>
      <c r="F79" s="2327"/>
      <c r="G79" s="2327"/>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1406</v>
      </c>
      <c r="C80" s="2572">
        <f ca="1">IF(C79&lt;=0,0,C79/C73)</f>
        <v>188.5</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1407</v>
      </c>
      <c r="C81" s="2573">
        <f ca="1">ROUND(IF(C79&lt;=0,0,IF(C80&gt;=200%,C79*60%-C73*35%,IF(C80&gt;=100%,C79*50%-C73*15%,IF(C80&gt;=50%,C79*40%-C73*5%,IF(C80&lt;50%,C79*30%,0))))),0)</f>
        <v>226</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06" t="s">
        <v>1408</v>
      </c>
      <c r="B83" s="3607"/>
      <c r="C83" s="3607"/>
      <c r="D83" s="3607"/>
      <c r="E83" s="3607"/>
      <c r="F83" s="3607"/>
      <c r="G83" s="3607"/>
      <c r="H83" s="360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598" t="s">
        <v>1373</v>
      </c>
      <c r="B84" s="3599"/>
      <c r="C84" s="2018"/>
      <c r="D84" s="2018"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1393</v>
      </c>
      <c r="C85" s="2562">
        <f ca="1">ROUND(D45/(1+'数据-取费表'!C42),0)</f>
        <v>379</v>
      </c>
      <c r="D85" s="170" t="s">
        <v>26</v>
      </c>
      <c r="E85" s="2328"/>
      <c r="F85" s="2327"/>
      <c r="G85" s="2327"/>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1394</v>
      </c>
      <c r="C86" s="2562">
        <f ca="1">IF(H88="仅含出让金",C87+C90+C91+C92+C93+C94,C87+C91+C92+C93+C94)</f>
        <v>2</v>
      </c>
      <c r="D86" s="2575"/>
      <c r="E86" s="2328"/>
      <c r="F86" s="2327"/>
      <c r="G86" s="2327"/>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1409</v>
      </c>
      <c r="C87" s="2570">
        <f>C88+C89</f>
        <v>0</v>
      </c>
      <c r="D87" s="2571"/>
      <c r="E87" s="2323"/>
      <c r="F87" s="2324"/>
      <c r="G87" s="2324"/>
      <c r="H87" s="232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1410</v>
      </c>
      <c r="C88" s="2576"/>
      <c r="D88" s="2571"/>
      <c r="E88" s="193" t="s">
        <v>1411</v>
      </c>
      <c r="F88" s="2324"/>
      <c r="G88" s="194" t="s">
        <v>1412</v>
      </c>
      <c r="H88" s="1823" t="s">
        <v>3396</v>
      </c>
      <c r="I88" s="1820"/>
      <c r="J88" s="2515" t="s">
        <v>2274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1401</v>
      </c>
      <c r="C89" s="2570">
        <f>ROUND(C88*D89,0)</f>
        <v>0</v>
      </c>
      <c r="D89" s="2571">
        <f>'数据-取费表'!B48+'数据-取费表'!B49</f>
        <v>3.0499999999999999E-2</v>
      </c>
      <c r="E89" s="193" t="s">
        <v>1413</v>
      </c>
      <c r="F89" s="2324"/>
      <c r="G89" s="2324"/>
      <c r="H89" s="232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1414</v>
      </c>
      <c r="C90" s="2576"/>
      <c r="D90" s="2571"/>
      <c r="E90" s="193" t="str">
        <f>IF(H88="-","土地取得成本中已包含该笔费用"," ")</f>
        <v xml:space="preserve"> </v>
      </c>
      <c r="F90" s="2324"/>
      <c r="G90" s="3564" t="s">
        <v>2127</v>
      </c>
      <c r="H90" s="3565"/>
      <c r="I90" s="1820"/>
      <c r="J90" s="2515" t="s">
        <v>2275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1415</v>
      </c>
      <c r="B91" s="170" t="s">
        <v>1416</v>
      </c>
      <c r="C91" s="2570">
        <f>IF(H91="——",成本法!C33,I91)</f>
        <v>0</v>
      </c>
      <c r="D91" s="2571"/>
      <c r="E91" s="3595" t="s">
        <v>1417</v>
      </c>
      <c r="F91" s="3596"/>
      <c r="G91" s="359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1418</v>
      </c>
      <c r="B92" s="170" t="s">
        <v>1419</v>
      </c>
      <c r="C92" s="2570">
        <f>ROUND((C87+C90+C91)*D92,0)</f>
        <v>0</v>
      </c>
      <c r="D92" s="2577"/>
      <c r="E92" s="3595" t="s">
        <v>1420</v>
      </c>
      <c r="F92" s="3596"/>
      <c r="G92" s="3596"/>
      <c r="H92" s="3597"/>
      <c r="I92" s="1820"/>
      <c r="J92" s="2516" t="s">
        <v>2276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1421</v>
      </c>
      <c r="B93" s="170" t="s">
        <v>1403</v>
      </c>
      <c r="C93" s="2570">
        <f ca="1">ROUND(D45*D93/(1+'数据-取费表'!C42),0)</f>
        <v>2</v>
      </c>
      <c r="D93" s="2571">
        <f>'数据-取费表'!B43</f>
        <v>6.000000000000001E-3</v>
      </c>
      <c r="E93" s="3595" t="s">
        <v>1404</v>
      </c>
      <c r="F93" s="3596"/>
      <c r="G93" s="3596"/>
      <c r="H93" s="359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1422</v>
      </c>
      <c r="B94" s="170" t="s">
        <v>1423</v>
      </c>
      <c r="C94" s="2576">
        <f>ROUND((C87+C90+C91)*D94,0)</f>
        <v>0</v>
      </c>
      <c r="D94" s="2571">
        <v>0.2</v>
      </c>
      <c r="E94" s="3640" t="s">
        <v>1424</v>
      </c>
      <c r="F94" s="3641"/>
      <c r="G94" s="3641"/>
      <c r="H94" s="364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1405</v>
      </c>
      <c r="C95" s="2562">
        <f ca="1">ROUND(C85-C86,0)</f>
        <v>377</v>
      </c>
      <c r="D95" s="170" t="s">
        <v>26</v>
      </c>
      <c r="E95" s="2328"/>
      <c r="F95" s="2327"/>
      <c r="G95" s="2327"/>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1406</v>
      </c>
      <c r="C96" s="2572">
        <f ca="1">IF(C95&lt;=0,0,C95/C86)</f>
        <v>188.5</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1407</v>
      </c>
      <c r="C97" s="2573">
        <f ca="1">ROUND(IF(C95&lt;=0,0,IF(C96&gt;=200%,C95*60%-C86*35%,IF(C96&gt;=100%,C95*50%-C86*15%,IF(C96&gt;=50%,C95*40%-C86*5%,IF(C96&lt;50%,C95*30%,0))))),0)</f>
        <v>226</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hidden="1"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45" t="s">
        <v>1426</v>
      </c>
      <c r="B100" s="3546"/>
      <c r="C100" s="3546"/>
      <c r="D100" s="3580"/>
      <c r="E100" s="3546" t="s">
        <v>1427</v>
      </c>
      <c r="F100" s="3546"/>
      <c r="G100" s="3546"/>
      <c r="H100" s="3580"/>
      <c r="I100" s="129"/>
    </row>
    <row r="101" spans="1:35" ht="18.75" customHeight="1">
      <c r="A101" s="3588" t="s">
        <v>1428</v>
      </c>
      <c r="B101" s="3589"/>
      <c r="C101" s="2579" t="str">
        <f>C4</f>
        <v>成本法 (元)</v>
      </c>
      <c r="D101" s="2580" t="str">
        <f>D4</f>
        <v>收益法 (元)</v>
      </c>
      <c r="E101" s="3558" t="s">
        <v>1429</v>
      </c>
      <c r="F101" s="3559"/>
      <c r="G101" s="1826" t="s">
        <v>1430</v>
      </c>
      <c r="H101" s="2589">
        <f ca="1">H118</f>
        <v>398</v>
      </c>
      <c r="I101" s="129"/>
    </row>
    <row r="102" spans="1:35" ht="18.75" customHeight="1">
      <c r="A102" s="3590" t="s">
        <v>1431</v>
      </c>
      <c r="B102" s="2578" t="s">
        <v>1430</v>
      </c>
      <c r="C102" s="2579">
        <f ca="1">IF(D32="楼面单价",ROUND(C19,0),C19)</f>
        <v>591</v>
      </c>
      <c r="D102" s="2580">
        <f ca="1">IF(D32="楼面单价",ROUND(D19,0),D19)</f>
        <v>269</v>
      </c>
      <c r="E102" s="3558"/>
      <c r="F102" s="3559"/>
      <c r="G102" s="1826" t="s">
        <v>1432</v>
      </c>
      <c r="H102" s="2549">
        <f ca="1">I118</f>
        <v>33001</v>
      </c>
      <c r="I102" s="129"/>
    </row>
    <row r="103" spans="1:35" ht="42.75" customHeight="1">
      <c r="A103" s="3590"/>
      <c r="B103" s="2578" t="s">
        <v>1432</v>
      </c>
      <c r="C103" s="2581">
        <f ca="1">C20</f>
        <v>49038</v>
      </c>
      <c r="D103" s="2582">
        <f ca="1">D20</f>
        <v>22309</v>
      </c>
      <c r="E103" s="3551" t="s">
        <v>1433</v>
      </c>
      <c r="F103" s="3552"/>
      <c r="G103" s="1827" t="s">
        <v>1434</v>
      </c>
      <c r="H103" s="2589">
        <f>IF(D36="正常操作",H104+H105+H106,H105+H106)</f>
        <v>0</v>
      </c>
      <c r="I103" s="129"/>
    </row>
    <row r="104" spans="1:35" ht="18.75" customHeight="1">
      <c r="A104" s="3590" t="s">
        <v>1435</v>
      </c>
      <c r="B104" s="2583" t="s">
        <v>1430</v>
      </c>
      <c r="C104" s="2584">
        <f ca="1">H118</f>
        <v>398</v>
      </c>
      <c r="D104" s="2585"/>
      <c r="E104" s="1673" t="s">
        <v>1436</v>
      </c>
      <c r="F104" s="1665"/>
      <c r="G104" s="1827" t="s">
        <v>1434</v>
      </c>
      <c r="H104" s="2590">
        <f>IF(D36="同一抵押权人同一抵押物续贷",C36&amp;"（续贷，未扣减，详见特别提示）",C36)</f>
        <v>0</v>
      </c>
      <c r="I104" s="129"/>
    </row>
    <row r="105" spans="1:35" ht="18.75" customHeight="1" thickBot="1">
      <c r="A105" s="3600"/>
      <c r="B105" s="2586" t="s">
        <v>1432</v>
      </c>
      <c r="C105" s="2587">
        <f ca="1">I118</f>
        <v>33001</v>
      </c>
      <c r="D105" s="2588"/>
      <c r="E105" s="1673" t="s">
        <v>1437</v>
      </c>
      <c r="F105" s="1665"/>
      <c r="G105" s="1827" t="s">
        <v>1434</v>
      </c>
      <c r="H105" s="2591">
        <f>C37</f>
        <v>0</v>
      </c>
      <c r="I105" s="129"/>
    </row>
    <row r="106" spans="1:35" ht="18.75" customHeight="1">
      <c r="A106" s="1746" t="s">
        <v>1438</v>
      </c>
      <c r="B106" s="1746"/>
      <c r="C106" s="1746"/>
      <c r="D106" s="1746"/>
      <c r="E106" s="1828" t="s">
        <v>1439</v>
      </c>
      <c r="F106" s="1665"/>
      <c r="G106" s="1827" t="s">
        <v>1434</v>
      </c>
      <c r="H106" s="2591">
        <f>C38</f>
        <v>0</v>
      </c>
      <c r="I106" s="129"/>
    </row>
    <row r="107" spans="1:35" ht="18.75" customHeight="1">
      <c r="A107" s="129"/>
      <c r="B107" s="129"/>
      <c r="C107" s="129"/>
      <c r="D107" s="129"/>
      <c r="E107" s="3591" t="str">
        <f>IF(项目基本情况!E8="已注销","——","3.房地产抵押价值")</f>
        <v>3.房地产抵押价值</v>
      </c>
      <c r="F107" s="3559"/>
      <c r="G107" s="1826" t="s">
        <v>1430</v>
      </c>
      <c r="H107" s="2589">
        <f ca="1">IF(E107="——","——",H101-H103)</f>
        <v>398</v>
      </c>
      <c r="I107" s="129"/>
    </row>
    <row r="108" spans="1:35" ht="18.75" customHeight="1">
      <c r="A108" s="129"/>
      <c r="B108" s="129"/>
      <c r="C108" s="129"/>
      <c r="D108" s="129"/>
      <c r="E108" s="3591"/>
      <c r="F108" s="3559"/>
      <c r="G108" s="1826" t="s">
        <v>1432</v>
      </c>
      <c r="H108" s="2549">
        <f ca="1">IF(H107=H101,H102,ROUND(H107*10000/'数据-汇总表'!E3,0))</f>
        <v>33001</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59"/>
      <c r="G109" s="1826" t="s">
        <v>1430</v>
      </c>
      <c r="H109" s="2592" t="str">
        <f>IF(E109="——","——",H101-H105-H106)</f>
        <v>——</v>
      </c>
      <c r="I109" s="129"/>
    </row>
    <row r="110" spans="1:35" ht="18.75" customHeight="1">
      <c r="A110" s="129"/>
      <c r="B110" s="129"/>
      <c r="C110" s="129"/>
      <c r="D110" s="129"/>
      <c r="E110" s="3591"/>
      <c r="F110" s="3559"/>
      <c r="G110" s="1826" t="s">
        <v>1432</v>
      </c>
      <c r="H110" s="2549" t="str">
        <f>IF(H109="——","——",ROUND(H109*10000/'数据-汇总表'!E3,0))</f>
        <v>——</v>
      </c>
      <c r="I110" s="129"/>
    </row>
    <row r="111" spans="1:35" ht="18.75" customHeight="1">
      <c r="A111" s="129"/>
      <c r="B111" s="129"/>
      <c r="C111" s="129"/>
      <c r="D111" s="129"/>
      <c r="E111" s="3592" t="str">
        <f>IF(项目基本情况!E9="抵押净值",IF(OR(项目基本情况!E8="已注销",项目基本情况!E8="房地产抵押价值"),"4.抵押净值","5.抵押净值"),"——")</f>
        <v>——</v>
      </c>
      <c r="F111" s="3578"/>
      <c r="G111" s="1826" t="s">
        <v>1430</v>
      </c>
      <c r="H111" s="2589" t="str">
        <f>IF(E111="——","——",N59)</f>
        <v>——</v>
      </c>
      <c r="I111" s="129"/>
    </row>
    <row r="112" spans="1:35" ht="18.75" customHeight="1" thickBot="1">
      <c r="A112" s="129"/>
      <c r="B112" s="129"/>
      <c r="C112" s="129"/>
      <c r="D112" s="129"/>
      <c r="E112" s="3593"/>
      <c r="F112" s="3594"/>
      <c r="G112" s="1829" t="s">
        <v>1432</v>
      </c>
      <c r="H112" s="2593" t="str">
        <f>IF(E111="——","——",N61)</f>
        <v>——</v>
      </c>
      <c r="I112" s="129"/>
    </row>
    <row r="113" spans="1:27" ht="18.75" customHeight="1">
      <c r="A113" s="129"/>
      <c r="B113" s="129"/>
      <c r="C113" s="129"/>
      <c r="D113" s="129"/>
      <c r="E113" s="3601" t="s">
        <v>1438</v>
      </c>
      <c r="F113" s="3601"/>
      <c r="G113" s="3601"/>
      <c r="H113" s="3601"/>
      <c r="I113" s="129"/>
    </row>
    <row r="114" spans="1:27" ht="3.75" customHeight="1">
      <c r="A114" s="1746"/>
      <c r="B114" s="1746"/>
      <c r="C114" s="1746"/>
      <c r="D114" s="1746"/>
      <c r="E114" s="1808"/>
      <c r="F114" s="1808"/>
      <c r="G114" s="1808"/>
      <c r="H114" s="1808"/>
      <c r="I114" s="1746"/>
    </row>
    <row r="115" spans="1:27" ht="18.75" customHeight="1">
      <c r="A115" s="3609" t="s">
        <v>1440</v>
      </c>
      <c r="B115" s="3610"/>
      <c r="C115" s="3610"/>
      <c r="D115" s="3610"/>
      <c r="E115" s="3610"/>
      <c r="F115" s="3610"/>
      <c r="G115" s="3610"/>
      <c r="H115" s="3610"/>
      <c r="I115" s="3611"/>
    </row>
    <row r="116" spans="1:27" ht="27" customHeight="1">
      <c r="A116" s="3566" t="s">
        <v>1441</v>
      </c>
      <c r="B116" s="3570" t="s">
        <v>1442</v>
      </c>
      <c r="C116" s="3570" t="s">
        <v>1443</v>
      </c>
      <c r="D116" s="3576" t="s">
        <v>1444</v>
      </c>
      <c r="E116" s="3577"/>
      <c r="F116" s="3608" t="s">
        <v>1445</v>
      </c>
      <c r="G116" s="3608"/>
      <c r="H116" s="3566" t="s">
        <v>1446</v>
      </c>
      <c r="I116" s="3566"/>
    </row>
    <row r="117" spans="1:27" ht="18.75" customHeight="1">
      <c r="A117" s="3566"/>
      <c r="B117" s="3571"/>
      <c r="C117" s="3571"/>
      <c r="D117" s="2326" t="s">
        <v>1447</v>
      </c>
      <c r="E117" s="2326" t="s">
        <v>1448</v>
      </c>
      <c r="F117" s="2326" t="s">
        <v>1447</v>
      </c>
      <c r="G117" s="2326" t="s">
        <v>1449</v>
      </c>
      <c r="H117" s="2326" t="s">
        <v>1447</v>
      </c>
      <c r="I117" s="2326" t="s">
        <v>1449</v>
      </c>
    </row>
    <row r="118" spans="1:27" ht="24.75" customHeight="1">
      <c r="A118" s="2594" t="str">
        <f>项目基本情况!S2</f>
        <v>北京市朝阳区日坛北路17号院1号楼7层728号房地产</v>
      </c>
      <c r="B118" s="2326">
        <f>M18</f>
        <v>120.57</v>
      </c>
      <c r="C118" s="2326">
        <f>M19</f>
        <v>30.64</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f ca="1">ROUND(IF(D32="总价",C32,I118*B118/10000),0)</f>
        <v>398</v>
      </c>
      <c r="I118" s="2326">
        <f ca="1">ROUND(IF(D32="楼面单价",C32,H118*10000/B118),0)</f>
        <v>33001</v>
      </c>
    </row>
    <row r="119" spans="1:27" ht="18.75" customHeight="1">
      <c r="A119" s="3566" t="s">
        <v>1450</v>
      </c>
      <c r="B119" s="3566"/>
      <c r="C119" s="3566"/>
      <c r="D119" s="3572" t="e">
        <f ca="1">NUMBERSTRING(INT(D118*10000),2)&amp;"元整"</f>
        <v>#REF!</v>
      </c>
      <c r="E119" s="3573"/>
      <c r="F119" s="3572" t="e">
        <f ca="1">NUMBERSTRING(INT(F118*10000),2)&amp;"元整"</f>
        <v>#REF!</v>
      </c>
      <c r="G119" s="3573"/>
      <c r="H119" s="3572" t="str">
        <f ca="1">NUMBERSTRING(INT(H118*10000),2)&amp;"元整"</f>
        <v>叁佰玖拾捌万元整</v>
      </c>
      <c r="I119" s="3573"/>
    </row>
    <row r="120" spans="1:27" ht="18.75" customHeight="1">
      <c r="A120" s="3567" t="str">
        <f>IF(项目基本情况!B9="房地产市场价值","",MID(E103,3,LEN(E103)-2))</f>
        <v/>
      </c>
      <c r="B120" s="3568"/>
      <c r="C120" s="3569"/>
      <c r="D120" s="3567">
        <f>H103</f>
        <v>0</v>
      </c>
      <c r="E120" s="3568"/>
      <c r="F120" s="3568"/>
      <c r="G120" s="3568"/>
      <c r="H120" s="3568"/>
      <c r="I120" s="3569"/>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72" t="s">
        <v>1450</v>
      </c>
      <c r="B121" s="3574"/>
      <c r="C121" s="3573"/>
      <c r="D121" s="3572" t="str">
        <f>IF(D120=0,"零元整",NUMBERSTRING(INT(D120*10000),2)&amp;"元整")</f>
        <v>零元整</v>
      </c>
      <c r="E121" s="3574"/>
      <c r="F121" s="3574"/>
      <c r="G121" s="3574"/>
      <c r="H121" s="3574"/>
      <c r="I121" s="3573"/>
      <c r="AA121" s="724"/>
    </row>
    <row r="122" spans="1:27" ht="18.75" customHeight="1">
      <c r="A122" s="3578" t="str">
        <f>IF(项目基本情况!B9="房地产市场价值","",MID(E107,3,LEN(E107)-2))</f>
        <v/>
      </c>
      <c r="B122" s="3578"/>
      <c r="C122" s="3578"/>
      <c r="D122" s="3567">
        <f ca="1">H107</f>
        <v>398</v>
      </c>
      <c r="E122" s="3568"/>
      <c r="F122" s="3568"/>
      <c r="G122" s="3568"/>
      <c r="H122" s="3568"/>
      <c r="I122" s="3569"/>
      <c r="AA122" s="724"/>
    </row>
    <row r="123" spans="1:27" ht="18.75" customHeight="1">
      <c r="A123" s="3566" t="s">
        <v>1450</v>
      </c>
      <c r="B123" s="3566"/>
      <c r="C123" s="3566"/>
      <c r="D123" s="3572" t="str">
        <f ca="1">NUMBERSTRING(INT(D122*10000),2)&amp;"元整"</f>
        <v>叁佰玖拾捌万元整</v>
      </c>
      <c r="E123" s="3574"/>
      <c r="F123" s="3574"/>
      <c r="G123" s="3574"/>
      <c r="H123" s="3574"/>
      <c r="I123" s="3573"/>
      <c r="AA123" s="724"/>
    </row>
    <row r="124" spans="1:27" ht="18.75" customHeight="1">
      <c r="A124" s="3578" t="str">
        <f>IF(项目基本情况!B9="房地产市场价值","",MID(E109,3,LEN(E109)-2))</f>
        <v/>
      </c>
      <c r="B124" s="3578"/>
      <c r="C124" s="3578"/>
      <c r="D124" s="3567" t="str">
        <f>H109</f>
        <v>——</v>
      </c>
      <c r="E124" s="3568"/>
      <c r="F124" s="3568"/>
      <c r="G124" s="3568"/>
      <c r="H124" s="3568"/>
      <c r="I124" s="3569"/>
      <c r="AA124" s="724"/>
    </row>
    <row r="125" spans="1:27" ht="18.75" customHeight="1">
      <c r="A125" s="3566" t="s">
        <v>1450</v>
      </c>
      <c r="B125" s="3566"/>
      <c r="C125" s="3566"/>
      <c r="D125" s="3572" t="e">
        <f>NUMBERSTRING(INT(D124*10000),2)&amp;"元整"</f>
        <v>#VALUE!</v>
      </c>
      <c r="E125" s="3574"/>
      <c r="F125" s="3574"/>
      <c r="G125" s="3574"/>
      <c r="H125" s="3574"/>
      <c r="I125" s="3573"/>
      <c r="AA125" s="724"/>
    </row>
    <row r="126" spans="1:27" ht="18.75" customHeight="1">
      <c r="A126" s="3578" t="str">
        <f>IF(项目基本情况!B9="房地产市场价值","",MID(E111,3,LEN(E111)-2))</f>
        <v/>
      </c>
      <c r="B126" s="3578"/>
      <c r="C126" s="3578"/>
      <c r="D126" s="3567" t="str">
        <f>H111</f>
        <v>——</v>
      </c>
      <c r="E126" s="3568"/>
      <c r="F126" s="3568"/>
      <c r="G126" s="3568"/>
      <c r="H126" s="3568"/>
      <c r="I126" s="3569"/>
      <c r="AA126" s="724"/>
    </row>
    <row r="127" spans="1:27" ht="18.75" customHeight="1">
      <c r="A127" s="3566" t="s">
        <v>1450</v>
      </c>
      <c r="B127" s="3566"/>
      <c r="C127" s="3566"/>
      <c r="D127" s="3572" t="e">
        <f>NUMBERSTRING(INT(D126*10000),2)&amp;"元整"</f>
        <v>#VALUE!</v>
      </c>
      <c r="E127" s="3574"/>
      <c r="F127" s="3574"/>
      <c r="G127" s="3574"/>
      <c r="H127" s="3574"/>
      <c r="I127" s="3573"/>
      <c r="AA127" s="724"/>
    </row>
    <row r="128" spans="1:27" ht="21.75" customHeight="1">
      <c r="A128" s="3575" t="s">
        <v>1451</v>
      </c>
      <c r="B128" s="3575"/>
      <c r="C128" s="3575"/>
      <c r="D128" s="3575"/>
      <c r="E128" s="3575"/>
      <c r="F128" s="3575"/>
      <c r="G128" s="3575"/>
      <c r="H128" s="3575"/>
      <c r="I128" s="3575"/>
      <c r="AA128" s="724"/>
    </row>
    <row r="129" spans="1:35" ht="21.75" customHeight="1">
      <c r="A129" s="1830" t="s">
        <v>1452</v>
      </c>
      <c r="B129" s="1831"/>
      <c r="C129" s="1832" t="s">
        <v>1453</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1454</v>
      </c>
      <c r="G135" s="1847"/>
      <c r="H135" s="1847"/>
      <c r="I135" s="1848" t="s">
        <v>1455</v>
      </c>
    </row>
    <row r="136" spans="1:35" ht="21.75" customHeight="1">
      <c r="A136" s="724"/>
      <c r="B136" s="1849"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1457</v>
      </c>
    </row>
    <row r="139" spans="1:35" ht="21.75" customHeight="1">
      <c r="A139" s="724"/>
      <c r="B139" s="1849" t="s">
        <v>1458</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1457</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5" zoomScale="90" zoomScaleNormal="70" zoomScaleSheetLayoutView="9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9"/>
      <c r="C1" s="198"/>
      <c r="D1" s="198"/>
      <c r="E1" s="198"/>
      <c r="F1" s="198"/>
      <c r="G1" s="1125">
        <f>MATCH(B1,'数据-取费表'!A6:A16,0)+5</f>
        <v>7</v>
      </c>
    </row>
    <row r="2" spans="1:9" s="200" customFormat="1" ht="18" customHeight="1">
      <c r="A2" s="201" t="s">
        <v>1460</v>
      </c>
      <c r="B2" s="202">
        <f ca="1">IF(D2="——",C52,C52-E2)</f>
        <v>70</v>
      </c>
      <c r="C2" s="199" t="s">
        <v>1461</v>
      </c>
      <c r="D2" s="1852" t="s">
        <v>43</v>
      </c>
      <c r="E2" s="1168" t="e">
        <f ca="1">SUMIF(INDIRECT("'"&amp;G2&amp;"'"&amp;"!A:A"),"承租人权益价值",INDIRECT("'"&amp;G2&amp;"'"&amp;"!c:c"))</f>
        <v>#REF!</v>
      </c>
      <c r="F2" s="1853" t="s">
        <v>1461</v>
      </c>
      <c r="G2" s="1854"/>
    </row>
    <row r="3" spans="1:9" s="200" customFormat="1" ht="18" customHeight="1" thickBot="1">
      <c r="A3" s="203" t="s">
        <v>1462</v>
      </c>
      <c r="B3" s="204">
        <f ca="1">ROUND(B2*10000/(IF(B1="",'数据-汇总表'!E3,INDIRECT("'数据-取费表'!k"&amp;$G$1))),0)</f>
        <v>5806</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2.4114</v>
      </c>
      <c r="D5" s="211" t="s">
        <v>1467</v>
      </c>
      <c r="E5" s="212" t="s">
        <v>1468</v>
      </c>
      <c r="F5" s="212" t="s">
        <v>1469</v>
      </c>
      <c r="G5" s="213"/>
    </row>
    <row r="6" spans="1:9" s="214" customFormat="1" ht="13.5" customHeight="1">
      <c r="A6" s="777" t="s">
        <v>1470</v>
      </c>
      <c r="B6" s="215" t="s">
        <v>1471</v>
      </c>
      <c r="C6" s="216"/>
      <c r="D6" s="217"/>
      <c r="E6" s="218"/>
      <c r="F6" s="218"/>
      <c r="G6" s="219"/>
    </row>
    <row r="7" spans="1:9" s="214" customFormat="1" ht="13.5" customHeight="1">
      <c r="A7" s="777" t="s">
        <v>1472</v>
      </c>
      <c r="B7" s="215" t="s">
        <v>1473</v>
      </c>
      <c r="C7" s="220">
        <f>ROUND(C6*F7,0)</f>
        <v>0</v>
      </c>
      <c r="D7" s="220"/>
      <c r="E7" s="218"/>
      <c r="F7" s="221">
        <f>IF(项目基本情况!B8="出让",0,'数据-取费表'!B48+'数据-取费表'!B49)</f>
        <v>3.0499999999999999E-2</v>
      </c>
      <c r="G7" s="219"/>
    </row>
    <row r="8" spans="1:9" s="223" customFormat="1">
      <c r="A8" s="777" t="s">
        <v>1474</v>
      </c>
      <c r="B8" s="215" t="s">
        <v>1475</v>
      </c>
      <c r="C8" s="220">
        <f ca="1">IF(G8="已包含在土地购买价格中","0",IF(B1="",'数据-取费表'!B29,IF(G9="全部缴纳",C9+C10,H9)))</f>
        <v>2.4114</v>
      </c>
      <c r="D8" s="222"/>
      <c r="E8" s="220"/>
      <c r="F8" s="221"/>
      <c r="G8" s="1855" t="s">
        <v>3397</v>
      </c>
    </row>
    <row r="9" spans="1:9" s="214" customFormat="1" ht="13.5" customHeight="1">
      <c r="A9" s="778" t="s">
        <v>355</v>
      </c>
      <c r="B9" s="224" t="s">
        <v>1476</v>
      </c>
      <c r="C9" s="225">
        <f ca="1">ROUND(D9*E9/10000,0)</f>
        <v>0</v>
      </c>
      <c r="D9" s="844">
        <f ca="1">IF(B1="",'数据-汇总表'!E5,IF(INDIRECT("'数据-取费表'!c"&amp;$G$1)="住宅",INDIRECT("'数据-取费表'!k"&amp;$G$1),0))</f>
        <v>0</v>
      </c>
      <c r="E9" s="225">
        <f>'数据-取费表'!B27</f>
        <v>160</v>
      </c>
      <c r="F9" s="221"/>
      <c r="G9" s="1856"/>
      <c r="H9" s="1136"/>
      <c r="I9" s="1857" t="s">
        <v>1477</v>
      </c>
    </row>
    <row r="10" spans="1:9" s="214" customFormat="1" ht="13.5" customHeight="1">
      <c r="A10" s="778" t="s">
        <v>356</v>
      </c>
      <c r="B10" s="224" t="s">
        <v>1478</v>
      </c>
      <c r="C10" s="225">
        <f ca="1">ROUND(D10*E10/10000,0)</f>
        <v>2</v>
      </c>
      <c r="D10" s="844">
        <f ca="1">IF(B1="",'数据-汇总表'!E6,IF(INDIRECT("'数据-取费表'!c"&amp;$G$1)="住宅",INDIRECT("'数据-取费表'!s"&amp;$G$1),INDIRECT("'数据-取费表'!k"&amp;$G$1)+INDIRECT("'数据-取费表'!s"&amp;$G$1)))</f>
        <v>120.57</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t="str">
        <f>IF(G19="已包含在土地取得成本中","0",ROUND(D19*E19/10000,0))</f>
        <v>0</v>
      </c>
      <c r="D19" s="848">
        <f ca="1">D9+D10</f>
        <v>120.57</v>
      </c>
      <c r="E19" s="211">
        <f>'数据-取费表'!B31</f>
        <v>200</v>
      </c>
      <c r="F19" s="231"/>
      <c r="G19" s="1855" t="s">
        <v>3398</v>
      </c>
    </row>
    <row r="20" spans="1:7" s="214" customFormat="1" ht="13.5" customHeight="1">
      <c r="A20" s="255" t="s">
        <v>1491</v>
      </c>
      <c r="B20" s="210" t="s">
        <v>1492</v>
      </c>
      <c r="C20" s="232">
        <f ca="1">ROUND((C5+C19)*F20,0)</f>
        <v>0</v>
      </c>
      <c r="D20" s="232"/>
      <c r="E20" s="232"/>
      <c r="F20" s="233">
        <f>'数据-取费表'!B37</f>
        <v>0.03</v>
      </c>
      <c r="G20" s="234" t="s">
        <v>1493</v>
      </c>
    </row>
    <row r="21" spans="1:7" s="214" customFormat="1" ht="13.5" customHeight="1">
      <c r="A21" s="255" t="s">
        <v>1494</v>
      </c>
      <c r="B21" s="210" t="s">
        <v>1495</v>
      </c>
      <c r="C21" s="235">
        <f>F21</f>
        <v>0.03</v>
      </c>
      <c r="D21" s="236" t="s">
        <v>1496</v>
      </c>
      <c r="E21" s="232"/>
      <c r="F21" s="233">
        <f>'数据-取费表'!B38</f>
        <v>0.03</v>
      </c>
      <c r="G21" s="234" t="s">
        <v>1497</v>
      </c>
    </row>
    <row r="22" spans="1:7" s="214" customFormat="1" ht="13.5" customHeight="1">
      <c r="A22" s="255" t="s">
        <v>1498</v>
      </c>
      <c r="B22" s="210" t="s">
        <v>1499</v>
      </c>
      <c r="C22" s="1103">
        <f ca="1">ROUND(SUM(C23:C25),0)</f>
        <v>0</v>
      </c>
      <c r="D22" s="235">
        <f ca="1">C26</f>
        <v>1.2999999999999999E-3</v>
      </c>
      <c r="E22" s="236" t="s">
        <v>1496</v>
      </c>
      <c r="F22" s="237">
        <f ca="1">'数据-取费表'!B40</f>
        <v>3.5499999999999997E-2</v>
      </c>
      <c r="G22" s="234" t="str">
        <f>IF('数据-取费表'!B22&lt;=1,"单利计息","复利计息")</f>
        <v>复利计息</v>
      </c>
    </row>
    <row r="23" spans="1:7" s="214" customFormat="1" ht="13.5" customHeight="1">
      <c r="A23" s="779" t="s">
        <v>1500</v>
      </c>
      <c r="B23" s="215" t="s">
        <v>1501</v>
      </c>
      <c r="C23" s="1104">
        <f ca="1">ROUND(IF('数据-取费表'!B22&lt;=1,C5*F22*'数据-取费表'!B23,C5*(POWER((1+F22),'数据-取费表'!B23)-1)),0)</f>
        <v>0</v>
      </c>
      <c r="D23" s="238"/>
      <c r="E23" s="238"/>
      <c r="F23" s="239"/>
      <c r="G23" s="240" t="s">
        <v>1502</v>
      </c>
    </row>
    <row r="24" spans="1:7" s="214" customFormat="1" ht="13.5" customHeight="1">
      <c r="A24" s="779" t="s">
        <v>1503</v>
      </c>
      <c r="B24" s="215" t="s">
        <v>1504</v>
      </c>
      <c r="C24" s="1104">
        <f ca="1">ROUND(IF('数据-取费表'!B22&lt;=1,C19*F22*('数据-取费表'!B19/2+'数据-取费表'!B21),C19*(POWER((1+F22),('数据-取费表'!B19/2+'数据-取费表'!B21))-1)),0)</f>
        <v>0</v>
      </c>
      <c r="D24" s="238"/>
      <c r="E24" s="238"/>
      <c r="F24" s="239"/>
      <c r="G24" s="240" t="s">
        <v>1505</v>
      </c>
    </row>
    <row r="25" spans="1:7" s="214" customFormat="1" ht="24">
      <c r="A25" s="779" t="s">
        <v>1506</v>
      </c>
      <c r="B25" s="215" t="s">
        <v>1507</v>
      </c>
      <c r="C25" s="1104">
        <f ca="1">ROUND(IF('数据-取费表'!B22&lt;=1,C20*F22*'数据-取费表'!B23/2,C20*(POWER((1+F22),'数据-取费表'!B23/2)-1)),0)</f>
        <v>0</v>
      </c>
      <c r="D25" s="238"/>
      <c r="E25" s="241"/>
      <c r="F25" s="239"/>
      <c r="G25" s="242" t="s">
        <v>1508</v>
      </c>
    </row>
    <row r="26" spans="1:7" s="214" customFormat="1">
      <c r="A26" s="779" t="s">
        <v>350</v>
      </c>
      <c r="B26" s="215" t="s">
        <v>1509</v>
      </c>
      <c r="C26" s="238">
        <f ca="1">ROUND(IF('数据-取费表'!B22&lt;=1,F21*F22*'数据-取费表'!B23/2,F21*(POWER((1+F22),'数据-取费表'!B23/2)-1)),4)</f>
        <v>1.2999999999999999E-3</v>
      </c>
      <c r="D26" s="238"/>
      <c r="E26" s="241"/>
      <c r="F26" s="239"/>
      <c r="G26" s="243"/>
    </row>
    <row r="27" spans="1:7" s="214" customFormat="1" ht="24.75">
      <c r="A27" s="255" t="s">
        <v>1510</v>
      </c>
      <c r="B27" s="244" t="s">
        <v>1511</v>
      </c>
      <c r="C27" s="245">
        <f ca="1">C28</f>
        <v>0</v>
      </c>
      <c r="D27" s="235">
        <f ca="1">C29</f>
        <v>6.0000000000000001E-3</v>
      </c>
      <c r="E27" s="236" t="s">
        <v>1512</v>
      </c>
      <c r="F27" s="246">
        <f ca="1">IF(B1="",'数据-取费表'!Q16,INDIRECT("'数据-取费表'!q"&amp;$G$1))</f>
        <v>0.2</v>
      </c>
      <c r="G27" s="247" t="s">
        <v>1513</v>
      </c>
    </row>
    <row r="28" spans="1:7" s="214" customFormat="1" ht="13.5" customHeight="1">
      <c r="A28" s="779" t="s">
        <v>346</v>
      </c>
      <c r="B28" s="248" t="s">
        <v>1514</v>
      </c>
      <c r="C28" s="249">
        <f ca="1">ROUND((C5+C19+C20)*F27*'数据-取费表'!B21/'数据-取费表'!B20,0)</f>
        <v>0</v>
      </c>
      <c r="D28" s="235"/>
      <c r="E28" s="236"/>
      <c r="F28" s="246"/>
      <c r="G28" s="247"/>
    </row>
    <row r="29" spans="1:7" s="214" customFormat="1" ht="13.5" customHeight="1">
      <c r="A29" s="779" t="s">
        <v>347</v>
      </c>
      <c r="B29" s="248" t="s">
        <v>1515</v>
      </c>
      <c r="C29" s="238">
        <f ca="1">ROUND(C21*F27*'数据-取费表'!B21/'数据-取费表'!B20,4)</f>
        <v>6.0000000000000001E-3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3</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59</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54</v>
      </c>
      <c r="D34" s="217"/>
      <c r="E34" s="220"/>
      <c r="F34" s="257">
        <f ca="1">IF('数据-取费表'!B24=0,1,IF(B1="",'数据-取费表'!N16,INDIRECT("'数据-取费表'!n"&amp;$G$1)))</f>
        <v>1</v>
      </c>
      <c r="G34" s="219" t="s">
        <v>1524</v>
      </c>
    </row>
    <row r="35" spans="1:7" ht="13.5" customHeight="1">
      <c r="A35" s="779" t="s">
        <v>351</v>
      </c>
      <c r="B35" s="215" t="s">
        <v>1525</v>
      </c>
      <c r="C35" s="220">
        <f ca="1">ROUND(C34*F35,0)</f>
        <v>2</v>
      </c>
      <c r="D35" s="220"/>
      <c r="E35" s="220"/>
      <c r="F35" s="259">
        <f>'数据-取费表'!B33</f>
        <v>0.03</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9" t="s">
        <v>353</v>
      </c>
      <c r="B37" s="215" t="s">
        <v>1529</v>
      </c>
      <c r="C37" s="249">
        <f ca="1">ROUND(E37*D37*F34/10000,0)</f>
        <v>2</v>
      </c>
      <c r="D37" s="217">
        <f ca="1">D19</f>
        <v>120.57</v>
      </c>
      <c r="E37" s="249">
        <f>'数据-取费表'!B35</f>
        <v>200</v>
      </c>
      <c r="F37" s="259"/>
      <c r="G37" s="261" t="s">
        <v>1530</v>
      </c>
    </row>
    <row r="38" spans="1:7" ht="13.5" customHeight="1">
      <c r="A38" s="779" t="s">
        <v>354</v>
      </c>
      <c r="B38" s="215" t="s">
        <v>1531</v>
      </c>
      <c r="C38" s="220">
        <f ca="1">ROUND(C34*F38,0)</f>
        <v>1</v>
      </c>
      <c r="D38" s="220"/>
      <c r="E38" s="220"/>
      <c r="F38" s="259">
        <f>'数据-取费表'!B36</f>
        <v>1.4999999999999999E-2</v>
      </c>
      <c r="G38" s="219" t="s">
        <v>1526</v>
      </c>
    </row>
    <row r="39" spans="1:7" s="214" customFormat="1" ht="13.5" customHeight="1">
      <c r="A39" s="255" t="s">
        <v>1532</v>
      </c>
      <c r="B39" s="210" t="s">
        <v>1533</v>
      </c>
      <c r="C39" s="232">
        <f ca="1">ROUND(C33*F20,0)</f>
        <v>2</v>
      </c>
      <c r="D39" s="232"/>
      <c r="E39" s="232"/>
      <c r="F39" s="233">
        <f>F20</f>
        <v>0.03</v>
      </c>
      <c r="G39" s="234" t="s">
        <v>1534</v>
      </c>
    </row>
    <row r="40" spans="1:7" s="214" customFormat="1" ht="13.5" customHeight="1">
      <c r="A40" s="255" t="s">
        <v>1535</v>
      </c>
      <c r="B40" s="210" t="s">
        <v>1536</v>
      </c>
      <c r="C40" s="1326">
        <f>F21</f>
        <v>0.03</v>
      </c>
      <c r="D40" s="236" t="s">
        <v>1537</v>
      </c>
      <c r="E40" s="232"/>
      <c r="F40" s="233">
        <f>F21</f>
        <v>0.03</v>
      </c>
      <c r="G40" s="234" t="s">
        <v>1538</v>
      </c>
    </row>
    <row r="41" spans="1:7" s="214" customFormat="1" ht="13.5" customHeight="1">
      <c r="A41" s="255" t="s">
        <v>1539</v>
      </c>
      <c r="B41" s="210" t="s">
        <v>1540</v>
      </c>
      <c r="C41" s="232">
        <f ca="1">ROUND(SUM(C42:C43),0)</f>
        <v>3</v>
      </c>
      <c r="D41" s="235">
        <f ca="1">C44</f>
        <v>1.2999999999999999E-3</v>
      </c>
      <c r="E41" s="236" t="s">
        <v>1537</v>
      </c>
      <c r="F41" s="237">
        <f ca="1">F22</f>
        <v>3.5499999999999997E-2</v>
      </c>
      <c r="G41" s="234" t="str">
        <f>IF('数据-取费表'!B22&lt;=1,"单利计息","复利计息")</f>
        <v>复利计息</v>
      </c>
    </row>
    <row r="42" spans="1:7" ht="13.5" customHeight="1">
      <c r="A42" s="779" t="s">
        <v>346</v>
      </c>
      <c r="B42" s="215" t="s">
        <v>1541</v>
      </c>
      <c r="C42" s="238">
        <f ca="1">ROUND(IF('数据-取费表'!B22&lt;=1,C33*F22*'数据-取费表'!B21/2,C33*(POWER((1+F22),'数据-取费表'!B21/2)-1)),0)</f>
        <v>3</v>
      </c>
      <c r="D42" s="238"/>
      <c r="E42" s="238"/>
      <c r="F42" s="239"/>
      <c r="G42" s="3645" t="s">
        <v>1542</v>
      </c>
    </row>
    <row r="43" spans="1:7" ht="13.5" customHeight="1">
      <c r="A43" s="779" t="s">
        <v>347</v>
      </c>
      <c r="B43" s="215" t="s">
        <v>1543</v>
      </c>
      <c r="C43" s="238">
        <f ca="1">ROUND(IF('数据-取费表'!B22&lt;=1,C39*F22*'数据-取费表'!B21/2,C39*(POWER((1+F22),'数据-取费表'!B21/2)-1)),0)</f>
        <v>0</v>
      </c>
      <c r="D43" s="238"/>
      <c r="E43" s="238"/>
      <c r="F43" s="239"/>
      <c r="G43" s="3646"/>
    </row>
    <row r="44" spans="1:7" ht="13.5" customHeight="1">
      <c r="A44" s="779" t="s">
        <v>348</v>
      </c>
      <c r="B44" s="215" t="s">
        <v>1544</v>
      </c>
      <c r="C44" s="238">
        <f ca="1">ROUND(IF('数据-取费表'!B22&lt;=1,C40*F22*'数据-取费表'!B21/2,C40*(POWER((1+F22),'数据-取费表'!B21/2)-1)),4)</f>
        <v>1.2999999999999999E-3</v>
      </c>
      <c r="D44" s="238"/>
      <c r="E44" s="238"/>
      <c r="F44" s="239"/>
      <c r="G44" s="3647"/>
    </row>
    <row r="45" spans="1:7" s="214" customFormat="1" ht="13.5" customHeight="1">
      <c r="A45" s="255" t="s">
        <v>1545</v>
      </c>
      <c r="B45" s="244" t="s">
        <v>1511</v>
      </c>
      <c r="C45" s="245">
        <f ca="1">C46</f>
        <v>12</v>
      </c>
      <c r="D45" s="235">
        <f ca="1">C47</f>
        <v>6.0000000000000001E-3</v>
      </c>
      <c r="E45" s="236" t="s">
        <v>1537</v>
      </c>
      <c r="F45" s="246">
        <f ca="1">F27</f>
        <v>0.2</v>
      </c>
      <c r="G45" s="247" t="s">
        <v>1546</v>
      </c>
    </row>
    <row r="46" spans="1:7" s="214" customFormat="1" ht="13.5" customHeight="1">
      <c r="A46" s="779" t="s">
        <v>346</v>
      </c>
      <c r="B46" s="248" t="s">
        <v>1547</v>
      </c>
      <c r="C46" s="249">
        <f ca="1">ROUND((C33+C39)*F27,0)</f>
        <v>12</v>
      </c>
      <c r="D46" s="263"/>
      <c r="E46" s="236"/>
      <c r="F46" s="246"/>
      <c r="G46" s="247"/>
    </row>
    <row r="47" spans="1:7" s="214" customFormat="1" ht="13.5" customHeight="1">
      <c r="A47" s="779" t="s">
        <v>347</v>
      </c>
      <c r="B47" s="248" t="s">
        <v>1548</v>
      </c>
      <c r="C47" s="238">
        <f ca="1">ROUND(C40*F27,4)</f>
        <v>6.0000000000000001E-3</v>
      </c>
      <c r="D47" s="263"/>
      <c r="E47" s="236"/>
      <c r="F47" s="246"/>
      <c r="G47" s="247"/>
    </row>
    <row r="48" spans="1:7" s="214" customFormat="1" ht="13.5" customHeight="1">
      <c r="A48" s="255" t="s">
        <v>1510</v>
      </c>
      <c r="B48" s="210" t="s">
        <v>1549</v>
      </c>
      <c r="C48" s="1326">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84</v>
      </c>
      <c r="D49" s="232"/>
      <c r="E49" s="232"/>
      <c r="F49" s="264"/>
      <c r="G49" s="234" t="s">
        <v>1552</v>
      </c>
    </row>
    <row r="50" spans="1:7" s="258" customFormat="1" ht="24">
      <c r="A50" s="255" t="s">
        <v>1553</v>
      </c>
      <c r="B50" s="210" t="s">
        <v>1554</v>
      </c>
      <c r="C50" s="232"/>
      <c r="D50" s="232"/>
      <c r="E50" s="232"/>
      <c r="F50" s="264">
        <f>IF('数据-取费表'!B24=0,'数据-取费表'!N16,1)</f>
        <v>0.8</v>
      </c>
      <c r="G50" s="247" t="s">
        <v>1555</v>
      </c>
    </row>
    <row r="51" spans="1:7" ht="16.5" customHeight="1">
      <c r="A51" s="255" t="s">
        <v>1556</v>
      </c>
      <c r="B51" s="210" t="s">
        <v>1557</v>
      </c>
      <c r="C51" s="232">
        <f ca="1">ROUND(C49*F50,0)</f>
        <v>67</v>
      </c>
      <c r="D51" s="232"/>
      <c r="E51" s="232"/>
      <c r="F51" s="264"/>
      <c r="G51" s="234" t="s">
        <v>1558</v>
      </c>
    </row>
    <row r="52" spans="1:7" s="208" customFormat="1" ht="16.5" thickBot="1">
      <c r="A52" s="265" t="s">
        <v>1559</v>
      </c>
      <c r="B52" s="266"/>
      <c r="C52" s="267">
        <f ca="1">C31+C51</f>
        <v>70</v>
      </c>
      <c r="D52" s="266"/>
      <c r="E52" s="266"/>
      <c r="F52" s="266"/>
      <c r="G52" s="268"/>
    </row>
    <row r="55" spans="1:7" ht="15">
      <c r="B55" s="270" t="s">
        <v>1560</v>
      </c>
      <c r="C55" s="271"/>
    </row>
    <row r="56" spans="1:7">
      <c r="B56" s="273" t="s">
        <v>802</v>
      </c>
      <c r="C56" s="275">
        <f ca="1">1-C57</f>
        <v>4.3000000000000038E-2</v>
      </c>
    </row>
    <row r="57" spans="1:7">
      <c r="B57" s="273" t="s">
        <v>803</v>
      </c>
      <c r="C57" s="274">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2" t="str">
        <f>项目基本情况!B1</f>
        <v>北京市朝阳区日坛北路17号院1号楼7层728号房地产市场价值预评估</v>
      </c>
      <c r="C37" s="3462"/>
      <c r="D37" s="3462"/>
      <c r="E37" s="3462"/>
      <c r="F37" s="3462"/>
      <c r="G37" s="3462"/>
      <c r="H37" s="3462"/>
      <c r="I37" s="346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郑燚（注册号：1120070131)、郑燚（注册号：1120070131)</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topLeftCell="A10" zoomScale="90" zoomScaleNormal="70" zoomScaleSheetLayoutView="90" workbookViewId="0">
      <selection activeCell="D19" sqref="D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9"/>
      <c r="C1" s="1858" t="s">
        <v>1561</v>
      </c>
      <c r="D1" s="198"/>
      <c r="E1" s="198"/>
      <c r="F1" s="198"/>
      <c r="G1" s="1125">
        <f>MATCH(B1,'数据-取费表'!A6:A16,0)+5</f>
        <v>7</v>
      </c>
      <c r="H1" s="1060" t="str">
        <f>IF(ISERROR(FIND("住宅",B1)),"非住宅","住宅")</f>
        <v>非住宅</v>
      </c>
    </row>
    <row r="2" spans="1:8" s="200" customFormat="1" ht="18" customHeight="1">
      <c r="A2" s="201" t="s">
        <v>1460</v>
      </c>
      <c r="B2" s="3418">
        <f ca="1">ROUND(IF(D2="——",C52/10000,C52/10000-E2),4)</f>
        <v>591.25480000000005</v>
      </c>
      <c r="C2" s="199" t="s">
        <v>1461</v>
      </c>
      <c r="D2" s="1852" t="s">
        <v>43</v>
      </c>
      <c r="E2" s="1168" t="e">
        <f ca="1">SUMIF(INDIRECT("'"&amp;G2&amp;"'"&amp;"!A:A"),"承租人权益价值",INDIRECT("'"&amp;G2&amp;"'"&amp;"!c:c"))</f>
        <v>#REF!</v>
      </c>
      <c r="F2" s="1853" t="s">
        <v>1461</v>
      </c>
      <c r="G2" s="1854"/>
    </row>
    <row r="3" spans="1:8" s="200" customFormat="1" ht="18" customHeight="1" thickBot="1">
      <c r="A3" s="203" t="s">
        <v>1462</v>
      </c>
      <c r="B3" s="204">
        <f ca="1">ROUND(B2*10000/(IF(B1="",'数据-汇总表'!E3,INDIRECT("'数据-取费表'!k"&amp;$G$1))),0)</f>
        <v>49038</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3591132</v>
      </c>
      <c r="D5" s="211" t="s">
        <v>1467</v>
      </c>
      <c r="E5" s="212" t="s">
        <v>1468</v>
      </c>
      <c r="F5" s="212" t="s">
        <v>1469</v>
      </c>
      <c r="G5" s="213"/>
    </row>
    <row r="6" spans="1:8" s="214" customFormat="1" ht="13.5" customHeight="1">
      <c r="A6" s="777" t="s">
        <v>1470</v>
      </c>
      <c r="B6" s="215" t="s">
        <v>1471</v>
      </c>
      <c r="C6" s="216">
        <f>ROUND(基准地价修正!C33*基准地价修正!D33,0)</f>
        <v>3461444</v>
      </c>
      <c r="D6" s="217"/>
      <c r="E6" s="218"/>
      <c r="F6" s="218"/>
      <c r="G6" s="219"/>
    </row>
    <row r="7" spans="1:8" s="214" customFormat="1" ht="13.5" customHeight="1">
      <c r="A7" s="777" t="s">
        <v>1472</v>
      </c>
      <c r="B7" s="215" t="s">
        <v>1473</v>
      </c>
      <c r="C7" s="220">
        <f>ROUND(C6*F7,0)</f>
        <v>105574</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24114</v>
      </c>
      <c r="D8" s="222"/>
      <c r="E8" s="220"/>
      <c r="F8" s="221"/>
      <c r="G8" s="1855" t="s">
        <v>3397</v>
      </c>
    </row>
    <row r="9" spans="1:8" s="214" customFormat="1" ht="13.5" customHeight="1">
      <c r="A9" s="778" t="s">
        <v>355</v>
      </c>
      <c r="B9" s="224" t="s">
        <v>1476</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1478</v>
      </c>
      <c r="C10" s="225">
        <f ca="1">ROUND(D10*E10,0)</f>
        <v>24114</v>
      </c>
      <c r="D10" s="844">
        <f ca="1">IF(B1="",'数据-汇总表'!E6,IF(INDIRECT("'数据-取费表'!c"&amp;$G$1)="住宅",INDIRECT("'数据-取费表'!s"&amp;$G$1),INDIRECT("'数据-取费表'!k"&amp;$G$1)+INDIRECT("'数据-取费表'!s"&amp;$G$1)))</f>
        <v>120.57</v>
      </c>
      <c r="E10" s="225">
        <f>'数据-取费表'!B28</f>
        <v>200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t="str">
        <f>IF(G19="已包含在土地取得成本中","0",ROUND(D19*E19,0))</f>
        <v>0</v>
      </c>
      <c r="D19" s="848">
        <f ca="1">D9+D10</f>
        <v>120.57</v>
      </c>
      <c r="E19" s="211">
        <f>'数据-取费表'!B31</f>
        <v>200</v>
      </c>
      <c r="F19" s="231"/>
      <c r="G19" s="1855" t="s">
        <v>3398</v>
      </c>
    </row>
    <row r="20" spans="1:7" s="214" customFormat="1" ht="13.5" customHeight="1">
      <c r="A20" s="255" t="s">
        <v>1572</v>
      </c>
      <c r="B20" s="210" t="s">
        <v>1573</v>
      </c>
      <c r="C20" s="232">
        <f ca="1">ROUND((C5+C19)*F20,0)</f>
        <v>107734</v>
      </c>
      <c r="D20" s="232"/>
      <c r="E20" s="232"/>
      <c r="F20" s="233">
        <f>'数据-取费表'!B37</f>
        <v>0.03</v>
      </c>
      <c r="G20" s="234" t="s">
        <v>1574</v>
      </c>
    </row>
    <row r="21" spans="1:7" s="214" customFormat="1" ht="13.5" customHeight="1">
      <c r="A21" s="255" t="s">
        <v>1575</v>
      </c>
      <c r="B21" s="210" t="s">
        <v>1576</v>
      </c>
      <c r="C21" s="235">
        <f>F21</f>
        <v>0.03</v>
      </c>
      <c r="D21" s="236" t="s">
        <v>1577</v>
      </c>
      <c r="E21" s="232"/>
      <c r="F21" s="233">
        <f>'数据-取费表'!B38</f>
        <v>0.03</v>
      </c>
      <c r="G21" s="234" t="s">
        <v>1578</v>
      </c>
    </row>
    <row r="22" spans="1:7" s="214" customFormat="1" ht="13.5" customHeight="1">
      <c r="A22" s="255" t="s">
        <v>1579</v>
      </c>
      <c r="B22" s="210" t="s">
        <v>1580</v>
      </c>
      <c r="C22" s="1126">
        <f ca="1">ROUND(SUM(C23:C25),0)</f>
        <v>332051</v>
      </c>
      <c r="D22" s="235">
        <f ca="1">C26</f>
        <v>1.2999999999999999E-3</v>
      </c>
      <c r="E22" s="236" t="s">
        <v>1577</v>
      </c>
      <c r="F22" s="237">
        <f ca="1">'数据-取费表'!B40</f>
        <v>3.5499999999999997E-2</v>
      </c>
      <c r="G22" s="234" t="str">
        <f>IF('数据-取费表'!B22&lt;=1,"单利计息","复利计息")</f>
        <v>复利计息</v>
      </c>
    </row>
    <row r="23" spans="1:7" s="214" customFormat="1" ht="13.5" customHeight="1">
      <c r="A23" s="779" t="s">
        <v>1470</v>
      </c>
      <c r="B23" s="215" t="s">
        <v>1581</v>
      </c>
      <c r="C23" s="1127">
        <f ca="1">ROUND(IF('数据-取费表'!B22&lt;=1,C5*F22*'数据-取费表'!B22,C5*(POWER((1+F22),'数据-取费表'!B22)-1)),0)</f>
        <v>327249</v>
      </c>
      <c r="D23" s="238"/>
      <c r="E23" s="238"/>
      <c r="F23" s="239"/>
      <c r="G23" s="240" t="s">
        <v>1582</v>
      </c>
    </row>
    <row r="24" spans="1:7" s="214" customFormat="1" ht="13.5" customHeight="1">
      <c r="A24" s="779" t="s">
        <v>1472</v>
      </c>
      <c r="B24" s="215" t="s">
        <v>1583</v>
      </c>
      <c r="C24" s="1127">
        <f ca="1">ROUND(IF('数据-取费表'!B22&lt;=1,C19*F22*('数据-取费表'!B19/2+'数据-取费表'!B20),C19*(POWER((1+F22),('数据-取费表'!B19/2+'数据-取费表'!B20))-1)),0)</f>
        <v>0</v>
      </c>
      <c r="D24" s="238"/>
      <c r="E24" s="238"/>
      <c r="F24" s="239"/>
      <c r="G24" s="240" t="s">
        <v>1584</v>
      </c>
    </row>
    <row r="25" spans="1:7" s="214" customFormat="1" ht="24">
      <c r="A25" s="779" t="s">
        <v>1474</v>
      </c>
      <c r="B25" s="215" t="s">
        <v>1585</v>
      </c>
      <c r="C25" s="1127">
        <f ca="1">ROUND(IF('数据-取费表'!B22&lt;=1,C20*F22*'数据-取费表'!B22/2,C20*(POWER((1+F22),'数据-取费表'!B22/2)-1)),0)</f>
        <v>4802</v>
      </c>
      <c r="D25" s="238"/>
      <c r="E25" s="241"/>
      <c r="F25" s="239"/>
      <c r="G25" s="242" t="s">
        <v>1586</v>
      </c>
    </row>
    <row r="26" spans="1:7" s="214" customFormat="1">
      <c r="A26" s="779" t="s">
        <v>350</v>
      </c>
      <c r="B26" s="215" t="s">
        <v>1509</v>
      </c>
      <c r="C26" s="238">
        <f ca="1">ROUND(IF('数据-取费表'!B22&lt;=1,F21*F22*'数据-取费表'!B22/2,F21*(POWER((1+F22),'数据-取费表'!B22/2)-1)),4)</f>
        <v>1.2999999999999999E-3</v>
      </c>
      <c r="D26" s="238"/>
      <c r="E26" s="241"/>
      <c r="F26" s="239"/>
      <c r="G26" s="243"/>
    </row>
    <row r="27" spans="1:7" s="214" customFormat="1" ht="24.75">
      <c r="A27" s="255" t="s">
        <v>1510</v>
      </c>
      <c r="B27" s="244" t="s">
        <v>1511</v>
      </c>
      <c r="C27" s="245">
        <f ca="1">C28</f>
        <v>739773</v>
      </c>
      <c r="D27" s="235">
        <f ca="1">C29</f>
        <v>6.0000000000000001E-3</v>
      </c>
      <c r="E27" s="236" t="s">
        <v>1512</v>
      </c>
      <c r="F27" s="246">
        <f ca="1">IF(B1="",'数据-取费表'!Q16,INDIRECT("'数据-取费表'!q"&amp;$G$1))</f>
        <v>0.2</v>
      </c>
      <c r="G27" s="247" t="s">
        <v>1513</v>
      </c>
    </row>
    <row r="28" spans="1:7" s="214" customFormat="1" ht="13.5" customHeight="1">
      <c r="A28" s="779" t="s">
        <v>346</v>
      </c>
      <c r="B28" s="248" t="s">
        <v>1514</v>
      </c>
      <c r="C28" s="249">
        <f ca="1">ROUND((C5+C19+C20)*F27,0)</f>
        <v>739773</v>
      </c>
      <c r="D28" s="235"/>
      <c r="E28" s="236"/>
      <c r="F28" s="246"/>
      <c r="G28" s="247"/>
    </row>
    <row r="29" spans="1:7" s="214" customFormat="1" ht="13.5" customHeight="1">
      <c r="A29" s="779" t="s">
        <v>347</v>
      </c>
      <c r="B29" s="248" t="s">
        <v>1515</v>
      </c>
      <c r="C29" s="238">
        <f ca="1">ROUND(C21*F27,4)</f>
        <v>6.0000000000000001E-3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5245975</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591094</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542565</v>
      </c>
      <c r="D34" s="217"/>
      <c r="E34" s="220"/>
      <c r="F34" s="257"/>
      <c r="G34" s="219"/>
    </row>
    <row r="35" spans="1:7" ht="13.5" customHeight="1">
      <c r="A35" s="779" t="s">
        <v>351</v>
      </c>
      <c r="B35" s="215" t="s">
        <v>1525</v>
      </c>
      <c r="C35" s="220">
        <f ca="1">ROUND(C34*F35,0)</f>
        <v>16277</v>
      </c>
      <c r="D35" s="220"/>
      <c r="E35" s="220"/>
      <c r="F35" s="259">
        <f>'数据-取费表'!B33</f>
        <v>0.03</v>
      </c>
      <c r="G35" s="219" t="s">
        <v>1526</v>
      </c>
    </row>
    <row r="36" spans="1:7" ht="24">
      <c r="A36" s="779"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9" t="s">
        <v>353</v>
      </c>
      <c r="B37" s="215" t="s">
        <v>1529</v>
      </c>
      <c r="C37" s="249">
        <f ca="1">ROUND(E37*D37,0)</f>
        <v>24114</v>
      </c>
      <c r="D37" s="217">
        <f ca="1">D19</f>
        <v>120.57</v>
      </c>
      <c r="E37" s="249">
        <f>'数据-取费表'!B35</f>
        <v>200</v>
      </c>
      <c r="F37" s="259"/>
      <c r="G37" s="261"/>
    </row>
    <row r="38" spans="1:7" ht="13.5" customHeight="1">
      <c r="A38" s="779" t="s">
        <v>354</v>
      </c>
      <c r="B38" s="215" t="s">
        <v>1531</v>
      </c>
      <c r="C38" s="220">
        <f ca="1">ROUND(C34*F38,0)</f>
        <v>8138</v>
      </c>
      <c r="D38" s="220"/>
      <c r="E38" s="220"/>
      <c r="F38" s="259">
        <f>'数据-取费表'!B36</f>
        <v>1.4999999999999999E-2</v>
      </c>
      <c r="G38" s="219" t="s">
        <v>1526</v>
      </c>
    </row>
    <row r="39" spans="1:7" s="214" customFormat="1" ht="13.5" customHeight="1">
      <c r="A39" s="255" t="s">
        <v>1532</v>
      </c>
      <c r="B39" s="210" t="s">
        <v>1533</v>
      </c>
      <c r="C39" s="232">
        <f ca="1">ROUND(C33*F20,0)</f>
        <v>17733</v>
      </c>
      <c r="D39" s="232"/>
      <c r="E39" s="232"/>
      <c r="F39" s="233">
        <f>F20</f>
        <v>0.03</v>
      </c>
      <c r="G39" s="234" t="s">
        <v>1534</v>
      </c>
    </row>
    <row r="40" spans="1:7" s="214" customFormat="1" ht="13.5" customHeight="1">
      <c r="A40" s="255" t="s">
        <v>1535</v>
      </c>
      <c r="B40" s="210" t="s">
        <v>1536</v>
      </c>
      <c r="C40" s="1326">
        <f>F21</f>
        <v>0.03</v>
      </c>
      <c r="D40" s="236" t="s">
        <v>1537</v>
      </c>
      <c r="E40" s="232"/>
      <c r="F40" s="233">
        <f>F21</f>
        <v>0.03</v>
      </c>
      <c r="G40" s="234" t="s">
        <v>1538</v>
      </c>
    </row>
    <row r="41" spans="1:7" s="214" customFormat="1" ht="13.5" customHeight="1">
      <c r="A41" s="255" t="s">
        <v>1539</v>
      </c>
      <c r="B41" s="210" t="s">
        <v>1540</v>
      </c>
      <c r="C41" s="232">
        <f ca="1">ROUND(SUM(C42:C43),0)</f>
        <v>27135</v>
      </c>
      <c r="D41" s="235">
        <f ca="1">C44</f>
        <v>1.2999999999999999E-3</v>
      </c>
      <c r="E41" s="236" t="s">
        <v>1537</v>
      </c>
      <c r="F41" s="237">
        <f ca="1">F22</f>
        <v>3.5499999999999997E-2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26345</v>
      </c>
      <c r="D42" s="238"/>
      <c r="E42" s="238"/>
      <c r="F42" s="239"/>
      <c r="G42" s="3645" t="s">
        <v>1589</v>
      </c>
    </row>
    <row r="43" spans="1:7" ht="13.5" customHeight="1">
      <c r="A43" s="779" t="s">
        <v>347</v>
      </c>
      <c r="B43" s="215" t="s">
        <v>1543</v>
      </c>
      <c r="C43" s="238">
        <f ca="1">ROUND(IF('数据-取费表'!B22&lt;=1,C39*F22*'数据-取费表'!B20/2,C39*(POWER((1+F22),'数据-取费表'!B20/2)-1)),0)</f>
        <v>790</v>
      </c>
      <c r="D43" s="238"/>
      <c r="E43" s="238"/>
      <c r="F43" s="239"/>
      <c r="G43" s="3646"/>
    </row>
    <row r="44" spans="1:7" ht="13.5" customHeight="1">
      <c r="A44" s="779" t="s">
        <v>348</v>
      </c>
      <c r="B44" s="215" t="s">
        <v>1544</v>
      </c>
      <c r="C44" s="238">
        <f ca="1">ROUND(IF('数据-取费表'!B22&lt;=1,C40*F22*'数据-取费表'!B20/2,C40*(POWER((1+F22),'数据-取费表'!B20/2)-1)),4)</f>
        <v>1.2999999999999999E-3</v>
      </c>
      <c r="D44" s="238"/>
      <c r="E44" s="238"/>
      <c r="F44" s="239"/>
      <c r="G44" s="3647"/>
    </row>
    <row r="45" spans="1:7" s="214" customFormat="1" ht="13.5" customHeight="1">
      <c r="A45" s="255" t="s">
        <v>1545</v>
      </c>
      <c r="B45" s="244" t="s">
        <v>1511</v>
      </c>
      <c r="C45" s="245">
        <f ca="1">C46</f>
        <v>121765</v>
      </c>
      <c r="D45" s="235">
        <f ca="1">C47</f>
        <v>6.0000000000000001E-3</v>
      </c>
      <c r="E45" s="236" t="s">
        <v>1537</v>
      </c>
      <c r="F45" s="246">
        <f ca="1">F27</f>
        <v>0.2</v>
      </c>
      <c r="G45" s="247" t="s">
        <v>1546</v>
      </c>
    </row>
    <row r="46" spans="1:7" s="214" customFormat="1" ht="13.5" customHeight="1">
      <c r="A46" s="779" t="s">
        <v>346</v>
      </c>
      <c r="B46" s="248" t="s">
        <v>1547</v>
      </c>
      <c r="C46" s="249">
        <f ca="1">ROUND((C33+C39)*F27,0)</f>
        <v>121765</v>
      </c>
      <c r="D46" s="263"/>
      <c r="E46" s="236"/>
      <c r="F46" s="246"/>
      <c r="G46" s="247"/>
    </row>
    <row r="47" spans="1:7" s="214" customFormat="1" ht="13.5" customHeight="1">
      <c r="A47" s="779" t="s">
        <v>347</v>
      </c>
      <c r="B47" s="248" t="s">
        <v>1548</v>
      </c>
      <c r="C47" s="238">
        <f ca="1">ROUND(C40*F27,4)</f>
        <v>6.0000000000000001E-3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833216</v>
      </c>
      <c r="D49" s="232"/>
      <c r="E49" s="232"/>
      <c r="F49" s="264"/>
      <c r="G49" s="234" t="s">
        <v>1552</v>
      </c>
    </row>
    <row r="50" spans="1:7" s="258" customFormat="1">
      <c r="A50" s="255" t="s">
        <v>1553</v>
      </c>
      <c r="B50" s="210" t="s">
        <v>1554</v>
      </c>
      <c r="C50" s="232"/>
      <c r="D50" s="232"/>
      <c r="E50" s="232"/>
      <c r="F50" s="264">
        <f>IF('数据-取费表'!B24=0,'数据-取费表'!N16,1)</f>
        <v>0.8</v>
      </c>
      <c r="G50" s="247"/>
    </row>
    <row r="51" spans="1:7" ht="16.5" customHeight="1">
      <c r="A51" s="255" t="s">
        <v>1556</v>
      </c>
      <c r="B51" s="210" t="s">
        <v>1591</v>
      </c>
      <c r="C51" s="232">
        <f ca="1">ROUND(C49*F50,0)</f>
        <v>666573</v>
      </c>
      <c r="D51" s="232"/>
      <c r="E51" s="232"/>
      <c r="F51" s="264"/>
      <c r="G51" s="234" t="s">
        <v>1558</v>
      </c>
    </row>
    <row r="52" spans="1:7" s="208" customFormat="1" ht="16.5" thickBot="1">
      <c r="A52" s="265" t="s">
        <v>1559</v>
      </c>
      <c r="B52" s="266"/>
      <c r="C52" s="267">
        <f ca="1">C31+C51</f>
        <v>5912548</v>
      </c>
      <c r="D52" s="266"/>
      <c r="E52" s="266"/>
      <c r="F52" s="266"/>
      <c r="G52" s="268"/>
    </row>
    <row r="55" spans="1:7" ht="15">
      <c r="B55" s="270" t="s">
        <v>1560</v>
      </c>
      <c r="C55" s="271"/>
    </row>
    <row r="56" spans="1:7">
      <c r="B56" s="273" t="s">
        <v>802</v>
      </c>
      <c r="C56" s="275">
        <f ca="1">1-C57</f>
        <v>0.88700000000000001</v>
      </c>
    </row>
    <row r="57" spans="1:7">
      <c r="B57" s="273" t="s">
        <v>803</v>
      </c>
      <c r="C57" s="274">
        <f ca="1">ROUND(C51/C52,3)</f>
        <v>0.113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90" zoomScaleNormal="80" zoomScaleSheetLayoutView="90" workbookViewId="0">
      <selection activeCell="E61" sqref="E61"/>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0" customWidth="1"/>
    <col min="33" max="36" width="9.375" style="2050" customWidth="1"/>
    <col min="37" max="38" width="9.375" style="1995" customWidth="1"/>
    <col min="39" max="16384" width="12" style="1995"/>
  </cols>
  <sheetData>
    <row r="1" spans="1:36" ht="28.5">
      <c r="A1" s="196" t="s">
        <v>1924</v>
      </c>
      <c r="B1" s="197"/>
      <c r="C1" s="201" t="s">
        <v>1925</v>
      </c>
      <c r="D1" s="342">
        <f>SUM(D33:D34,D37:D42)</f>
        <v>120.57</v>
      </c>
      <c r="E1" s="1992"/>
      <c r="F1" s="1992"/>
      <c r="G1" s="1992"/>
      <c r="H1" s="1992"/>
      <c r="I1" s="1992"/>
      <c r="J1" s="1992"/>
      <c r="K1" s="1118"/>
      <c r="L1" s="1993" t="s">
        <v>1926</v>
      </c>
      <c r="M1" s="862">
        <f>SUMPRODUCT((区片价!B5:B9=I2)*(区片价!C3:G3=E2)*(区片价!C5:G9))</f>
        <v>32510</v>
      </c>
      <c r="N1" s="865">
        <f>SUMPRODUCT((因素修正幅度!B5:B9=I2)*(因素修正幅度!C3:G3=E2)*(因素修正幅度!C5:G9))</f>
        <v>8.2000000000000003E-2</v>
      </c>
      <c r="O1" s="1994"/>
      <c r="P1" s="1994"/>
      <c r="Q1" s="1118"/>
      <c r="R1" s="1211" t="s">
        <v>1927</v>
      </c>
      <c r="S1" s="1211" t="s">
        <v>1928</v>
      </c>
      <c r="T1" s="1211" t="s">
        <v>1929</v>
      </c>
      <c r="U1" s="1211" t="s">
        <v>1930</v>
      </c>
      <c r="V1" s="1211" t="s">
        <v>1931</v>
      </c>
      <c r="W1" s="1215"/>
      <c r="X1" s="1215"/>
      <c r="Y1" s="1215"/>
      <c r="Z1" s="1215"/>
      <c r="AA1" s="1215"/>
      <c r="AB1" s="1215"/>
      <c r="AC1" s="1216"/>
      <c r="AD1" s="1217"/>
      <c r="AE1" s="1217"/>
      <c r="AF1" s="1217"/>
      <c r="AG1" s="1217"/>
      <c r="AH1" s="1217"/>
      <c r="AI1" s="1217"/>
      <c r="AJ1" s="1218"/>
    </row>
    <row r="2" spans="1:36" ht="15.75">
      <c r="A2" s="201" t="s">
        <v>1932</v>
      </c>
      <c r="B2" s="204">
        <f>C30</f>
        <v>346</v>
      </c>
      <c r="C2" s="1996" t="s">
        <v>1933</v>
      </c>
      <c r="D2" s="1997" t="s">
        <v>1934</v>
      </c>
      <c r="E2" s="3416" t="s">
        <v>21</v>
      </c>
      <c r="F2" s="1997" t="s">
        <v>1935</v>
      </c>
      <c r="G2" s="1998" t="str">
        <f>IF(E2="商业",项目基本情况!B37,IF(E2="办公",项目基本情况!C37,IF(E2="住宅",项目基本情况!D37,IF(E2="工业",项目基本情况!E37,项目基本情况!F37))))</f>
        <v>一级</v>
      </c>
      <c r="H2" s="1997" t="s">
        <v>1936</v>
      </c>
      <c r="I2" s="1998" t="str">
        <f>IF(E2="商业",项目基本情况!B38,IF(E2="办公",项目基本情况!C38,IF(E2="住宅",项目基本情况!D38,IF(E2="工业",项目基本情况!E38,项目基本情况!F38))))</f>
        <v>Ⅰ—04</v>
      </c>
      <c r="J2" s="1999"/>
      <c r="K2" s="1118"/>
      <c r="L2" s="2000" t="s">
        <v>1937</v>
      </c>
      <c r="M2" s="863">
        <f>SUMPRODUCT((区片价!B10:B29=I2)*(区片价!C3:G3=E2)*(区片价!C10:G29))</f>
        <v>0</v>
      </c>
      <c r="N2" s="865">
        <f>SUMPRODUCT((因素修正幅度!B10:B29=I2)*(因素修正幅度!C3:G3=E2)*(因素修正幅度!C10:G29))</f>
        <v>0</v>
      </c>
      <c r="O2" s="1118"/>
      <c r="P2" s="1118"/>
      <c r="Q2" s="1118"/>
      <c r="R2" s="1211">
        <v>1</v>
      </c>
      <c r="S2" s="3355">
        <f>ROUND(SUMPRODUCT((B106:B110=R2)*(C105:N105=G2)*(C106:N110)),4)</f>
        <v>1.5206</v>
      </c>
      <c r="T2" s="3355">
        <f t="shared" ref="T2:T16" si="0">ROUND($C$5*$C$22*$C$23*$C$24*S2*$C$28,0)</f>
        <v>44298</v>
      </c>
      <c r="U2" s="1212"/>
      <c r="V2" s="3355">
        <f>ROUND(T2*U2/10000,0)</f>
        <v>0</v>
      </c>
      <c r="W2" s="1215"/>
      <c r="X2" s="1215"/>
      <c r="Y2" s="1215"/>
      <c r="Z2" s="1215"/>
      <c r="AA2" s="1215"/>
      <c r="AB2" s="1215"/>
      <c r="AC2" s="1216"/>
      <c r="AD2" s="1217"/>
      <c r="AE2" s="1217"/>
      <c r="AF2" s="1217"/>
      <c r="AG2" s="1217"/>
      <c r="AH2" s="1217"/>
      <c r="AI2" s="1217"/>
      <c r="AJ2" s="1218"/>
    </row>
    <row r="3" spans="1:36" ht="15.75">
      <c r="A3" s="203" t="s">
        <v>1938</v>
      </c>
      <c r="B3" s="204">
        <f>ROUND(B2*10000/D1,0)</f>
        <v>28697</v>
      </c>
      <c r="C3" s="1996" t="s">
        <v>1939</v>
      </c>
      <c r="D3" s="1997" t="s">
        <v>1940</v>
      </c>
      <c r="E3" s="3414" t="s">
        <v>3501</v>
      </c>
      <c r="F3" s="2001" t="s">
        <v>3502</v>
      </c>
      <c r="G3" s="751">
        <f>IF(F3="宗地容积率",'数据-汇总表'!I4,IF(F3="估价对象容积率",'数据-汇总表'!I6,'数据-汇总表'!I7))</f>
        <v>3.94</v>
      </c>
      <c r="H3" s="170" t="s">
        <v>1941</v>
      </c>
      <c r="I3" s="774"/>
      <c r="J3" s="1999" t="s">
        <v>1942</v>
      </c>
      <c r="K3" s="1118"/>
      <c r="L3" s="2000" t="s">
        <v>1943</v>
      </c>
      <c r="M3" s="863">
        <f>SUMPRODUCT((区片价!B30:B54=I2)*(区片价!C3:G3=E2)*(区片价!C30:G54))</f>
        <v>0</v>
      </c>
      <c r="N3" s="865">
        <f>SUMPRODUCT((因素修正幅度!B30:B54=I2)*(因素修正幅度!C3:G3=E2)*(因素修正幅度!C30:G54))</f>
        <v>0</v>
      </c>
      <c r="O3" s="1118"/>
      <c r="P3" s="1118"/>
      <c r="Q3" s="1118"/>
      <c r="R3" s="1211">
        <v>2</v>
      </c>
      <c r="S3" s="3355">
        <f>ROUND(SUMPRODUCT((B106:B110=R3)*(C105:N105=G2)*(C106:N110)),4)</f>
        <v>1.2072000000000001</v>
      </c>
      <c r="T3" s="3355">
        <f t="shared" si="0"/>
        <v>35168</v>
      </c>
      <c r="U3" s="1212"/>
      <c r="V3" s="3355">
        <f t="shared" ref="V3:V16" si="1">ROUND(T3*U3/10000,0)</f>
        <v>0</v>
      </c>
      <c r="W3" s="1215"/>
      <c r="X3" s="1215"/>
      <c r="Y3" s="1215"/>
      <c r="Z3" s="1215"/>
      <c r="AA3" s="1215"/>
      <c r="AB3" s="1215"/>
      <c r="AC3" s="1216"/>
      <c r="AD3" s="1217"/>
      <c r="AE3" s="1217"/>
      <c r="AF3" s="1217"/>
      <c r="AG3" s="1217"/>
      <c r="AH3" s="1217"/>
      <c r="AI3" s="1217"/>
      <c r="AJ3" s="1218"/>
    </row>
    <row r="4" spans="1:36" ht="15.75">
      <c r="A4" s="3655"/>
      <c r="B4" s="3656"/>
      <c r="C4" s="3656"/>
      <c r="D4" s="3657"/>
      <c r="E4" s="3657"/>
      <c r="F4" s="3657"/>
      <c r="G4" s="3657"/>
      <c r="H4" s="3657"/>
      <c r="I4" s="3657"/>
      <c r="J4" s="3658"/>
      <c r="K4" s="1118"/>
      <c r="L4" s="2000" t="s">
        <v>1944</v>
      </c>
      <c r="M4" s="863">
        <f>SUMPRODUCT((区片价!B55:B86=I2)*(区片价!C3:G3=E2)*(区片价!C55:G86))</f>
        <v>0</v>
      </c>
      <c r="N4" s="865">
        <f>SUMPRODUCT((因素修正幅度!B55:B86=I2)*(因素修正幅度!C3:G3=E2)*(因素修正幅度!C55:G86))</f>
        <v>0</v>
      </c>
      <c r="O4" s="1118"/>
      <c r="P4" s="1118"/>
      <c r="Q4" s="1118"/>
      <c r="R4" s="1211">
        <v>3</v>
      </c>
      <c r="S4" s="3355">
        <f>ROUND(SUMPRODUCT((B106:B110=R4)*(C105:N105=G2)*(C106:N110)),4)</f>
        <v>1.0430999999999999</v>
      </c>
      <c r="T4" s="3355">
        <f t="shared" si="0"/>
        <v>30387</v>
      </c>
      <c r="U4" s="1212"/>
      <c r="V4" s="3355">
        <f t="shared" si="1"/>
        <v>0</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1945</v>
      </c>
      <c r="C5" s="752">
        <f>ROUND(IF(E2="商业",C6*C7*C17+C20,(IF(E2="住宅",C6*C13*C17+C20,IF(E2="办公",C6*C12*C17+C20,C6+C20)))),0)</f>
        <v>32479</v>
      </c>
      <c r="D5" s="1338">
        <f>ROUND(C6*C17+C20,0)</f>
        <v>32479</v>
      </c>
      <c r="E5" s="1338"/>
      <c r="F5" s="2004"/>
      <c r="G5" s="2005"/>
      <c r="H5" s="2005"/>
      <c r="I5" s="2005"/>
      <c r="J5" s="2006"/>
      <c r="K5" s="2007"/>
      <c r="L5" s="2000" t="s">
        <v>1946</v>
      </c>
      <c r="M5" s="863">
        <f>SUMPRODUCT((区片价!B87:B126=I2)*(区片价!C3:G3=E2)*(区片价!C87:G126))</f>
        <v>0</v>
      </c>
      <c r="N5" s="865">
        <f>SUMPRODUCT((因素修正幅度!B87:B126=I2)*(因素修正幅度!C3:G3=E2)*(因素修正幅度!C87:G126))</f>
        <v>0</v>
      </c>
      <c r="O5" s="1118"/>
      <c r="P5" s="1118"/>
      <c r="Q5" s="1118"/>
      <c r="R5" s="1211">
        <v>4</v>
      </c>
      <c r="S5" s="3355">
        <f>ROUND(SUMPRODUCT((B106:B110=R5)*(C105:N105=G2)*(C106:N110)),4)</f>
        <v>0.94389999999999996</v>
      </c>
      <c r="T5" s="3355">
        <f t="shared" si="0"/>
        <v>27497</v>
      </c>
      <c r="U5" s="1212"/>
      <c r="V5" s="3355">
        <f t="shared" si="1"/>
        <v>0</v>
      </c>
      <c r="W5" s="1215"/>
      <c r="X5" s="1215"/>
      <c r="Y5" s="1215"/>
      <c r="Z5" s="1215"/>
      <c r="AA5" s="1215"/>
      <c r="AB5" s="1215"/>
      <c r="AC5" s="2008"/>
      <c r="AD5" s="2009"/>
      <c r="AE5" s="2009"/>
      <c r="AF5" s="2009"/>
      <c r="AG5" s="2009"/>
      <c r="AH5" s="2009"/>
      <c r="AI5" s="2009"/>
      <c r="AJ5" s="2010"/>
    </row>
    <row r="6" spans="1:36" ht="15.75" thickBot="1">
      <c r="A6" s="2012" t="s">
        <v>1947</v>
      </c>
      <c r="B6" s="2013" t="s">
        <v>1948</v>
      </c>
      <c r="C6" s="753">
        <f>SUMIF(L1:L12,G2,M1:M12)</f>
        <v>32510</v>
      </c>
      <c r="D6" s="2014"/>
      <c r="E6" s="2015"/>
      <c r="F6" s="2015"/>
      <c r="G6" s="2016"/>
      <c r="H6" s="2016"/>
      <c r="I6" s="2016"/>
      <c r="J6" s="2017"/>
      <c r="K6" s="1383"/>
      <c r="L6" s="2000" t="s">
        <v>1949</v>
      </c>
      <c r="M6" s="863">
        <f>SUMPRODUCT((区片价!B127:B189=I2)*(区片价!C3:G3=E2)*(区片价!C127:G189))</f>
        <v>0</v>
      </c>
      <c r="N6" s="865">
        <f>SUMPRODUCT((因素修正幅度!B127:B189=I2)*(因素修正幅度!C3:G3=E2)*(因素修正幅度!C127:G189))</f>
        <v>0</v>
      </c>
      <c r="O6" s="1118"/>
      <c r="P6" s="1118"/>
      <c r="Q6" s="1118"/>
      <c r="R6" s="1211">
        <v>5</v>
      </c>
      <c r="S6" s="3355">
        <f>ROUND(SUMPRODUCT((B106:B110=R6)*(C105:N105=G2)*(C106:N110)),4)</f>
        <v>0.89959999999999996</v>
      </c>
      <c r="T6" s="3355">
        <f t="shared" si="0"/>
        <v>26207</v>
      </c>
      <c r="U6" s="1212"/>
      <c r="V6" s="3355">
        <f t="shared" si="1"/>
        <v>0</v>
      </c>
      <c r="W6" s="1215"/>
      <c r="X6" s="1215"/>
      <c r="Y6" s="1215"/>
      <c r="Z6" s="1215"/>
      <c r="AA6" s="1215"/>
      <c r="AB6" s="1215"/>
      <c r="AC6" s="2008"/>
      <c r="AD6" s="2009"/>
      <c r="AE6" s="2009"/>
      <c r="AF6" s="2009"/>
      <c r="AG6" s="2009"/>
      <c r="AH6" s="2009"/>
      <c r="AI6" s="2009"/>
      <c r="AJ6" s="2010"/>
    </row>
    <row r="7" spans="1:36" ht="24.75" thickBot="1">
      <c r="A7" s="3298" t="s">
        <v>3229</v>
      </c>
      <c r="B7" s="2018" t="s">
        <v>1950</v>
      </c>
      <c r="C7" s="754">
        <f>IF(C8="不临65条商业街",1,ROUND(1+(1.6*E8+1.2*E9+0.8*E10+0.4*E11)*C9,4))</f>
        <v>1</v>
      </c>
      <c r="D7" s="2019" t="s">
        <v>1951</v>
      </c>
      <c r="E7" s="775"/>
      <c r="F7" s="2020"/>
      <c r="G7" s="2021"/>
      <c r="H7" s="2021"/>
      <c r="I7" s="2021"/>
      <c r="J7" s="2022"/>
      <c r="K7" s="1383"/>
      <c r="L7" s="2000" t="s">
        <v>1952</v>
      </c>
      <c r="M7" s="863">
        <f>SUMPRODUCT((区片价!B190:B233=I2)*(区片价!C3:G3=E2)*(区片价!C190:G233))</f>
        <v>0</v>
      </c>
      <c r="N7" s="865">
        <f>SUMPRODUCT((因素修正幅度!B190:B233=I2)*(因素修正幅度!C3:G3=E2)*(因素修正幅度!C190:G233))</f>
        <v>0</v>
      </c>
      <c r="O7" s="1118"/>
      <c r="P7" s="1118"/>
      <c r="Q7" s="1118"/>
      <c r="R7" s="1211">
        <v>6</v>
      </c>
      <c r="S7" s="3413"/>
      <c r="T7" s="3355">
        <f t="shared" si="0"/>
        <v>0</v>
      </c>
      <c r="U7" s="1212"/>
      <c r="V7" s="3355">
        <f t="shared" si="1"/>
        <v>0</v>
      </c>
      <c r="W7" s="1357" t="s">
        <v>1953</v>
      </c>
      <c r="X7" s="1213" t="str">
        <f>G2</f>
        <v>一级</v>
      </c>
      <c r="Y7" s="1213" t="s">
        <v>1954</v>
      </c>
      <c r="Z7" s="1214">
        <f>G3</f>
        <v>3.94</v>
      </c>
      <c r="AA7" s="1215"/>
      <c r="AB7" s="1215"/>
      <c r="AC7" s="1216"/>
      <c r="AD7" s="1217"/>
      <c r="AE7" s="1217"/>
      <c r="AF7" s="1217"/>
      <c r="AG7" s="1217"/>
      <c r="AH7" s="1217"/>
      <c r="AI7" s="1217"/>
      <c r="AJ7" s="1218"/>
    </row>
    <row r="8" spans="1:36" ht="25.5">
      <c r="A8" s="3293"/>
      <c r="B8" s="170" t="s">
        <v>1955</v>
      </c>
      <c r="C8" s="2023" t="s">
        <v>3488</v>
      </c>
      <c r="D8" s="755" t="s">
        <v>112</v>
      </c>
      <c r="E8" s="756" t="e">
        <f>ROUND(C11/E7,4)</f>
        <v>#DIV/0!</v>
      </c>
      <c r="F8" s="2024" t="s">
        <v>1956</v>
      </c>
      <c r="G8" s="2025"/>
      <c r="H8" s="2025"/>
      <c r="I8" s="2025"/>
      <c r="J8" s="2026"/>
      <c r="K8" s="1118"/>
      <c r="L8" s="2000" t="s">
        <v>1957</v>
      </c>
      <c r="M8" s="863">
        <f>SUMPRODUCT((区片价!B234:B276=I2)*(区片价!C3:G3=E2)*(区片价!C234:G276))</f>
        <v>0</v>
      </c>
      <c r="N8" s="865">
        <f>SUMPRODUCT((因素修正幅度!B234:B276=I2)*(因素修正幅度!C3:G3=E2)*(因素修正幅度!C234:G276))</f>
        <v>0</v>
      </c>
      <c r="O8" s="1118"/>
      <c r="P8" s="1118"/>
      <c r="Q8" s="1118"/>
      <c r="R8" s="1211">
        <v>7</v>
      </c>
      <c r="S8" s="1212"/>
      <c r="T8" s="3355">
        <f t="shared" si="0"/>
        <v>0</v>
      </c>
      <c r="U8" s="1212"/>
      <c r="V8" s="3355">
        <f t="shared" si="1"/>
        <v>0</v>
      </c>
      <c r="W8" s="3652" t="s">
        <v>1958</v>
      </c>
      <c r="X8" s="3653"/>
      <c r="Y8" s="1219" t="s">
        <v>1959</v>
      </c>
      <c r="Z8" s="1219" t="s">
        <v>1960</v>
      </c>
      <c r="AA8" s="1219" t="s">
        <v>1961</v>
      </c>
      <c r="AB8" s="1219" t="s">
        <v>1962</v>
      </c>
      <c r="AC8" s="1219" t="s">
        <v>1963</v>
      </c>
      <c r="AD8" s="1219" t="s">
        <v>1964</v>
      </c>
      <c r="AE8" s="1219" t="s">
        <v>1965</v>
      </c>
      <c r="AF8" s="1219" t="s">
        <v>1966</v>
      </c>
      <c r="AG8" s="1219" t="s">
        <v>1967</v>
      </c>
      <c r="AH8" s="1219" t="s">
        <v>1968</v>
      </c>
      <c r="AI8" s="1219" t="s">
        <v>1969</v>
      </c>
      <c r="AJ8" s="1219" t="s">
        <v>1970</v>
      </c>
    </row>
    <row r="9" spans="1:36" ht="15">
      <c r="A9" s="3293"/>
      <c r="B9" s="170" t="s">
        <v>1971</v>
      </c>
      <c r="C9" s="757">
        <f>SUMIF(修正!C71:C138,C8,修正!E71:E138)</f>
        <v>0</v>
      </c>
      <c r="D9" s="171" t="s">
        <v>113</v>
      </c>
      <c r="E9" s="171" t="e">
        <f>ROUND(C11/E7,4)</f>
        <v>#DIV/0!</v>
      </c>
      <c r="F9" s="2024" t="s">
        <v>1972</v>
      </c>
      <c r="G9" s="2025"/>
      <c r="H9" s="2025"/>
      <c r="I9" s="2025"/>
      <c r="J9" s="2026"/>
      <c r="K9" s="1118"/>
      <c r="L9" s="2000" t="s">
        <v>1973</v>
      </c>
      <c r="M9" s="863">
        <f>SUMPRODUCT((区片价!B277:B326=I2)*(区片价!C3:G3=E2)*(区片价!C277:G326))</f>
        <v>0</v>
      </c>
      <c r="N9" s="865">
        <f>SUMPRODUCT((因素修正幅度!B277:B326=I2)*(因素修正幅度!C3:G3=E2)*(因素修正幅度!C277:G326))</f>
        <v>0</v>
      </c>
      <c r="O9" s="1118"/>
      <c r="P9" s="1118"/>
      <c r="Q9" s="1118"/>
      <c r="R9" s="1211">
        <v>8</v>
      </c>
      <c r="S9" s="1212"/>
      <c r="T9" s="3355">
        <f t="shared" si="0"/>
        <v>0</v>
      </c>
      <c r="U9" s="1212"/>
      <c r="V9" s="3355">
        <f t="shared" si="1"/>
        <v>0</v>
      </c>
      <c r="W9" s="3654"/>
      <c r="X9" s="3356" t="s">
        <v>3260</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1974</v>
      </c>
      <c r="C10" s="171">
        <f>SUMIF(修正!C71:C138,C8,修正!F71:F138)</f>
        <v>0</v>
      </c>
      <c r="D10" s="171" t="s">
        <v>114</v>
      </c>
      <c r="E10" s="171" t="e">
        <f>ROUND(C11/E7,4)</f>
        <v>#DIV/0!</v>
      </c>
      <c r="F10" s="2024" t="s">
        <v>1975</v>
      </c>
      <c r="G10" s="2025"/>
      <c r="H10" s="2025"/>
      <c r="I10" s="2025"/>
      <c r="J10" s="2026"/>
      <c r="K10" s="1118"/>
      <c r="L10" s="2000" t="s">
        <v>1976</v>
      </c>
      <c r="M10" s="863">
        <f>SUMPRODUCT((区片价!B327:B357=I2)*(区片价!C3:G3=E2)*(区片价!C327:G357))</f>
        <v>0</v>
      </c>
      <c r="N10" s="865">
        <f>SUMPRODUCT((因素修正幅度!B327:B357=I2)*(因素修正幅度!C3:G3=E2)*(因素修正幅度!C327:G357))</f>
        <v>0</v>
      </c>
      <c r="O10" s="1118"/>
      <c r="P10" s="1118"/>
      <c r="Q10" s="1118"/>
      <c r="R10" s="1211">
        <v>9</v>
      </c>
      <c r="S10" s="1212"/>
      <c r="T10" s="3355">
        <f t="shared" si="0"/>
        <v>0</v>
      </c>
      <c r="U10" s="1212"/>
      <c r="V10" s="3355">
        <f t="shared" si="1"/>
        <v>0</v>
      </c>
      <c r="W10" s="3654"/>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7" t="s">
        <v>1977</v>
      </c>
      <c r="C11" s="758">
        <f>C10/4</f>
        <v>0</v>
      </c>
      <c r="D11" s="758" t="s">
        <v>115</v>
      </c>
      <c r="E11" s="758" t="e">
        <f>ROUND(C11/E7,4)</f>
        <v>#DIV/0!</v>
      </c>
      <c r="F11" s="2028" t="s">
        <v>1978</v>
      </c>
      <c r="G11" s="2029"/>
      <c r="H11" s="2029"/>
      <c r="I11" s="2029"/>
      <c r="J11" s="2030"/>
      <c r="K11" s="1118"/>
      <c r="L11" s="2000" t="s">
        <v>1979</v>
      </c>
      <c r="M11" s="863">
        <f>SUMPRODUCT((区片价!B358:B377=I2)*(区片价!C3:G3=E2)*(区片价!C358:G377))</f>
        <v>0</v>
      </c>
      <c r="N11" s="865">
        <f>SUMPRODUCT((因素修正幅度!B358:B377=I2)*(因素修正幅度!C3:G3=E2)*(因素修正幅度!C358:G377))</f>
        <v>0</v>
      </c>
      <c r="O11" s="1118"/>
      <c r="P11" s="1118"/>
      <c r="Q11" s="1118"/>
      <c r="R11" s="1211">
        <v>10</v>
      </c>
      <c r="S11" s="1212"/>
      <c r="T11" s="3355">
        <f t="shared" si="0"/>
        <v>0</v>
      </c>
      <c r="U11" s="1212"/>
      <c r="V11" s="3355">
        <f t="shared" si="1"/>
        <v>0</v>
      </c>
      <c r="W11" s="1215"/>
      <c r="X11" s="1215"/>
      <c r="Y11" s="1215"/>
      <c r="Z11" s="1215"/>
      <c r="AA11" s="1215"/>
      <c r="AB11" s="1215"/>
      <c r="AC11" s="1216"/>
      <c r="AD11" s="2783"/>
      <c r="AE11" s="2783"/>
      <c r="AF11" s="2783"/>
      <c r="AG11" s="2783"/>
      <c r="AH11" s="2783"/>
      <c r="AI11" s="2783"/>
      <c r="AJ11" s="2784"/>
    </row>
    <row r="12" spans="1:36" ht="25.5" thickBot="1">
      <c r="A12" s="3298" t="s">
        <v>3230</v>
      </c>
      <c r="B12" s="3299" t="s">
        <v>3231</v>
      </c>
      <c r="C12" s="3300">
        <v>1</v>
      </c>
      <c r="D12" s="3301" t="s">
        <v>3232</v>
      </c>
      <c r="E12" s="3302" t="s">
        <v>3233</v>
      </c>
      <c r="F12" s="3303"/>
      <c r="G12" s="3304"/>
      <c r="H12" s="3304"/>
      <c r="I12" s="3304"/>
      <c r="J12" s="3305"/>
      <c r="K12" s="1118"/>
      <c r="L12" s="2036" t="s">
        <v>1982</v>
      </c>
      <c r="M12" s="864">
        <f>SUMPRODUCT((区片价!B378:B384=I2)*(区片价!C3:G3=E2)*(区片价!C378:G384))</f>
        <v>0</v>
      </c>
      <c r="N12" s="865">
        <f>SUMPRODUCT((因素修正幅度!B378:B384=I2)*(因素修正幅度!C3:G3=E2)*(因素修正幅度!C378:G384))</f>
        <v>0</v>
      </c>
      <c r="O12" s="1118"/>
      <c r="P12" s="1118"/>
      <c r="Q12" s="1118"/>
      <c r="R12" s="1211">
        <v>11</v>
      </c>
      <c r="S12" s="1212"/>
      <c r="T12" s="3355">
        <f t="shared" si="0"/>
        <v>0</v>
      </c>
      <c r="U12" s="1212"/>
      <c r="V12" s="3355">
        <f t="shared" si="1"/>
        <v>0</v>
      </c>
      <c r="W12" s="1215"/>
      <c r="X12" s="1215"/>
      <c r="Y12" s="1215"/>
      <c r="Z12" s="1215"/>
      <c r="AA12" s="1215"/>
      <c r="AB12" s="1215"/>
      <c r="AC12" s="1216"/>
      <c r="AD12" s="2783"/>
      <c r="AE12" s="2783"/>
      <c r="AF12" s="2783"/>
      <c r="AG12" s="2783"/>
      <c r="AH12" s="2783"/>
      <c r="AI12" s="2783"/>
      <c r="AJ12" s="2784"/>
    </row>
    <row r="13" spans="1:36" ht="15.75" thickBot="1">
      <c r="A13" s="3298" t="s">
        <v>3234</v>
      </c>
      <c r="B13" s="2031" t="s">
        <v>1980</v>
      </c>
      <c r="C13" s="754">
        <f>ROUND(C16*D16*E16*F16*G16*H16*I16*J16,4)</f>
        <v>0</v>
      </c>
      <c r="D13" s="2032" t="s">
        <v>1981</v>
      </c>
      <c r="E13" s="2033"/>
      <c r="F13" s="2033"/>
      <c r="G13" s="2034"/>
      <c r="H13" s="2034"/>
      <c r="I13" s="2034"/>
      <c r="J13" s="2035"/>
      <c r="K13" s="1118"/>
      <c r="L13" s="3294"/>
      <c r="M13" s="3295"/>
      <c r="N13" s="3296"/>
      <c r="O13" s="1118"/>
      <c r="P13" s="1118"/>
      <c r="Q13" s="1118"/>
      <c r="R13" s="1211">
        <v>12</v>
      </c>
      <c r="S13" s="1212"/>
      <c r="T13" s="3355">
        <f t="shared" si="0"/>
        <v>0</v>
      </c>
      <c r="U13" s="1212"/>
      <c r="V13" s="3355">
        <f t="shared" si="1"/>
        <v>0</v>
      </c>
      <c r="W13" s="1215"/>
      <c r="X13" s="1215"/>
      <c r="Y13" s="1215"/>
      <c r="Z13" s="1215"/>
      <c r="AA13" s="1215"/>
      <c r="AB13" s="1215"/>
      <c r="AC13" s="1216"/>
      <c r="AD13" s="2783"/>
      <c r="AE13" s="2783"/>
      <c r="AF13" s="2783"/>
      <c r="AG13" s="2783"/>
      <c r="AH13" s="2783"/>
      <c r="AI13" s="2783"/>
      <c r="AJ13" s="2784"/>
    </row>
    <row r="14" spans="1:36" ht="15">
      <c r="A14" s="3292"/>
      <c r="B14" s="2037" t="s">
        <v>1983</v>
      </c>
      <c r="C14" s="2038" t="s">
        <v>1984</v>
      </c>
      <c r="D14" s="1349" t="s">
        <v>1985</v>
      </c>
      <c r="E14" s="27" t="s">
        <v>1986</v>
      </c>
      <c r="F14" s="3306" t="s">
        <v>3235</v>
      </c>
      <c r="G14" s="3306" t="s">
        <v>3235</v>
      </c>
      <c r="H14" s="3306" t="s">
        <v>3235</v>
      </c>
      <c r="I14" s="3306" t="s">
        <v>3235</v>
      </c>
      <c r="J14" s="3306" t="s">
        <v>3235</v>
      </c>
      <c r="K14" s="1118"/>
      <c r="L14" s="1118"/>
      <c r="M14" s="1118"/>
      <c r="N14" s="1118"/>
      <c r="O14" s="1118"/>
      <c r="P14" s="1118"/>
      <c r="Q14" s="1118"/>
      <c r="R14" s="1211">
        <v>13</v>
      </c>
      <c r="S14" s="1212"/>
      <c r="T14" s="3355">
        <f t="shared" si="0"/>
        <v>0</v>
      </c>
      <c r="U14" s="1212"/>
      <c r="V14" s="3355">
        <f t="shared" si="1"/>
        <v>0</v>
      </c>
      <c r="W14" s="1215"/>
      <c r="X14" s="1215"/>
      <c r="Y14" s="1215"/>
      <c r="Z14" s="1215"/>
      <c r="AA14" s="1215"/>
      <c r="AB14" s="1215"/>
      <c r="AC14" s="1216"/>
      <c r="AD14" s="2783"/>
      <c r="AE14" s="2783"/>
      <c r="AF14" s="2783"/>
      <c r="AG14" s="2783"/>
      <c r="AH14" s="2783"/>
      <c r="AI14" s="2783"/>
      <c r="AJ14" s="2784"/>
    </row>
    <row r="15" spans="1:36" ht="15">
      <c r="A15" s="3292"/>
      <c r="B15" s="2039"/>
      <c r="C15" s="2040"/>
      <c r="D15" s="2041"/>
      <c r="E15" s="2042"/>
      <c r="F15" s="3307" t="s">
        <v>3236</v>
      </c>
      <c r="G15" s="3308"/>
      <c r="H15" s="3309"/>
      <c r="I15" s="3310"/>
      <c r="J15" s="3311"/>
      <c r="K15" s="1118"/>
      <c r="L15" s="1118"/>
      <c r="M15" s="1118"/>
      <c r="N15" s="1118"/>
      <c r="O15" s="1118"/>
      <c r="P15" s="1118"/>
      <c r="Q15" s="1118"/>
      <c r="R15" s="1211">
        <v>14</v>
      </c>
      <c r="S15" s="1212"/>
      <c r="T15" s="3355">
        <f t="shared" si="0"/>
        <v>0</v>
      </c>
      <c r="U15" s="1212"/>
      <c r="V15" s="3355">
        <f t="shared" si="1"/>
        <v>0</v>
      </c>
      <c r="W15" s="1215"/>
      <c r="X15" s="1215"/>
      <c r="Y15" s="1215"/>
      <c r="Z15" s="1215"/>
      <c r="AA15" s="1215"/>
      <c r="AB15" s="1215"/>
      <c r="AC15" s="1216"/>
      <c r="AD15" s="2783"/>
      <c r="AE15" s="2783"/>
      <c r="AF15" s="2783"/>
      <c r="AG15" s="2783"/>
      <c r="AH15" s="2783"/>
      <c r="AI15" s="2783"/>
      <c r="AJ15" s="2784"/>
    </row>
    <row r="16" spans="1:36" ht="15.75" thickBot="1">
      <c r="A16" s="3292"/>
      <c r="B16" s="3314" t="s">
        <v>1987</v>
      </c>
      <c r="C16" s="3312"/>
      <c r="D16" s="3312"/>
      <c r="E16" s="3312"/>
      <c r="F16" s="3312">
        <v>1</v>
      </c>
      <c r="G16" s="3312">
        <v>1</v>
      </c>
      <c r="H16" s="3312">
        <v>1</v>
      </c>
      <c r="I16" s="3312">
        <v>1</v>
      </c>
      <c r="J16" s="3313">
        <v>1</v>
      </c>
      <c r="K16" s="1118"/>
      <c r="L16" s="1994"/>
      <c r="M16" s="1994"/>
      <c r="N16" s="1994"/>
      <c r="O16" s="1994"/>
      <c r="P16" s="1994"/>
      <c r="Q16" s="1118"/>
      <c r="R16" s="1211">
        <v>15</v>
      </c>
      <c r="S16" s="1212"/>
      <c r="T16" s="3355">
        <f t="shared" si="0"/>
        <v>0</v>
      </c>
      <c r="U16" s="1212"/>
      <c r="V16" s="3355">
        <f t="shared" si="1"/>
        <v>0</v>
      </c>
      <c r="W16" s="1215"/>
      <c r="X16" s="1215"/>
      <c r="Y16" s="1215"/>
      <c r="Z16" s="1215"/>
      <c r="AA16" s="1215"/>
      <c r="AB16" s="1215"/>
      <c r="AC16" s="1216"/>
      <c r="AD16" s="2783"/>
      <c r="AE16" s="2783"/>
      <c r="AF16" s="2783"/>
      <c r="AG16" s="2783"/>
      <c r="AH16" s="2783"/>
      <c r="AI16" s="2783"/>
      <c r="AJ16" s="2784"/>
    </row>
    <row r="17" spans="1:37">
      <c r="A17" s="3324" t="s">
        <v>3237</v>
      </c>
      <c r="B17" s="3315" t="s">
        <v>3238</v>
      </c>
      <c r="C17" s="3325">
        <f>ROUND(IF(OR(E2="工业",E2="公共服务"),1,IF(AND(E18=0,E19=0),1,IF(AND(E18=J24,E19=G19),0.8,IF(E19=0,1+E17*(-0.2),1+E17*G17*(-0.2))))),4)</f>
        <v>1</v>
      </c>
      <c r="D17" s="3316" t="s">
        <v>3239</v>
      </c>
      <c r="E17" s="3325">
        <f>ROUND(G18/I18,2)</f>
        <v>0</v>
      </c>
      <c r="F17" s="3316" t="s">
        <v>3242</v>
      </c>
      <c r="G17" s="3325" t="e">
        <f>ROUND(E19/G19,2)</f>
        <v>#DIV/0!</v>
      </c>
      <c r="H17" s="3325"/>
      <c r="I17" s="3325"/>
      <c r="J17" s="3326"/>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27"/>
      <c r="B18" s="3004"/>
      <c r="C18" s="3322"/>
      <c r="D18" s="3317" t="s">
        <v>3240</v>
      </c>
      <c r="E18" s="3323"/>
      <c r="F18" s="3318" t="s">
        <v>3243</v>
      </c>
      <c r="G18" s="3322">
        <f>ROUND(1-(1/(POWER(1+G24,E18))),4)</f>
        <v>0</v>
      </c>
      <c r="H18" s="3318" t="s">
        <v>3245</v>
      </c>
      <c r="I18" s="3322">
        <f>ROUND(1-(1/(POWER(1+G24,J24))),4)</f>
        <v>0.93120000000000003</v>
      </c>
      <c r="J18" s="3328"/>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8"/>
      <c r="AH18" s="2138"/>
      <c r="AI18" s="2138"/>
      <c r="AJ18" s="2782"/>
    </row>
    <row r="19" spans="1:37" s="2011" customFormat="1" ht="15" thickBot="1">
      <c r="A19" s="3329"/>
      <c r="B19" s="3330"/>
      <c r="C19" s="3331"/>
      <c r="D19" s="3331" t="s">
        <v>3241</v>
      </c>
      <c r="E19" s="3332"/>
      <c r="F19" s="3333" t="s">
        <v>3244</v>
      </c>
      <c r="G19" s="3332"/>
      <c r="H19" s="3331"/>
      <c r="I19" s="3331"/>
      <c r="J19" s="3334"/>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5"/>
      <c r="AH19" s="2138"/>
      <c r="AI19" s="2786"/>
      <c r="AJ19" s="2786"/>
      <c r="AK19" s="2054"/>
    </row>
    <row r="20" spans="1:37" s="2011" customFormat="1" ht="14.25">
      <c r="A20" s="3659" t="s">
        <v>3246</v>
      </c>
      <c r="B20" s="167" t="s">
        <v>1992</v>
      </c>
      <c r="C20" s="3319">
        <f>ROUND(IF(F21="与级别开发程度一致",0,(G21-E21)/C21),0)</f>
        <v>-31</v>
      </c>
      <c r="D20" s="3335" t="s">
        <v>1996</v>
      </c>
      <c r="E20" s="3336"/>
      <c r="F20" s="3665" t="s">
        <v>1993</v>
      </c>
      <c r="G20" s="3666"/>
      <c r="H20" s="3320" t="s">
        <v>3375</v>
      </c>
      <c r="I20" s="3320" t="s">
        <v>3376</v>
      </c>
      <c r="J20" s="3321" t="s">
        <v>3377</v>
      </c>
      <c r="K20" s="2044" t="s">
        <v>3378</v>
      </c>
      <c r="L20" s="2044" t="s">
        <v>3379</v>
      </c>
      <c r="M20" s="2044" t="s">
        <v>3380</v>
      </c>
      <c r="N20" s="2044"/>
      <c r="O20" s="2045"/>
      <c r="P20" s="1994"/>
      <c r="Q20" s="1123"/>
      <c r="R20" s="1123"/>
      <c r="S20" s="1123"/>
      <c r="T20" s="1119"/>
      <c r="U20" s="1119"/>
      <c r="V20" s="1119"/>
      <c r="W20" s="1118"/>
      <c r="X20" s="1118"/>
      <c r="Y20" s="1118"/>
      <c r="Z20" s="1124"/>
      <c r="AA20" s="1124"/>
      <c r="AB20" s="1124"/>
      <c r="AC20" s="1124"/>
      <c r="AD20" s="1124"/>
      <c r="AE20" s="1124"/>
      <c r="AF20" s="1124"/>
      <c r="AG20" s="2782"/>
      <c r="AH20" s="2782"/>
      <c r="AI20" s="2782"/>
      <c r="AJ20" s="2782"/>
    </row>
    <row r="21" spans="1:37" s="2011" customFormat="1" ht="26.25" thickBot="1">
      <c r="A21" s="3660"/>
      <c r="B21" s="2161" t="s">
        <v>1995</v>
      </c>
      <c r="C21" s="2162">
        <f>IF(E3="M4科研用地",SUMPRODUCT((修正!A2:A7=E3)*(修正!B1:M1=G2)*(修正!B2:M7)),SUMPRODUCT((修正!A2:A7=E2)*(修正!B1:M1=G2)*(修正!B2:M7)))</f>
        <v>3.5</v>
      </c>
      <c r="D21" s="187" t="str">
        <f>IF(OR(G2="八级",G2="九级",G2="十级",G2="十一级",G2="十二级"),"五通一平","七通一平")</f>
        <v>七通一平</v>
      </c>
      <c r="E21" s="2152">
        <f>SUMPRODUCT((修正!B1:M1=G2)*(修正!B17:M17))</f>
        <v>375</v>
      </c>
      <c r="F21" s="2153" t="s">
        <v>3503</v>
      </c>
      <c r="G21" s="2154">
        <f>SUM(H21:O21)</f>
        <v>265</v>
      </c>
      <c r="H21" s="2162">
        <f>SUMPRODUCT((七通一平=H20)*(修正!B1:M1=G2)*(修正!B8:M16))</f>
        <v>80</v>
      </c>
      <c r="I21" s="2162">
        <f>SUMPRODUCT((七通一平=I20)*(修正!B1:M1=G2)*(修正!B8:M16))</f>
        <v>70</v>
      </c>
      <c r="J21" s="2163">
        <f>SUMPRODUCT((七通一平=J20)*(修正!B1:M1=G2)*(修正!B8:M16))</f>
        <v>20</v>
      </c>
      <c r="K21" s="2162">
        <f>SUMPRODUCT((七通一平=K20)*(修正!B1:M1=G2)*(修正!B8:M16))</f>
        <v>30</v>
      </c>
      <c r="L21" s="2162">
        <f>SUMPRODUCT((七通一平=L20)*(修正!B1:M1=G2)*(修正!B8:M16))</f>
        <v>45</v>
      </c>
      <c r="M21" s="2162">
        <f>SUMPRODUCT((七通一平=M20)*(修正!B1:M1=G2)*(修正!B8:M16))</f>
        <v>20</v>
      </c>
      <c r="N21" s="2162">
        <f>SUMPRODUCT((七通一平=N20)*(修正!B1:M1=G2)*(修正!B8:M16))</f>
        <v>0</v>
      </c>
      <c r="O21" s="2164">
        <f>SUMPRODUCT((七通一平=O20)*(修正!B1:M1=G2)*(修正!B8:M16))</f>
        <v>0</v>
      </c>
      <c r="P21" s="1994"/>
      <c r="Q21" s="2782"/>
      <c r="R21" s="1123"/>
      <c r="S21" s="1123"/>
      <c r="T21" s="1119"/>
      <c r="U21" s="1119"/>
      <c r="V21" s="1119"/>
      <c r="W21" s="1118"/>
      <c r="X21" s="1118"/>
      <c r="Y21" s="1118"/>
      <c r="Z21" s="1124"/>
      <c r="AA21" s="1124"/>
      <c r="AB21" s="1124"/>
      <c r="AC21" s="1124"/>
      <c r="AD21" s="1124"/>
      <c r="AE21" s="1124"/>
      <c r="AF21" s="1124"/>
      <c r="AG21" s="2782"/>
      <c r="AH21" s="2782"/>
      <c r="AI21" s="2782"/>
      <c r="AJ21" s="2782"/>
    </row>
    <row r="22" spans="1:37" s="2011" customFormat="1" ht="15.75" thickBot="1">
      <c r="A22" s="2155" t="s">
        <v>363</v>
      </c>
      <c r="B22" s="2156" t="s">
        <v>1998</v>
      </c>
      <c r="C22" s="2157">
        <f>SUMIF(修正!C20:C51,E3,修正!E20:E51)</f>
        <v>1</v>
      </c>
      <c r="D22" s="2158"/>
      <c r="E22" s="2159"/>
      <c r="F22" s="2159"/>
      <c r="G22" s="2159"/>
      <c r="H22" s="2159"/>
      <c r="I22" s="2159"/>
      <c r="J22" s="2160"/>
      <c r="K22" s="1124"/>
      <c r="L22" s="2782"/>
      <c r="M22" s="2782"/>
      <c r="N22" s="2782"/>
      <c r="O22" s="1122"/>
      <c r="P22" s="1122"/>
      <c r="Q22" s="2782"/>
      <c r="R22" s="1123"/>
      <c r="S22" s="1123"/>
      <c r="T22" s="1119"/>
      <c r="U22" s="1119"/>
      <c r="V22" s="1119"/>
      <c r="W22" s="1118"/>
      <c r="X22" s="1118"/>
      <c r="Y22" s="1118"/>
      <c r="Z22" s="1124"/>
      <c r="AA22" s="1124"/>
      <c r="AB22" s="1124"/>
      <c r="AC22" s="1124"/>
      <c r="AD22" s="1124"/>
      <c r="AE22" s="1124"/>
      <c r="AF22" s="1124"/>
      <c r="AG22" s="2782"/>
      <c r="AH22" s="2782"/>
      <c r="AI22" s="2782"/>
      <c r="AJ22" s="2782"/>
    </row>
    <row r="23" spans="1:37" ht="26.25" thickBot="1">
      <c r="A23" s="2047" t="s">
        <v>364</v>
      </c>
      <c r="B23" s="2048" t="s">
        <v>1999</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1" t="s">
        <v>2000</v>
      </c>
      <c r="E23" s="760">
        <v>44197</v>
      </c>
      <c r="F23" s="2051" t="s">
        <v>2001</v>
      </c>
      <c r="G23" s="761">
        <f>'数据-取费表'!B2</f>
        <v>45135</v>
      </c>
      <c r="H23" s="3337" t="s">
        <v>3248</v>
      </c>
      <c r="I23" s="3338" t="str">
        <f>IF(H23="季度增幅（自定义）",SUMIF(N25:N28,E2,O25:O28),"")</f>
        <v/>
      </c>
      <c r="J23" s="3440" t="s">
        <v>3247</v>
      </c>
      <c r="K23" s="1124"/>
      <c r="L23" s="2052" t="s">
        <v>2002</v>
      </c>
      <c r="M23" s="1327">
        <f>ROUND(SUMIF(地价!B2:G2,E2,地价!B16:G16),0)</f>
        <v>350</v>
      </c>
      <c r="N23" s="2053" t="s">
        <v>2003</v>
      </c>
      <c r="O23" s="762">
        <f>ROUNDDOWN(DATEDIF(E23,G23,"M")/3,0)</f>
        <v>10</v>
      </c>
      <c r="P23" s="1121"/>
      <c r="Q23" s="2782"/>
      <c r="R23" s="1123"/>
      <c r="S23" s="1123"/>
      <c r="T23" s="1119"/>
      <c r="U23" s="1119"/>
      <c r="V23" s="1119"/>
      <c r="W23" s="1118"/>
      <c r="X23" s="1118"/>
      <c r="Y23" s="1118"/>
      <c r="Z23" s="1124"/>
      <c r="AA23" s="1124"/>
      <c r="AB23" s="1124"/>
      <c r="AC23" s="1124"/>
      <c r="AD23" s="1124"/>
      <c r="AE23" s="1119"/>
      <c r="AF23" s="1119"/>
      <c r="AG23" s="2138"/>
      <c r="AH23" s="2138"/>
      <c r="AI23" s="2138"/>
      <c r="AJ23" s="2138"/>
      <c r="AK23" s="2050"/>
    </row>
    <row r="24" spans="1:37" s="2011" customFormat="1" ht="24.75" thickBot="1">
      <c r="A24" s="2055" t="s">
        <v>365</v>
      </c>
      <c r="B24" s="2056" t="s">
        <v>2004</v>
      </c>
      <c r="C24" s="763">
        <f>ROUND(POWER(1+G24,J24-I24)*(POWER(1+G24,I24)-1)/(POWER(1+G24,J24)-1),4)</f>
        <v>0.8377</v>
      </c>
      <c r="D24" s="2057" t="s">
        <v>2005</v>
      </c>
      <c r="E24" s="1334">
        <f>存贷款利率!E23/100</f>
        <v>4.3499999999999997E-2</v>
      </c>
      <c r="F24" s="2057" t="s">
        <v>1997</v>
      </c>
      <c r="G24" s="767">
        <f>SUMIF(M30:Q30,E2,M33:Q33)</f>
        <v>5.5E-2</v>
      </c>
      <c r="H24" s="2057" t="s">
        <v>2006</v>
      </c>
      <c r="I24" s="768">
        <f>SUMIF('数据-取费表'!C6:C15,E2,'数据-取费表'!F6:F15)/COUNTIF('数据-取费表'!C6:C15,E2)</f>
        <v>28.29</v>
      </c>
      <c r="J24" s="769">
        <f>IF(E2="住宅",70,IF(E2="商业",40,50))</f>
        <v>50</v>
      </c>
      <c r="K24" s="1124"/>
      <c r="L24" s="2058" t="s">
        <v>2007</v>
      </c>
      <c r="M24" s="1328">
        <f>ROUND(SUMPRODUCT((地价!A4:A16=YEAR(G23)&amp;"-"&amp;ROUNDUP(MONTH(G23)/3,0))*(地价!B2:G2=E2)*(地价!B4:G16)),0)</f>
        <v>0</v>
      </c>
      <c r="N24" s="2059" t="s">
        <v>2008</v>
      </c>
      <c r="O24" s="2060" t="s">
        <v>2009</v>
      </c>
      <c r="P24" s="2061" t="s">
        <v>2010</v>
      </c>
      <c r="Q24" s="1994"/>
      <c r="R24" s="1123"/>
      <c r="S24" s="1123"/>
      <c r="T24" s="1119"/>
      <c r="U24" s="1119"/>
      <c r="V24" s="1119"/>
      <c r="W24" s="1118"/>
      <c r="X24" s="1118"/>
      <c r="Y24" s="1118"/>
      <c r="Z24" s="1124"/>
      <c r="AA24" s="1124"/>
      <c r="AB24" s="1124"/>
      <c r="AC24" s="1124"/>
      <c r="AD24" s="1124"/>
      <c r="AE24" s="1124"/>
      <c r="AF24" s="1124"/>
      <c r="AG24" s="2782"/>
      <c r="AH24" s="2782"/>
      <c r="AI24" s="2782"/>
      <c r="AJ24" s="2782"/>
    </row>
    <row r="25" spans="1:37" ht="15">
      <c r="A25" s="2062" t="s">
        <v>366</v>
      </c>
      <c r="B25" s="2063" t="s">
        <v>3327</v>
      </c>
      <c r="C25" s="770">
        <f>IF(B25="容积率修正",IF(G3&lt;10,D26,J26),C27)</f>
        <v>0.98550000000000004</v>
      </c>
      <c r="D25" s="2064"/>
      <c r="E25" s="2064"/>
      <c r="F25" s="2064"/>
      <c r="G25" s="2064"/>
      <c r="H25" s="2064"/>
      <c r="I25" s="2064"/>
      <c r="J25" s="2065"/>
      <c r="K25" s="1124"/>
      <c r="L25" s="2782"/>
      <c r="M25" s="2782"/>
      <c r="N25" s="2066" t="s">
        <v>2011</v>
      </c>
      <c r="O25" s="1172"/>
      <c r="P25" s="1173">
        <f>SUMPRODUCT((地价!A3:A40=YEAR(G23)&amp;"-"&amp;ROUNDUP(MONTH(G23)/3,0))*(地价!AD2:AH2=N25)*(地价!AD3:AH40))</f>
        <v>0</v>
      </c>
      <c r="Q25" s="2782"/>
      <c r="R25" s="1123"/>
      <c r="S25" s="1123"/>
      <c r="T25" s="1119"/>
      <c r="U25" s="1119"/>
      <c r="V25" s="1119"/>
      <c r="W25" s="1118"/>
      <c r="X25" s="1118"/>
      <c r="Y25" s="1118"/>
      <c r="Z25" s="1124"/>
      <c r="AA25" s="1124"/>
      <c r="AB25" s="1124"/>
      <c r="AC25" s="1124"/>
      <c r="AD25" s="1124"/>
      <c r="AE25" s="1119"/>
      <c r="AF25" s="1119"/>
      <c r="AG25" s="2138"/>
      <c r="AH25" s="2138"/>
      <c r="AI25" s="2138"/>
      <c r="AJ25" s="2138"/>
    </row>
    <row r="26" spans="1:37" ht="14.25">
      <c r="A26" s="1952" t="s">
        <v>2012</v>
      </c>
      <c r="B26" s="2067" t="s">
        <v>2013</v>
      </c>
      <c r="C26" s="3339" t="s">
        <v>3249</v>
      </c>
      <c r="D26" s="1351">
        <f>IF(E26=G26,F26,IF(G3&lt;10,ROUND(F26+(H26-F26)*(G3-E26)/(G26-E26),4),"——"))</f>
        <v>0.98550000000000004</v>
      </c>
      <c r="E26" s="751">
        <f>ROUNDDOWN(G3,1)</f>
        <v>3.9</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0.98670000000000002</v>
      </c>
      <c r="G26" s="751">
        <f>ROUNDUP(G3,1)</f>
        <v>4</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0.98380000000000001</v>
      </c>
      <c r="I26" s="3339" t="s">
        <v>3250</v>
      </c>
      <c r="J26" s="771" t="str">
        <f>IF(G3&gt;=10,D115,"——")</f>
        <v>——</v>
      </c>
      <c r="K26" s="1124"/>
      <c r="L26" s="2782"/>
      <c r="M26" s="2782"/>
      <c r="N26" s="2066" t="s">
        <v>2014</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8"/>
      <c r="AH26" s="2138"/>
      <c r="AI26" s="2138"/>
      <c r="AJ26" s="2138"/>
    </row>
    <row r="27" spans="1:37" ht="15.75" thickBot="1">
      <c r="A27" s="1952" t="s">
        <v>2015</v>
      </c>
      <c r="B27" s="2068" t="s">
        <v>2016</v>
      </c>
      <c r="C27" s="840">
        <f>ROUND(IF(I3&lt;6,SUMPRODUCT((B106:B110=I3)*(C105:N105=G2)*(C106:N110)),SUMIF(C105:N105,G2,C112:N112)),4)</f>
        <v>0</v>
      </c>
      <c r="D27" s="2043"/>
      <c r="E27" s="2043"/>
      <c r="F27" s="2069"/>
      <c r="G27" s="2070"/>
      <c r="H27" s="2071"/>
      <c r="I27" s="2072"/>
      <c r="J27" s="2073"/>
      <c r="K27" s="1118"/>
      <c r="L27" s="1994"/>
      <c r="M27" s="1994"/>
      <c r="N27" s="2066" t="s">
        <v>2017</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8"/>
      <c r="AH27" s="2138"/>
      <c r="AI27" s="2138"/>
      <c r="AJ27" s="2138"/>
    </row>
    <row r="28" spans="1:37" ht="15.75" thickBot="1">
      <c r="A28" s="2055" t="s">
        <v>367</v>
      </c>
      <c r="B28" s="2048" t="s">
        <v>2018</v>
      </c>
      <c r="C28" s="759">
        <f>SUMIF(A47:A101,E2,B47:B101)</f>
        <v>1.0445</v>
      </c>
      <c r="D28" s="2049"/>
      <c r="E28" s="2074"/>
      <c r="F28" s="2074"/>
      <c r="G28" s="2074"/>
      <c r="H28" s="2074"/>
      <c r="I28" s="2074"/>
      <c r="J28" s="2075"/>
      <c r="K28" s="1124"/>
      <c r="L28" s="2782"/>
      <c r="M28" s="2782"/>
      <c r="N28" s="2076" t="s">
        <v>2019</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8"/>
      <c r="AH28" s="2138"/>
      <c r="AI28" s="2138"/>
      <c r="AJ28" s="2138"/>
    </row>
    <row r="29" spans="1:37" ht="15.75" thickBot="1">
      <c r="A29" s="2055" t="s">
        <v>368</v>
      </c>
      <c r="B29" s="2077" t="s">
        <v>2020</v>
      </c>
      <c r="C29" s="764"/>
      <c r="D29" s="2021"/>
      <c r="E29" s="2021"/>
      <c r="F29" s="2078"/>
      <c r="G29" s="2021"/>
      <c r="H29" s="2021"/>
      <c r="I29" s="2021"/>
      <c r="J29" s="2022"/>
      <c r="K29" s="1118"/>
      <c r="L29" s="1994"/>
      <c r="M29" s="1994"/>
      <c r="N29" s="2779" t="s">
        <v>2021</v>
      </c>
      <c r="O29" s="2780"/>
      <c r="P29" s="2781">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9"/>
      <c r="B30" s="2067" t="s">
        <v>2022</v>
      </c>
      <c r="C30" s="2318">
        <f>IF(B25="容积率修正",E33+SUM(E37:E42),SUM(V2:V16)+SUM(E37:E42))</f>
        <v>346</v>
      </c>
      <c r="D30" s="2080"/>
      <c r="E30" s="2043"/>
      <c r="F30" s="2081"/>
      <c r="G30" s="2043"/>
      <c r="H30" s="2043"/>
      <c r="I30" s="2043"/>
      <c r="J30" s="2082"/>
      <c r="K30" s="1118"/>
      <c r="L30" s="3345" t="s">
        <v>1934</v>
      </c>
      <c r="M30" s="3346" t="s">
        <v>1988</v>
      </c>
      <c r="N30" s="3346" t="s">
        <v>1989</v>
      </c>
      <c r="O30" s="3346" t="s">
        <v>1990</v>
      </c>
      <c r="P30" s="3346" t="s">
        <v>1991</v>
      </c>
      <c r="Q30" s="3349" t="s">
        <v>3254</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9"/>
      <c r="B31" s="2083" t="s">
        <v>2023</v>
      </c>
      <c r="C31" s="765">
        <f>E34+SUM(I37:I42)</f>
        <v>0</v>
      </c>
      <c r="D31" s="2084"/>
      <c r="E31" s="2085"/>
      <c r="F31" s="2086"/>
      <c r="G31" s="2085"/>
      <c r="H31" s="2085"/>
      <c r="I31" s="2085"/>
      <c r="J31" s="2087"/>
      <c r="K31" s="1118"/>
      <c r="L31" s="3347" t="s">
        <v>1994</v>
      </c>
      <c r="M31" s="1997">
        <v>0.25</v>
      </c>
      <c r="N31" s="1997">
        <v>0.2</v>
      </c>
      <c r="O31" s="1997">
        <v>0.15</v>
      </c>
      <c r="P31" s="1997">
        <v>0.1</v>
      </c>
      <c r="Q31" s="3342">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8"/>
      <c r="B32" s="2089" t="s">
        <v>2024</v>
      </c>
      <c r="C32" s="2090" t="s">
        <v>2025</v>
      </c>
      <c r="D32" s="2090" t="s">
        <v>2026</v>
      </c>
      <c r="E32" s="2091" t="s">
        <v>2027</v>
      </c>
      <c r="F32" s="2092"/>
      <c r="G32" s="2034"/>
      <c r="H32" s="2034"/>
      <c r="I32" s="2034"/>
      <c r="J32" s="2035"/>
      <c r="K32" s="1118"/>
      <c r="L32" s="3348" t="s">
        <v>1997</v>
      </c>
      <c r="M32" s="2564">
        <f>ROUND($E$24*(1+M31),3)</f>
        <v>5.3999999999999999E-2</v>
      </c>
      <c r="N32" s="2564">
        <f>ROUND($E$24*(1+N31),3)</f>
        <v>5.1999999999999998E-2</v>
      </c>
      <c r="O32" s="2564">
        <f>ROUND($E$24*(1+O31),3)</f>
        <v>0.05</v>
      </c>
      <c r="P32" s="2564">
        <f>ROUND($E$24*(1+P31),3)</f>
        <v>4.8000000000000001E-2</v>
      </c>
      <c r="Q32" s="3350">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3"/>
      <c r="B33" s="2094" t="s">
        <v>2028</v>
      </c>
      <c r="C33" s="175">
        <f>ROUND(C5*C22*C23*C24*C25*C28,0)</f>
        <v>28709</v>
      </c>
      <c r="D33" s="2095">
        <f>'数据-汇总表'!E3</f>
        <v>120.57</v>
      </c>
      <c r="E33" s="772">
        <f>ROUND(C33*D33/10000,0)</f>
        <v>346</v>
      </c>
      <c r="F33" s="3340" t="s">
        <v>3252</v>
      </c>
      <c r="G33" s="2096"/>
      <c r="H33" s="2096"/>
      <c r="I33" s="2096"/>
      <c r="J33" s="2097"/>
      <c r="K33" s="1118"/>
      <c r="L33" s="3343" t="s">
        <v>3255</v>
      </c>
      <c r="M33" s="3344">
        <v>5.5E-2</v>
      </c>
      <c r="N33" s="3344">
        <v>5.5E-2</v>
      </c>
      <c r="O33" s="3344">
        <v>0.05</v>
      </c>
      <c r="P33" s="3344">
        <v>0.05</v>
      </c>
      <c r="Q33" s="3344">
        <v>0.05</v>
      </c>
      <c r="R33" s="1123"/>
      <c r="S33" s="1123"/>
      <c r="T33" s="1119"/>
      <c r="U33" s="1119"/>
      <c r="V33" s="1119"/>
      <c r="W33" s="1118"/>
      <c r="X33" s="1118"/>
      <c r="Y33" s="1118"/>
      <c r="Z33" s="1124"/>
      <c r="AA33" s="1124"/>
      <c r="AB33" s="1124"/>
      <c r="AC33" s="1124"/>
      <c r="AD33" s="1124"/>
      <c r="AE33" s="1119"/>
      <c r="AF33" s="1119"/>
      <c r="AG33" s="2138"/>
      <c r="AH33" s="2138"/>
      <c r="AI33" s="2138"/>
      <c r="AJ33" s="2138"/>
    </row>
    <row r="34" spans="1:37" ht="25.5" thickBot="1">
      <c r="A34" s="2098"/>
      <c r="B34" s="2099" t="s">
        <v>2029</v>
      </c>
      <c r="C34" s="187">
        <f>ROUND(IF(E2="工业",C33*M42,IF(B25="楼层修正",SUM(V2:V16)*M41*10000/D34,C33*M41)),0)</f>
        <v>7177</v>
      </c>
      <c r="D34" s="2100"/>
      <c r="E34" s="772">
        <f>ROUND(IF(B25="楼层修正",SUM(V2:V16)*M40,C34*D34/10000),0)</f>
        <v>0</v>
      </c>
      <c r="F34" s="2101" t="s">
        <v>2030</v>
      </c>
      <c r="G34" s="2102"/>
      <c r="H34" s="2102"/>
      <c r="I34" s="2102"/>
      <c r="J34" s="2103"/>
      <c r="K34" s="1118"/>
      <c r="L34" s="3343" t="s">
        <v>3256</v>
      </c>
      <c r="M34" s="3344">
        <v>6.5000000000000002E-2</v>
      </c>
      <c r="N34" s="3344">
        <v>6.5000000000000002E-2</v>
      </c>
      <c r="O34" s="3344">
        <v>0.06</v>
      </c>
      <c r="P34" s="3344">
        <v>0.06</v>
      </c>
      <c r="Q34" s="3344">
        <v>0.06</v>
      </c>
      <c r="R34" s="1123"/>
      <c r="S34" s="1123"/>
      <c r="T34" s="1119"/>
      <c r="U34" s="1119"/>
      <c r="V34" s="1119"/>
      <c r="W34" s="1118"/>
      <c r="X34" s="1118"/>
      <c r="Y34" s="1118"/>
      <c r="Z34" s="1124"/>
      <c r="AA34" s="1124"/>
      <c r="AB34" s="1124"/>
      <c r="AC34" s="1124"/>
      <c r="AD34" s="1124"/>
      <c r="AE34" s="1119"/>
      <c r="AF34" s="1119"/>
      <c r="AG34" s="2138"/>
      <c r="AH34" s="2138"/>
      <c r="AI34" s="2138"/>
      <c r="AJ34" s="2138"/>
    </row>
    <row r="35" spans="1:37">
      <c r="A35" s="2104"/>
      <c r="B35" s="2105" t="s">
        <v>2031</v>
      </c>
      <c r="C35" s="3341" t="s">
        <v>3253</v>
      </c>
      <c r="D35" s="2034"/>
      <c r="E35" s="2106"/>
      <c r="F35" s="2106"/>
      <c r="G35" s="2032" t="s">
        <v>2032</v>
      </c>
      <c r="H35" s="2034"/>
      <c r="I35" s="2107"/>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8"/>
      <c r="AH35" s="2138"/>
      <c r="AI35" s="2138"/>
      <c r="AJ35" s="2138"/>
    </row>
    <row r="36" spans="1:37" ht="24.75" thickBot="1">
      <c r="A36" s="2093"/>
      <c r="B36" s="2108"/>
      <c r="C36" s="450" t="s">
        <v>2025</v>
      </c>
      <c r="D36" s="447" t="s">
        <v>2026</v>
      </c>
      <c r="E36" s="447" t="s">
        <v>2027</v>
      </c>
      <c r="F36" s="342" t="s">
        <v>2033</v>
      </c>
      <c r="G36" s="2109" t="s">
        <v>2025</v>
      </c>
      <c r="H36" s="2109" t="s">
        <v>2026</v>
      </c>
      <c r="I36" s="2109" t="s">
        <v>2027</v>
      </c>
      <c r="J36" s="243"/>
      <c r="K36" s="3351" t="s">
        <v>3257</v>
      </c>
      <c r="L36" s="3441">
        <f ca="1">'数据-取费表'!B40</f>
        <v>3.5499999999999997E-2</v>
      </c>
      <c r="M36" s="3352">
        <f ca="1">ROUND($L$36*(1+M31),3)</f>
        <v>4.3999999999999997E-2</v>
      </c>
      <c r="N36" s="3352">
        <f ca="1">ROUND($L$36*(1+N31),3)</f>
        <v>4.2999999999999997E-2</v>
      </c>
      <c r="O36" s="3352">
        <f ca="1">ROUND($L$36*(1+O31),3)</f>
        <v>4.1000000000000002E-2</v>
      </c>
      <c r="P36" s="3352">
        <f ca="1">ROUND($L$36*(1+P31),3)</f>
        <v>3.9E-2</v>
      </c>
      <c r="Q36" s="3352">
        <f ca="1">ROUND($L$36*(1+Q31),3)</f>
        <v>4.1000000000000002E-2</v>
      </c>
      <c r="R36" s="1118"/>
      <c r="S36" s="1118"/>
      <c r="T36" s="1118"/>
      <c r="U36" s="1118"/>
      <c r="V36" s="1118"/>
      <c r="W36" s="1118"/>
      <c r="X36" s="1118"/>
      <c r="Y36" s="1118"/>
      <c r="Z36" s="1119"/>
      <c r="AA36" s="1119"/>
      <c r="AB36" s="1119"/>
      <c r="AC36" s="1119"/>
      <c r="AD36" s="1119"/>
      <c r="AE36" s="1119"/>
      <c r="AF36" s="1119"/>
      <c r="AG36" s="2138"/>
      <c r="AH36" s="2138"/>
      <c r="AI36" s="2138"/>
      <c r="AJ36" s="2138"/>
    </row>
    <row r="37" spans="1:37" ht="24.75" thickBot="1">
      <c r="A37" s="3663"/>
      <c r="B37" s="2110" t="s">
        <v>2034</v>
      </c>
      <c r="C37" s="175">
        <f>ROUND(D5*C22*C23*C24*C28*F37,0)</f>
        <v>20392</v>
      </c>
      <c r="D37" s="2095"/>
      <c r="E37" s="171">
        <f>ROUND(C37*D37/10000,0)</f>
        <v>0</v>
      </c>
      <c r="F37" s="171">
        <f>SUMIF(修正!A57:A68,G2,修正!B57:B68)</f>
        <v>0.7</v>
      </c>
      <c r="G37" s="171">
        <f>ROUND(IF(E2="工业",C37*$M$42,C37*$M$41),0)</f>
        <v>5098</v>
      </c>
      <c r="H37" s="171">
        <f>D37</f>
        <v>0</v>
      </c>
      <c r="I37" s="171">
        <f>ROUND(G37*H37/10000,0)</f>
        <v>0</v>
      </c>
      <c r="J37" s="3006"/>
      <c r="K37" s="3353" t="s">
        <v>3258</v>
      </c>
      <c r="L37" s="3351">
        <f ca="1">L36+K38</f>
        <v>4.0499999999999994E-2</v>
      </c>
      <c r="M37" s="3352">
        <f ca="1">ROUND($L$37*(1+M31),3)</f>
        <v>5.0999999999999997E-2</v>
      </c>
      <c r="N37" s="3352">
        <f t="shared" ref="N37:Q37" ca="1" si="3">ROUND($L$37*(1+N31),3)</f>
        <v>4.9000000000000002E-2</v>
      </c>
      <c r="O37" s="3352">
        <f t="shared" ca="1" si="3"/>
        <v>4.7E-2</v>
      </c>
      <c r="P37" s="3352">
        <f t="shared" ca="1" si="3"/>
        <v>4.4999999999999998E-2</v>
      </c>
      <c r="Q37" s="3352">
        <f t="shared" ca="1" si="3"/>
        <v>4.7E-2</v>
      </c>
      <c r="R37" s="1118"/>
      <c r="S37" s="1118"/>
      <c r="T37" s="1118"/>
      <c r="U37" s="1118"/>
      <c r="V37" s="1118"/>
      <c r="W37" s="1118"/>
      <c r="X37" s="1118"/>
      <c r="Y37" s="1118"/>
      <c r="Z37" s="1119"/>
      <c r="AA37" s="1119"/>
      <c r="AB37" s="1119"/>
      <c r="AC37" s="1119"/>
      <c r="AD37" s="1119"/>
      <c r="AE37" s="1119"/>
      <c r="AF37" s="1119"/>
      <c r="AG37" s="2138"/>
      <c r="AH37" s="2138"/>
      <c r="AI37" s="2138"/>
      <c r="AJ37" s="2138"/>
    </row>
    <row r="38" spans="1:37">
      <c r="A38" s="3664"/>
      <c r="B38" s="2038" t="s">
        <v>2035</v>
      </c>
      <c r="C38" s="175">
        <f>ROUND(D5*C22*C23*C24*C28*F38,0)</f>
        <v>11653</v>
      </c>
      <c r="D38" s="2095"/>
      <c r="E38" s="171">
        <f t="shared" ref="E38:E42" si="4">ROUND(C38*D38/10000,0)</f>
        <v>0</v>
      </c>
      <c r="F38" s="171">
        <f>SUMIF(修正!A57:A68,G2,修正!C57:C68)</f>
        <v>0.4</v>
      </c>
      <c r="G38" s="171">
        <f>ROUND(IF(E2="工业",C38*$M$42,C38*$M$41),0)</f>
        <v>2913</v>
      </c>
      <c r="H38" s="171">
        <f t="shared" ref="H38:H42" si="5">D38</f>
        <v>0</v>
      </c>
      <c r="I38" s="171">
        <f t="shared" ref="I38:I42" si="6">ROUND(G38*H38/10000,0)</f>
        <v>0</v>
      </c>
      <c r="J38" s="3005"/>
      <c r="K38" s="3351">
        <v>5.0000000000000001E-3</v>
      </c>
      <c r="L38" s="3351"/>
      <c r="M38" s="3351"/>
      <c r="N38" s="3351"/>
      <c r="O38" s="3351"/>
      <c r="P38" s="3351"/>
      <c r="Q38" s="3351"/>
      <c r="R38" s="1118"/>
      <c r="S38" s="1118"/>
      <c r="T38" s="1118"/>
      <c r="U38" s="1118"/>
      <c r="V38" s="1118"/>
      <c r="W38" s="1118"/>
      <c r="X38" s="1118"/>
      <c r="Y38" s="1118"/>
      <c r="Z38" s="1119"/>
      <c r="AA38" s="1119"/>
      <c r="AB38" s="1119"/>
      <c r="AC38" s="1119"/>
      <c r="AD38" s="1119"/>
    </row>
    <row r="39" spans="1:37" ht="13.5" thickBot="1">
      <c r="A39" s="3664"/>
      <c r="B39" s="2038" t="s">
        <v>3251</v>
      </c>
      <c r="C39" s="175">
        <f>ROUND(D5*C22*C23*C24*C28*F39,0)</f>
        <v>8740</v>
      </c>
      <c r="D39" s="2095"/>
      <c r="E39" s="171">
        <f t="shared" si="4"/>
        <v>0</v>
      </c>
      <c r="F39" s="171">
        <f>SUMIF(修正!A57:A68,G2,修正!D57:D68)</f>
        <v>0.3</v>
      </c>
      <c r="G39" s="171">
        <f>ROUND(IF(E2="工业",C39*$M$42,C39*$M$41),0)</f>
        <v>2185</v>
      </c>
      <c r="H39" s="171">
        <f t="shared" si="5"/>
        <v>0</v>
      </c>
      <c r="I39" s="171">
        <f t="shared" si="6"/>
        <v>0</v>
      </c>
      <c r="J39" s="3005"/>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2"/>
      <c r="B40" s="2038" t="s">
        <v>2036</v>
      </c>
      <c r="C40" s="171">
        <f>ROUND(D5*C22*C23*C24*C28*F40,0)</f>
        <v>8740</v>
      </c>
      <c r="D40" s="2095"/>
      <c r="E40" s="171">
        <f t="shared" si="4"/>
        <v>0</v>
      </c>
      <c r="F40" s="175">
        <f>SUMIF(修正!A57:A68,G2,修正!E57:E68)</f>
        <v>0.3</v>
      </c>
      <c r="G40" s="171">
        <f>ROUND(IF(E2="工业",C40*$M$42,C40*$M$41),0)</f>
        <v>2185</v>
      </c>
      <c r="H40" s="171">
        <f t="shared" si="5"/>
        <v>0</v>
      </c>
      <c r="I40" s="171">
        <f t="shared" si="6"/>
        <v>0</v>
      </c>
      <c r="J40" s="2111"/>
      <c r="L40" s="2113" t="s">
        <v>2037</v>
      </c>
      <c r="M40" s="2114"/>
      <c r="Z40" s="1119"/>
      <c r="AA40" s="1119"/>
      <c r="AB40" s="1119"/>
      <c r="AC40" s="1119"/>
      <c r="AD40" s="1119"/>
      <c r="AE40" s="1119"/>
      <c r="AF40" s="1119"/>
      <c r="AG40" s="1119"/>
      <c r="AH40" s="1119"/>
      <c r="AI40" s="1119"/>
      <c r="AJ40" s="1119"/>
    </row>
    <row r="41" spans="1:37" s="1118" customFormat="1">
      <c r="A41" s="2112"/>
      <c r="B41" s="2038" t="s">
        <v>2038</v>
      </c>
      <c r="C41" s="171">
        <f>ROUND(D5*C22*C23*C44*C28*F41,0)</f>
        <v>0</v>
      </c>
      <c r="D41" s="2095"/>
      <c r="E41" s="171">
        <f t="shared" si="4"/>
        <v>0</v>
      </c>
      <c r="F41" s="175">
        <f>SUMIF(修正!A57:A68,G2,修正!F57:F68)</f>
        <v>0.3</v>
      </c>
      <c r="G41" s="171">
        <f>ROUND(IF(E2="工业",C41*$M$42,C41*$M$41),0)</f>
        <v>0</v>
      </c>
      <c r="H41" s="171">
        <f t="shared" si="5"/>
        <v>0</v>
      </c>
      <c r="I41" s="171">
        <f t="shared" si="6"/>
        <v>0</v>
      </c>
      <c r="J41" s="2111"/>
      <c r="L41" s="3354" t="s">
        <v>3259</v>
      </c>
      <c r="M41" s="2115">
        <v>0.25</v>
      </c>
      <c r="Z41" s="1119"/>
      <c r="AA41" s="1119"/>
      <c r="AB41" s="1119"/>
      <c r="AC41" s="1119"/>
      <c r="AD41" s="1119"/>
      <c r="AE41" s="1119"/>
      <c r="AF41" s="1119"/>
      <c r="AG41" s="1119"/>
      <c r="AH41" s="1119"/>
      <c r="AI41" s="1119"/>
      <c r="AJ41" s="1119"/>
    </row>
    <row r="42" spans="1:37" s="1118" customFormat="1" ht="13.5" thickBot="1">
      <c r="A42" s="2098"/>
      <c r="B42" s="2116" t="s">
        <v>2039</v>
      </c>
      <c r="C42" s="187">
        <f>ROUND(D5*C22*C23*C44*C28*F42,0)</f>
        <v>0</v>
      </c>
      <c r="D42" s="2100"/>
      <c r="E42" s="187">
        <f t="shared" si="4"/>
        <v>0</v>
      </c>
      <c r="F42" s="766">
        <f>SUMIF(修正!A57:A68,G2,修正!G57:G68)</f>
        <v>0.2</v>
      </c>
      <c r="G42" s="187">
        <f>ROUND(IF(E2="工业",C42*$M$42,C42*$M$41),0)</f>
        <v>0</v>
      </c>
      <c r="H42" s="187">
        <f t="shared" si="5"/>
        <v>0</v>
      </c>
      <c r="I42" s="187">
        <f t="shared" si="6"/>
        <v>0</v>
      </c>
      <c r="J42" s="2117"/>
      <c r="L42" s="2118" t="s">
        <v>1991</v>
      </c>
      <c r="M42" s="2119">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1" t="s">
        <v>2120</v>
      </c>
      <c r="C44" s="342">
        <f>ROUND(POWER(1+E44,H44-G44)*(POWER(1+E44,G44)-1)/(POWER(1+E44,H44)-1),4)</f>
        <v>0</v>
      </c>
      <c r="D44" s="171" t="s">
        <v>1997</v>
      </c>
      <c r="E44" s="2150">
        <f>G24</f>
        <v>5.5E-2</v>
      </c>
      <c r="F44" s="171" t="s">
        <v>2006</v>
      </c>
      <c r="G44" s="183"/>
      <c r="H44" s="171">
        <v>50</v>
      </c>
      <c r="Z44" s="1119"/>
      <c r="AA44" s="1119"/>
      <c r="AB44" s="1119"/>
      <c r="AC44" s="1119"/>
      <c r="AD44" s="1119"/>
      <c r="AE44" s="1119"/>
      <c r="AF44" s="1119"/>
      <c r="AG44" s="1119"/>
      <c r="AH44" s="1119"/>
      <c r="AI44" s="1119"/>
      <c r="AJ44" s="1119"/>
    </row>
    <row r="45" spans="1:37" s="1118" customFormat="1">
      <c r="A45" s="1119"/>
      <c r="B45" s="2120"/>
      <c r="Z45" s="1119"/>
      <c r="AA45" s="1119"/>
      <c r="AB45" s="1119"/>
      <c r="AC45" s="1119"/>
      <c r="AD45" s="1119"/>
      <c r="AE45" s="1119"/>
      <c r="AF45" s="1119"/>
      <c r="AG45" s="1119"/>
      <c r="AH45" s="1119"/>
      <c r="AI45" s="1119"/>
      <c r="AJ45" s="1119"/>
    </row>
    <row r="46" spans="1:37" s="1118" customFormat="1">
      <c r="A46" s="1119"/>
      <c r="B46" s="2120"/>
      <c r="AA46" s="1119"/>
      <c r="AB46" s="1119"/>
      <c r="AC46" s="1119"/>
      <c r="AD46" s="1119"/>
      <c r="AE46" s="1119"/>
      <c r="AF46" s="1119"/>
      <c r="AG46" s="1119"/>
      <c r="AH46" s="1119"/>
      <c r="AI46" s="1119"/>
      <c r="AJ46" s="1119"/>
      <c r="AK46" s="1119"/>
    </row>
    <row r="47" spans="1:37" s="1118" customFormat="1" ht="15">
      <c r="A47" s="2121" t="s">
        <v>2040</v>
      </c>
      <c r="B47" s="2122"/>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3" t="s">
        <v>2041</v>
      </c>
      <c r="B48" s="2124" t="e">
        <f>1+E50</f>
        <v>#VALUE!</v>
      </c>
      <c r="C48" s="2125"/>
      <c r="D48" s="740"/>
      <c r="E48" s="741"/>
      <c r="F48" s="2126"/>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7" t="s">
        <v>2042</v>
      </c>
      <c r="B49" s="1350" t="s">
        <v>2043</v>
      </c>
      <c r="C49" s="1350" t="s">
        <v>2044</v>
      </c>
      <c r="D49" s="1350" t="s">
        <v>2045</v>
      </c>
      <c r="E49" s="742" t="s">
        <v>2046</v>
      </c>
      <c r="F49" s="2128" t="s">
        <v>2047</v>
      </c>
      <c r="G49" s="1350" t="s">
        <v>310</v>
      </c>
      <c r="H49" s="2129" t="s">
        <v>2048</v>
      </c>
      <c r="I49" s="1350" t="s">
        <v>2049</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24.75" hidden="1">
      <c r="A50" s="2127" t="s">
        <v>2050</v>
      </c>
      <c r="B50" s="2130" t="str">
        <f>估价对象房地状况!C4</f>
        <v>好</v>
      </c>
      <c r="C50" s="2041" t="s">
        <v>3387</v>
      </c>
      <c r="D50" s="1064" t="e">
        <f t="shared" ref="D50:D58" si="7">SUMIF($J$49:$N$49,C50,J50:N50)</f>
        <v>#VALUE!</v>
      </c>
      <c r="E50" s="743" t="e">
        <f>ROUND(SUM(D50:D58),4)</f>
        <v>#VALUE!</v>
      </c>
      <c r="F50" s="1813" t="str">
        <f>IF(E2="商业",SUMIF(L1:L12,G2,N1:N12),"——")</f>
        <v>——</v>
      </c>
      <c r="G50" s="1062" t="str">
        <f t="shared" ref="G50:G58" si="8">H50</f>
        <v>——</v>
      </c>
      <c r="H50" s="1065" t="str">
        <f t="shared" ref="H50:H58" si="9">IFERROR(ROUNDDOWN($F$50*I50/2,4),"——")</f>
        <v>——</v>
      </c>
      <c r="I50" s="3361">
        <v>0.3</v>
      </c>
      <c r="J50" s="1063" t="e">
        <f t="shared" ref="J50:J58" si="10">K50+$G50</f>
        <v>#VALUE!</v>
      </c>
      <c r="K50" s="1063" t="e">
        <f t="shared" ref="K50:K58" si="11">$L50+$G50</f>
        <v>#VALUE!</v>
      </c>
      <c r="L50" s="1063">
        <v>0</v>
      </c>
      <c r="M50" s="1063" t="e">
        <f t="shared" ref="M50:N58" si="12">L50-$G50</f>
        <v>#VALUE!</v>
      </c>
      <c r="N50" s="1063" t="e">
        <f t="shared" si="12"/>
        <v>#VALUE!</v>
      </c>
      <c r="AA50" s="1119"/>
      <c r="AB50" s="1119"/>
      <c r="AC50" s="1119"/>
      <c r="AD50" s="1119"/>
      <c r="AE50" s="1119"/>
      <c r="AF50" s="1119"/>
      <c r="AG50" s="1119"/>
      <c r="AH50" s="1119"/>
      <c r="AI50" s="1119"/>
      <c r="AJ50" s="1119"/>
      <c r="AK50" s="1119"/>
    </row>
    <row r="51" spans="1:37" s="1118" customFormat="1" ht="14.25" hidden="1">
      <c r="A51" s="2127" t="s">
        <v>2051</v>
      </c>
      <c r="B51" s="2131" t="str">
        <f>估价对象房地状况!C18</f>
        <v>较好</v>
      </c>
      <c r="C51" s="2041" t="s">
        <v>3387</v>
      </c>
      <c r="D51" s="1064" t="e">
        <f t="shared" si="7"/>
        <v>#VALUE!</v>
      </c>
      <c r="E51" s="744"/>
      <c r="F51" s="1813"/>
      <c r="G51" s="1062" t="str">
        <f t="shared" si="8"/>
        <v>——</v>
      </c>
      <c r="H51" s="1065" t="str">
        <f t="shared" si="9"/>
        <v>——</v>
      </c>
      <c r="I51" s="3361">
        <v>0.22</v>
      </c>
      <c r="J51" s="1063" t="e">
        <f t="shared" si="10"/>
        <v>#VALUE!</v>
      </c>
      <c r="K51" s="1063" t="e">
        <f t="shared" si="11"/>
        <v>#VALUE!</v>
      </c>
      <c r="L51" s="1063">
        <v>0</v>
      </c>
      <c r="M51" s="1063" t="e">
        <f t="shared" si="12"/>
        <v>#VALUE!</v>
      </c>
      <c r="N51" s="1063" t="e">
        <f t="shared" si="12"/>
        <v>#VALUE!</v>
      </c>
      <c r="AA51" s="1119"/>
      <c r="AB51" s="1119"/>
      <c r="AC51" s="1119"/>
      <c r="AD51" s="1119"/>
      <c r="AE51" s="1119"/>
      <c r="AF51" s="1119"/>
      <c r="AG51" s="1119"/>
      <c r="AH51" s="1119"/>
      <c r="AI51" s="1119"/>
      <c r="AJ51" s="1119"/>
      <c r="AK51" s="1119"/>
    </row>
    <row r="52" spans="1:37" s="1118" customFormat="1" ht="36" hidden="1">
      <c r="A52" s="3363" t="s">
        <v>3261</v>
      </c>
      <c r="B52" s="2131" t="str">
        <f>估价对象房地状况!C19</f>
        <v>较好</v>
      </c>
      <c r="C52" s="2041" t="s">
        <v>3387</v>
      </c>
      <c r="D52" s="1064" t="e">
        <f t="shared" si="7"/>
        <v>#VALUE!</v>
      </c>
      <c r="E52" s="744"/>
      <c r="F52" s="1813"/>
      <c r="G52" s="1062" t="str">
        <f t="shared" si="8"/>
        <v>——</v>
      </c>
      <c r="H52" s="1065" t="str">
        <f t="shared" si="9"/>
        <v>——</v>
      </c>
      <c r="I52" s="3361">
        <v>0.12</v>
      </c>
      <c r="J52" s="1063" t="e">
        <f t="shared" si="10"/>
        <v>#VALUE!</v>
      </c>
      <c r="K52" s="1063" t="e">
        <f t="shared" si="11"/>
        <v>#VALUE!</v>
      </c>
      <c r="L52" s="1063">
        <v>0</v>
      </c>
      <c r="M52" s="1063" t="e">
        <f t="shared" si="12"/>
        <v>#VALUE!</v>
      </c>
      <c r="N52" s="1063" t="e">
        <f t="shared" si="12"/>
        <v>#VALUE!</v>
      </c>
      <c r="AA52" s="1119"/>
      <c r="AB52" s="1119"/>
      <c r="AC52" s="1119"/>
      <c r="AD52" s="1119"/>
      <c r="AE52" s="1119"/>
      <c r="AF52" s="1119"/>
      <c r="AG52" s="1119"/>
      <c r="AH52" s="1119"/>
      <c r="AI52" s="1119"/>
      <c r="AJ52" s="1119"/>
      <c r="AK52" s="1119"/>
    </row>
    <row r="53" spans="1:37" s="1118" customFormat="1" ht="36.75" hidden="1">
      <c r="A53" s="2127" t="s">
        <v>2052</v>
      </c>
      <c r="B53" s="2132" t="s">
        <v>2053</v>
      </c>
      <c r="C53" s="2041" t="s">
        <v>3387</v>
      </c>
      <c r="D53" s="1064" t="e">
        <f t="shared" si="7"/>
        <v>#VALUE!</v>
      </c>
      <c r="E53" s="744"/>
      <c r="F53" s="1813"/>
      <c r="G53" s="1062" t="str">
        <f t="shared" si="8"/>
        <v>——</v>
      </c>
      <c r="H53" s="1065" t="str">
        <f t="shared" si="9"/>
        <v>——</v>
      </c>
      <c r="I53" s="3361">
        <v>0.05</v>
      </c>
      <c r="J53" s="1063" t="e">
        <f t="shared" si="10"/>
        <v>#VALUE!</v>
      </c>
      <c r="K53" s="1063" t="e">
        <f t="shared" si="11"/>
        <v>#VALUE!</v>
      </c>
      <c r="L53" s="1063">
        <v>0</v>
      </c>
      <c r="M53" s="1063" t="e">
        <f t="shared" si="12"/>
        <v>#VALUE!</v>
      </c>
      <c r="N53" s="1063" t="e">
        <f t="shared" si="12"/>
        <v>#VALUE!</v>
      </c>
      <c r="AA53" s="1119"/>
      <c r="AB53" s="1119"/>
      <c r="AC53" s="1119"/>
      <c r="AD53" s="1119"/>
      <c r="AE53" s="1119"/>
      <c r="AF53" s="1119"/>
      <c r="AG53" s="1119"/>
      <c r="AH53" s="1119"/>
      <c r="AI53" s="1119"/>
      <c r="AJ53" s="1119"/>
      <c r="AK53" s="1119"/>
    </row>
    <row r="54" spans="1:37" s="1118" customFormat="1" ht="24" hidden="1">
      <c r="A54" s="2127" t="s">
        <v>2054</v>
      </c>
      <c r="B54" s="2131">
        <f>估价对象房地状况!C24</f>
        <v>0</v>
      </c>
      <c r="C54" s="2041" t="s">
        <v>3489</v>
      </c>
      <c r="D54" s="1064">
        <f t="shared" si="7"/>
        <v>0</v>
      </c>
      <c r="E54" s="744"/>
      <c r="F54" s="1813"/>
      <c r="G54" s="1062" t="str">
        <f t="shared" si="8"/>
        <v>——</v>
      </c>
      <c r="H54" s="1065" t="str">
        <f t="shared" si="9"/>
        <v>——</v>
      </c>
      <c r="I54" s="3361">
        <v>0.08</v>
      </c>
      <c r="J54" s="1063" t="e">
        <f t="shared" si="10"/>
        <v>#VALUE!</v>
      </c>
      <c r="K54" s="1063" t="e">
        <f t="shared" si="11"/>
        <v>#VALUE!</v>
      </c>
      <c r="L54" s="1063">
        <v>0</v>
      </c>
      <c r="M54" s="1063" t="e">
        <f t="shared" si="12"/>
        <v>#VALUE!</v>
      </c>
      <c r="N54" s="1063" t="e">
        <f t="shared" si="12"/>
        <v>#VALUE!</v>
      </c>
      <c r="AA54" s="1119"/>
      <c r="AB54" s="1119"/>
      <c r="AC54" s="1119"/>
      <c r="AD54" s="1119"/>
      <c r="AE54" s="1119"/>
      <c r="AF54" s="1119"/>
      <c r="AG54" s="1119"/>
      <c r="AH54" s="1119"/>
      <c r="AI54" s="1119"/>
      <c r="AJ54" s="1119"/>
      <c r="AK54" s="1119"/>
    </row>
    <row r="55" spans="1:37" s="1118" customFormat="1" ht="24" hidden="1">
      <c r="A55" s="2127" t="s">
        <v>2055</v>
      </c>
      <c r="B55" s="2133" t="s">
        <v>2056</v>
      </c>
      <c r="C55" s="2041" t="s">
        <v>3387</v>
      </c>
      <c r="D55" s="1064" t="e">
        <f t="shared" si="7"/>
        <v>#VALUE!</v>
      </c>
      <c r="E55" s="744"/>
      <c r="F55" s="1813"/>
      <c r="G55" s="1062" t="str">
        <f t="shared" si="8"/>
        <v>——</v>
      </c>
      <c r="H55" s="1065" t="str">
        <f t="shared" si="9"/>
        <v>——</v>
      </c>
      <c r="I55" s="3361">
        <v>0.05</v>
      </c>
      <c r="J55" s="1063" t="e">
        <f t="shared" si="10"/>
        <v>#VALUE!</v>
      </c>
      <c r="K55" s="1063" t="e">
        <f t="shared" si="11"/>
        <v>#VALUE!</v>
      </c>
      <c r="L55" s="1063">
        <v>0</v>
      </c>
      <c r="M55" s="1063" t="e">
        <f t="shared" si="12"/>
        <v>#VALUE!</v>
      </c>
      <c r="N55" s="1063" t="e">
        <f t="shared" si="12"/>
        <v>#VALUE!</v>
      </c>
      <c r="AA55" s="1119"/>
      <c r="AB55" s="1119"/>
      <c r="AC55" s="1119"/>
      <c r="AD55" s="1119"/>
      <c r="AE55" s="1119"/>
      <c r="AF55" s="1119"/>
      <c r="AG55" s="1119"/>
      <c r="AH55" s="1119"/>
      <c r="AI55" s="1119"/>
      <c r="AJ55" s="1119"/>
      <c r="AK55" s="1119"/>
    </row>
    <row r="56" spans="1:37" s="1118" customFormat="1" ht="24" hidden="1">
      <c r="A56" s="2134" t="s">
        <v>2057</v>
      </c>
      <c r="B56" s="1325" t="str">
        <f>估价对象房地状况!C21</f>
        <v>好</v>
      </c>
      <c r="C56" s="2041" t="s">
        <v>3387</v>
      </c>
      <c r="D56" s="1064" t="e">
        <f t="shared" si="7"/>
        <v>#VALUE!</v>
      </c>
      <c r="E56" s="744"/>
      <c r="F56" s="1813"/>
      <c r="G56" s="1062" t="str">
        <f t="shared" si="8"/>
        <v>——</v>
      </c>
      <c r="H56" s="1065" t="str">
        <f t="shared" si="9"/>
        <v>——</v>
      </c>
      <c r="I56" s="3361">
        <v>0.05</v>
      </c>
      <c r="J56" s="1063" t="e">
        <f t="shared" si="10"/>
        <v>#VALUE!</v>
      </c>
      <c r="K56" s="1063" t="e">
        <f t="shared" si="11"/>
        <v>#VALUE!</v>
      </c>
      <c r="L56" s="1063">
        <v>0</v>
      </c>
      <c r="M56" s="1063" t="e">
        <f t="shared" si="12"/>
        <v>#VALUE!</v>
      </c>
      <c r="N56" s="1063" t="e">
        <f t="shared" si="12"/>
        <v>#VALUE!</v>
      </c>
      <c r="AA56" s="1119"/>
      <c r="AB56" s="1119"/>
      <c r="AC56" s="1119"/>
      <c r="AD56" s="1119"/>
      <c r="AE56" s="1119"/>
      <c r="AF56" s="1119"/>
      <c r="AG56" s="1119"/>
      <c r="AH56" s="1119"/>
      <c r="AI56" s="1119"/>
      <c r="AJ56" s="1119"/>
      <c r="AK56" s="1119"/>
    </row>
    <row r="57" spans="1:37" s="1118" customFormat="1" ht="24" hidden="1">
      <c r="A57" s="2134" t="s">
        <v>2058</v>
      </c>
      <c r="B57" s="2131" t="str">
        <f>估价对象房地状况!C22</f>
        <v>七通</v>
      </c>
      <c r="C57" s="2041" t="s">
        <v>3490</v>
      </c>
      <c r="D57" s="1064" t="e">
        <f t="shared" si="7"/>
        <v>#VALUE!</v>
      </c>
      <c r="E57" s="744"/>
      <c r="F57" s="1813"/>
      <c r="G57" s="1062" t="str">
        <f t="shared" si="8"/>
        <v>——</v>
      </c>
      <c r="H57" s="1065" t="str">
        <f t="shared" si="9"/>
        <v>——</v>
      </c>
      <c r="I57" s="3361">
        <v>0.08</v>
      </c>
      <c r="J57" s="1063" t="e">
        <f t="shared" si="10"/>
        <v>#VALUE!</v>
      </c>
      <c r="K57" s="1063" t="e">
        <f t="shared" si="11"/>
        <v>#VALUE!</v>
      </c>
      <c r="L57" s="1063">
        <v>0</v>
      </c>
      <c r="M57" s="1063" t="e">
        <f t="shared" si="12"/>
        <v>#VALUE!</v>
      </c>
      <c r="N57" s="1063" t="e">
        <f t="shared" si="12"/>
        <v>#VALUE!</v>
      </c>
      <c r="AA57" s="1119"/>
      <c r="AB57" s="1119"/>
      <c r="AC57" s="1119"/>
      <c r="AD57" s="1119"/>
      <c r="AE57" s="1119"/>
      <c r="AF57" s="1119"/>
      <c r="AG57" s="1119"/>
      <c r="AH57" s="1119"/>
      <c r="AI57" s="1119"/>
      <c r="AJ57" s="1119"/>
      <c r="AK57" s="1119"/>
    </row>
    <row r="58" spans="1:37" s="1118" customFormat="1" ht="24.75" hidden="1" thickBot="1">
      <c r="A58" s="2135" t="s">
        <v>2059</v>
      </c>
      <c r="B58" s="2136" t="str">
        <f>估价对象房地状况!C20</f>
        <v>较好</v>
      </c>
      <c r="C58" s="2041" t="s">
        <v>3387</v>
      </c>
      <c r="D58" s="1064" t="e">
        <f t="shared" si="7"/>
        <v>#VALUE!</v>
      </c>
      <c r="E58" s="745"/>
      <c r="F58" s="1813"/>
      <c r="G58" s="1062" t="str">
        <f t="shared" si="8"/>
        <v>——</v>
      </c>
      <c r="H58" s="1065" t="str">
        <f t="shared" si="9"/>
        <v>——</v>
      </c>
      <c r="I58" s="3362">
        <v>0.05</v>
      </c>
      <c r="J58" s="1063" t="e">
        <f t="shared" si="10"/>
        <v>#VALUE!</v>
      </c>
      <c r="K58" s="1063" t="e">
        <f t="shared" si="11"/>
        <v>#VALUE!</v>
      </c>
      <c r="L58" s="1063">
        <v>0</v>
      </c>
      <c r="M58" s="1063" t="e">
        <f t="shared" si="12"/>
        <v>#VALUE!</v>
      </c>
      <c r="N58" s="1063" t="e">
        <f t="shared" si="12"/>
        <v>#VALUE!</v>
      </c>
      <c r="AA58" s="1119"/>
      <c r="AB58" s="1119"/>
      <c r="AC58" s="1119"/>
      <c r="AD58" s="1119"/>
      <c r="AE58" s="1119"/>
      <c r="AF58" s="1119"/>
      <c r="AG58" s="1119"/>
      <c r="AH58" s="1119"/>
      <c r="AI58" s="1119"/>
      <c r="AJ58" s="1119"/>
      <c r="AK58" s="1119"/>
    </row>
    <row r="59" spans="1:37" s="1118" customFormat="1" ht="15" hidden="1">
      <c r="A59" s="2123" t="s">
        <v>2060</v>
      </c>
      <c r="B59" s="2124">
        <f>1+E61</f>
        <v>1.0445</v>
      </c>
      <c r="C59" s="740"/>
      <c r="D59" s="740"/>
      <c r="E59" s="741"/>
      <c r="F59" s="2126"/>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7" t="s">
        <v>2042</v>
      </c>
      <c r="B60" s="1350"/>
      <c r="C60" s="1350" t="s">
        <v>2044</v>
      </c>
      <c r="D60" s="1350" t="s">
        <v>2045</v>
      </c>
      <c r="E60" s="742" t="s">
        <v>2046</v>
      </c>
      <c r="F60" s="2128" t="s">
        <v>2061</v>
      </c>
      <c r="G60" s="1350" t="s">
        <v>310</v>
      </c>
      <c r="H60" s="2129" t="s">
        <v>2048</v>
      </c>
      <c r="I60" s="1350" t="s">
        <v>2049</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24">
      <c r="A61" s="2127" t="s">
        <v>2062</v>
      </c>
      <c r="B61" s="2130" t="str">
        <f>估价对象房地状况!C17</f>
        <v>较好</v>
      </c>
      <c r="C61" s="2041" t="s">
        <v>3387</v>
      </c>
      <c r="D61" s="1064">
        <f t="shared" ref="D61:D69" si="13">SUMIF($J$60:$N$60,C61,J61:N61)</f>
        <v>1.0200000000000001E-2</v>
      </c>
      <c r="E61" s="743">
        <f>ROUND(SUM(D61:D69),4)</f>
        <v>4.4499999999999998E-2</v>
      </c>
      <c r="F61" s="1813">
        <f>IF(E2="办公",SUMIF(L1:L12,G2,N1:N12),"——")</f>
        <v>8.2000000000000003E-2</v>
      </c>
      <c r="G61" s="1062">
        <f t="shared" ref="G61:G69" si="14">H61</f>
        <v>1.0200000000000001E-2</v>
      </c>
      <c r="H61" s="1065">
        <f t="shared" ref="H61:H69" si="15">IFERROR(ROUNDDOWN($F$61*I61/2,4),"——")</f>
        <v>1.0200000000000001E-2</v>
      </c>
      <c r="I61" s="3361">
        <v>0.25</v>
      </c>
      <c r="J61" s="1063">
        <f t="shared" ref="J61:J69" si="16">K61+$G61</f>
        <v>2.0400000000000001E-2</v>
      </c>
      <c r="K61" s="1063">
        <f t="shared" ref="K61:K69" si="17">$L61+$G61</f>
        <v>1.0200000000000001E-2</v>
      </c>
      <c r="L61" s="1063">
        <v>0</v>
      </c>
      <c r="M61" s="1063">
        <f t="shared" ref="M61:N69" si="18">L61-$G61</f>
        <v>-1.0200000000000001E-2</v>
      </c>
      <c r="N61" s="1063">
        <f t="shared" si="18"/>
        <v>-2.0400000000000001E-2</v>
      </c>
      <c r="AA61" s="1119"/>
      <c r="AB61" s="1119"/>
      <c r="AC61" s="1119"/>
      <c r="AD61" s="1119"/>
      <c r="AE61" s="1119"/>
      <c r="AF61" s="1119"/>
      <c r="AG61" s="1119"/>
      <c r="AH61" s="1119"/>
      <c r="AI61" s="1119"/>
      <c r="AJ61" s="1119"/>
      <c r="AK61" s="1119"/>
    </row>
    <row r="62" spans="1:37" s="1118" customFormat="1" ht="14.25">
      <c r="A62" s="2127" t="s">
        <v>2051</v>
      </c>
      <c r="B62" s="2131" t="str">
        <f>估价对象房地状况!C18</f>
        <v>较好</v>
      </c>
      <c r="C62" s="2041" t="s">
        <v>3387</v>
      </c>
      <c r="D62" s="1064">
        <f t="shared" si="13"/>
        <v>1.06E-2</v>
      </c>
      <c r="E62" s="744"/>
      <c r="F62" s="1813"/>
      <c r="G62" s="1062">
        <f t="shared" si="14"/>
        <v>1.06E-2</v>
      </c>
      <c r="H62" s="1065">
        <f t="shared" si="15"/>
        <v>1.06E-2</v>
      </c>
      <c r="I62" s="3361">
        <v>0.26</v>
      </c>
      <c r="J62" s="1063">
        <f t="shared" si="16"/>
        <v>2.12E-2</v>
      </c>
      <c r="K62" s="1063">
        <f t="shared" si="17"/>
        <v>1.06E-2</v>
      </c>
      <c r="L62" s="1063">
        <v>0</v>
      </c>
      <c r="M62" s="1063">
        <f t="shared" si="18"/>
        <v>-1.06E-2</v>
      </c>
      <c r="N62" s="1063">
        <f t="shared" si="18"/>
        <v>-2.12E-2</v>
      </c>
      <c r="AA62" s="1119"/>
      <c r="AB62" s="1119"/>
      <c r="AC62" s="1119"/>
      <c r="AD62" s="1119"/>
      <c r="AE62" s="1119"/>
      <c r="AF62" s="1119"/>
      <c r="AG62" s="1119"/>
      <c r="AH62" s="1119"/>
      <c r="AI62" s="1119"/>
      <c r="AJ62" s="1119"/>
      <c r="AK62" s="1119"/>
    </row>
    <row r="63" spans="1:37" s="1118" customFormat="1" ht="36">
      <c r="A63" s="3363" t="s">
        <v>3261</v>
      </c>
      <c r="B63" s="2131" t="str">
        <f>估价对象房地状况!C19</f>
        <v>较好</v>
      </c>
      <c r="C63" s="2041" t="s">
        <v>3387</v>
      </c>
      <c r="D63" s="1064">
        <f t="shared" si="13"/>
        <v>4.4999999999999997E-3</v>
      </c>
      <c r="E63" s="744"/>
      <c r="F63" s="1813"/>
      <c r="G63" s="1062">
        <f t="shared" si="14"/>
        <v>4.4999999999999997E-3</v>
      </c>
      <c r="H63" s="1065">
        <f t="shared" si="15"/>
        <v>4.4999999999999997E-3</v>
      </c>
      <c r="I63" s="3361">
        <v>0.11</v>
      </c>
      <c r="J63" s="1063">
        <f t="shared" si="16"/>
        <v>8.9999999999999993E-3</v>
      </c>
      <c r="K63" s="1063">
        <f t="shared" si="17"/>
        <v>4.4999999999999997E-3</v>
      </c>
      <c r="L63" s="1063">
        <v>0</v>
      </c>
      <c r="M63" s="1063">
        <f t="shared" si="18"/>
        <v>-4.4999999999999997E-3</v>
      </c>
      <c r="N63" s="1063">
        <f t="shared" si="18"/>
        <v>-8.9999999999999993E-3</v>
      </c>
      <c r="AA63" s="1119"/>
      <c r="AB63" s="1119"/>
      <c r="AC63" s="1119"/>
      <c r="AD63" s="1119"/>
      <c r="AE63" s="1119"/>
      <c r="AF63" s="1119"/>
      <c r="AG63" s="1119"/>
      <c r="AH63" s="1119"/>
      <c r="AI63" s="1119"/>
      <c r="AJ63" s="1119"/>
      <c r="AK63" s="1119"/>
    </row>
    <row r="64" spans="1:37" s="1118" customFormat="1" ht="36.75">
      <c r="A64" s="2127" t="s">
        <v>2052</v>
      </c>
      <c r="B64" s="2132" t="s">
        <v>2053</v>
      </c>
      <c r="C64" s="2041" t="s">
        <v>3387</v>
      </c>
      <c r="D64" s="1064">
        <f t="shared" si="13"/>
        <v>2E-3</v>
      </c>
      <c r="E64" s="744"/>
      <c r="F64" s="1813"/>
      <c r="G64" s="1062">
        <f t="shared" si="14"/>
        <v>2E-3</v>
      </c>
      <c r="H64" s="1065">
        <f t="shared" si="15"/>
        <v>2E-3</v>
      </c>
      <c r="I64" s="3361">
        <v>0.05</v>
      </c>
      <c r="J64" s="1063">
        <f t="shared" si="16"/>
        <v>4.0000000000000001E-3</v>
      </c>
      <c r="K64" s="1063">
        <f t="shared" si="17"/>
        <v>2E-3</v>
      </c>
      <c r="L64" s="1063">
        <v>0</v>
      </c>
      <c r="M64" s="1063">
        <f t="shared" si="18"/>
        <v>-2E-3</v>
      </c>
      <c r="N64" s="1063">
        <f t="shared" si="18"/>
        <v>-4.0000000000000001E-3</v>
      </c>
      <c r="AA64" s="1119"/>
      <c r="AB64" s="1119"/>
      <c r="AC64" s="1119"/>
      <c r="AD64" s="1119"/>
      <c r="AE64" s="1119"/>
      <c r="AF64" s="1119"/>
      <c r="AG64" s="1119"/>
      <c r="AH64" s="1119"/>
      <c r="AI64" s="1119"/>
      <c r="AJ64" s="1119"/>
      <c r="AK64" s="1119"/>
    </row>
    <row r="65" spans="1:37" s="1118" customFormat="1" ht="24">
      <c r="A65" s="2127" t="s">
        <v>2054</v>
      </c>
      <c r="B65" s="2131">
        <f>估价对象房地状况!C24</f>
        <v>0</v>
      </c>
      <c r="C65" s="2041" t="s">
        <v>3489</v>
      </c>
      <c r="D65" s="1064">
        <f t="shared" si="13"/>
        <v>0</v>
      </c>
      <c r="E65" s="744"/>
      <c r="F65" s="1813"/>
      <c r="G65" s="1062">
        <f t="shared" si="14"/>
        <v>2E-3</v>
      </c>
      <c r="H65" s="1065">
        <f t="shared" si="15"/>
        <v>2E-3</v>
      </c>
      <c r="I65" s="3361">
        <v>0.05</v>
      </c>
      <c r="J65" s="1063">
        <f t="shared" si="16"/>
        <v>4.0000000000000001E-3</v>
      </c>
      <c r="K65" s="1063">
        <f t="shared" si="17"/>
        <v>2E-3</v>
      </c>
      <c r="L65" s="1063">
        <v>0</v>
      </c>
      <c r="M65" s="1063">
        <f t="shared" si="18"/>
        <v>-2E-3</v>
      </c>
      <c r="N65" s="1063">
        <f t="shared" si="18"/>
        <v>-4.0000000000000001E-3</v>
      </c>
      <c r="AA65" s="1119"/>
      <c r="AB65" s="1119"/>
      <c r="AC65" s="1119"/>
      <c r="AD65" s="1119"/>
      <c r="AE65" s="1119"/>
      <c r="AF65" s="1119"/>
      <c r="AG65" s="1119"/>
      <c r="AH65" s="1119"/>
      <c r="AI65" s="1119"/>
      <c r="AJ65" s="1119"/>
      <c r="AK65" s="1119"/>
    </row>
    <row r="66" spans="1:37" s="1118" customFormat="1" ht="24">
      <c r="A66" s="2127" t="s">
        <v>2055</v>
      </c>
      <c r="B66" s="2133" t="s">
        <v>2056</v>
      </c>
      <c r="C66" s="2041" t="s">
        <v>3387</v>
      </c>
      <c r="D66" s="1064">
        <f t="shared" si="13"/>
        <v>2.3999999999999998E-3</v>
      </c>
      <c r="E66" s="744"/>
      <c r="F66" s="1813"/>
      <c r="G66" s="1062">
        <f t="shared" si="14"/>
        <v>2.3999999999999998E-3</v>
      </c>
      <c r="H66" s="1065">
        <f t="shared" si="15"/>
        <v>2.3999999999999998E-3</v>
      </c>
      <c r="I66" s="3361">
        <v>0.06</v>
      </c>
      <c r="J66" s="1063">
        <f t="shared" si="16"/>
        <v>4.7999999999999996E-3</v>
      </c>
      <c r="K66" s="1063">
        <f t="shared" si="17"/>
        <v>2.3999999999999998E-3</v>
      </c>
      <c r="L66" s="1063">
        <v>0</v>
      </c>
      <c r="M66" s="1063">
        <f t="shared" si="18"/>
        <v>-2.3999999999999998E-3</v>
      </c>
      <c r="N66" s="1063">
        <f t="shared" si="18"/>
        <v>-4.7999999999999996E-3</v>
      </c>
      <c r="AA66" s="1119"/>
      <c r="AB66" s="1119"/>
      <c r="AC66" s="1119"/>
      <c r="AD66" s="1119"/>
      <c r="AE66" s="1119"/>
      <c r="AF66" s="1119"/>
      <c r="AG66" s="1119"/>
      <c r="AH66" s="1119"/>
      <c r="AI66" s="1119"/>
      <c r="AJ66" s="1119"/>
      <c r="AK66" s="1119"/>
    </row>
    <row r="67" spans="1:37" s="1118" customFormat="1" ht="24">
      <c r="A67" s="2127" t="s">
        <v>2057</v>
      </c>
      <c r="B67" s="1325" t="str">
        <f>估价对象房地状况!C21</f>
        <v>好</v>
      </c>
      <c r="C67" s="2041" t="s">
        <v>3490</v>
      </c>
      <c r="D67" s="1064">
        <f t="shared" si="13"/>
        <v>4.7999999999999996E-3</v>
      </c>
      <c r="E67" s="744"/>
      <c r="F67" s="1813"/>
      <c r="G67" s="1062">
        <f t="shared" si="14"/>
        <v>2.3999999999999998E-3</v>
      </c>
      <c r="H67" s="1065">
        <f t="shared" si="15"/>
        <v>2.3999999999999998E-3</v>
      </c>
      <c r="I67" s="3361">
        <v>0.06</v>
      </c>
      <c r="J67" s="1063">
        <f t="shared" si="16"/>
        <v>4.7999999999999996E-3</v>
      </c>
      <c r="K67" s="1063">
        <f t="shared" si="17"/>
        <v>2.3999999999999998E-3</v>
      </c>
      <c r="L67" s="1063">
        <v>0</v>
      </c>
      <c r="M67" s="1063">
        <f t="shared" si="18"/>
        <v>-2.3999999999999998E-3</v>
      </c>
      <c r="N67" s="1063">
        <f t="shared" si="18"/>
        <v>-4.7999999999999996E-3</v>
      </c>
      <c r="AA67" s="1119"/>
      <c r="AB67" s="1119"/>
      <c r="AC67" s="1119"/>
      <c r="AD67" s="1119"/>
      <c r="AE67" s="1119"/>
      <c r="AF67" s="1119"/>
      <c r="AG67" s="1119"/>
      <c r="AH67" s="1119"/>
      <c r="AI67" s="1119"/>
      <c r="AJ67" s="1119"/>
      <c r="AK67" s="1119"/>
    </row>
    <row r="68" spans="1:37" s="1118" customFormat="1" ht="24">
      <c r="A68" s="2127" t="s">
        <v>2058</v>
      </c>
      <c r="B68" s="1325" t="str">
        <f>估价对象房地状况!C22</f>
        <v>七通</v>
      </c>
      <c r="C68" s="2041" t="s">
        <v>3490</v>
      </c>
      <c r="D68" s="1064">
        <f t="shared" si="13"/>
        <v>7.1999999999999998E-3</v>
      </c>
      <c r="E68" s="744"/>
      <c r="F68" s="1813"/>
      <c r="G68" s="1062">
        <f t="shared" si="14"/>
        <v>3.5999999999999999E-3</v>
      </c>
      <c r="H68" s="1065">
        <f t="shared" si="15"/>
        <v>3.5999999999999999E-3</v>
      </c>
      <c r="I68" s="3361">
        <v>0.09</v>
      </c>
      <c r="J68" s="1063">
        <f t="shared" si="16"/>
        <v>7.1999999999999998E-3</v>
      </c>
      <c r="K68" s="1063">
        <f t="shared" si="17"/>
        <v>3.5999999999999999E-3</v>
      </c>
      <c r="L68" s="1063">
        <v>0</v>
      </c>
      <c r="M68" s="1063">
        <f t="shared" si="18"/>
        <v>-3.5999999999999999E-3</v>
      </c>
      <c r="N68" s="1063">
        <f t="shared" si="18"/>
        <v>-7.1999999999999998E-3</v>
      </c>
      <c r="AA68" s="1119"/>
      <c r="AB68" s="1119"/>
      <c r="AC68" s="1119"/>
      <c r="AD68" s="1119"/>
      <c r="AE68" s="1119"/>
      <c r="AF68" s="1119"/>
      <c r="AG68" s="1119"/>
      <c r="AH68" s="1119"/>
      <c r="AI68" s="1119"/>
      <c r="AJ68" s="1119"/>
      <c r="AK68" s="1119"/>
    </row>
    <row r="69" spans="1:37" s="1118" customFormat="1" ht="24.75" thickBot="1">
      <c r="A69" s="2135" t="s">
        <v>2059</v>
      </c>
      <c r="B69" s="2137" t="str">
        <f>估价对象房地状况!C20</f>
        <v>较好</v>
      </c>
      <c r="C69" s="2041" t="s">
        <v>3387</v>
      </c>
      <c r="D69" s="1064">
        <f t="shared" si="13"/>
        <v>2.8E-3</v>
      </c>
      <c r="E69" s="745"/>
      <c r="F69" s="1813"/>
      <c r="G69" s="1062">
        <f t="shared" si="14"/>
        <v>2.8E-3</v>
      </c>
      <c r="H69" s="1065">
        <f t="shared" si="15"/>
        <v>2.8E-3</v>
      </c>
      <c r="I69" s="3362">
        <v>7.0000000000000007E-2</v>
      </c>
      <c r="J69" s="1063">
        <f t="shared" si="16"/>
        <v>5.5999999999999999E-3</v>
      </c>
      <c r="K69" s="1063">
        <f t="shared" si="17"/>
        <v>2.8E-3</v>
      </c>
      <c r="L69" s="1063">
        <v>0</v>
      </c>
      <c r="M69" s="1063">
        <f t="shared" si="18"/>
        <v>-2.8E-3</v>
      </c>
      <c r="N69" s="1063">
        <f t="shared" si="18"/>
        <v>-5.5999999999999999E-3</v>
      </c>
      <c r="AA69" s="1119"/>
      <c r="AB69" s="1119"/>
      <c r="AC69" s="1119"/>
      <c r="AD69" s="1119"/>
      <c r="AE69" s="1119"/>
      <c r="AF69" s="1119"/>
      <c r="AG69" s="1119"/>
      <c r="AH69" s="1119"/>
      <c r="AI69" s="1119"/>
      <c r="AJ69" s="1119"/>
      <c r="AK69" s="1119"/>
    </row>
    <row r="70" spans="1:37" s="1118" customFormat="1" ht="15">
      <c r="A70" s="2123" t="s">
        <v>2063</v>
      </c>
      <c r="B70" s="2124" t="e">
        <f>1+E72</f>
        <v>#VALUE!</v>
      </c>
      <c r="C70" s="740"/>
      <c r="D70" s="740"/>
      <c r="E70" s="741"/>
      <c r="F70" s="2126"/>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7" t="s">
        <v>2042</v>
      </c>
      <c r="B71" s="1350"/>
      <c r="C71" s="1350" t="s">
        <v>2044</v>
      </c>
      <c r="D71" s="1350" t="s">
        <v>2045</v>
      </c>
      <c r="E71" s="742" t="s">
        <v>2046</v>
      </c>
      <c r="F71" s="2128" t="s">
        <v>2061</v>
      </c>
      <c r="G71" s="1350" t="s">
        <v>310</v>
      </c>
      <c r="H71" s="2129" t="s">
        <v>2048</v>
      </c>
      <c r="I71" s="1350" t="s">
        <v>2049</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24">
      <c r="A72" s="2127" t="s">
        <v>2064</v>
      </c>
      <c r="B72" s="2130" t="str">
        <f>估价对象房地状况!C15</f>
        <v>好</v>
      </c>
      <c r="C72" s="2041" t="s">
        <v>3387</v>
      </c>
      <c r="D72" s="1064" t="e">
        <f t="shared" ref="D72:D80" si="19">SUMIF($J$71:$N$71,C72,J72:N72)</f>
        <v>#VALUE!</v>
      </c>
      <c r="E72" s="743" t="e">
        <f>ROUND(SUM(D72:D80),4)</f>
        <v>#VALUE!</v>
      </c>
      <c r="F72" s="1813" t="str">
        <f>IF(E2="住宅",SUMIF(L1:L12,G2,N1:N12),"——")</f>
        <v>——</v>
      </c>
      <c r="G72" s="1062" t="str">
        <f t="shared" ref="G72:G80" si="20">H72</f>
        <v>——</v>
      </c>
      <c r="H72" s="1065" t="str">
        <f t="shared" ref="H72:H80" si="21">IFERROR(ROUNDDOWN($F$72*I72/2,4),"——")</f>
        <v>——</v>
      </c>
      <c r="I72" s="3361">
        <v>0.2</v>
      </c>
      <c r="J72" s="1063" t="e">
        <f t="shared" ref="J72:J80" si="22">K72+$G72</f>
        <v>#VALUE!</v>
      </c>
      <c r="K72" s="1063" t="e">
        <f t="shared" ref="K72:K80" si="23">$L72+$G72</f>
        <v>#VALUE!</v>
      </c>
      <c r="L72" s="1063">
        <v>0</v>
      </c>
      <c r="M72" s="1063" t="e">
        <f t="shared" ref="M72:N80" si="24">L72-$G72</f>
        <v>#VALUE!</v>
      </c>
      <c r="N72" s="1063" t="e">
        <f t="shared" si="24"/>
        <v>#VALUE!</v>
      </c>
      <c r="AA72" s="1119"/>
      <c r="AB72" s="1119"/>
      <c r="AC72" s="1119"/>
      <c r="AD72" s="1119"/>
      <c r="AE72" s="1119"/>
      <c r="AF72" s="1119"/>
      <c r="AG72" s="1119"/>
      <c r="AH72" s="1119"/>
      <c r="AI72" s="1119"/>
      <c r="AJ72" s="1119"/>
      <c r="AK72" s="1119"/>
    </row>
    <row r="73" spans="1:37" s="1118" customFormat="1" ht="14.25">
      <c r="A73" s="2127" t="s">
        <v>2051</v>
      </c>
      <c r="B73" s="2131" t="str">
        <f>估价对象房地状况!C18</f>
        <v>较好</v>
      </c>
      <c r="C73" s="2041" t="s">
        <v>3387</v>
      </c>
      <c r="D73" s="1064" t="e">
        <f t="shared" si="19"/>
        <v>#VALUE!</v>
      </c>
      <c r="E73" s="746"/>
      <c r="F73" s="1813"/>
      <c r="G73" s="1062" t="str">
        <f t="shared" si="20"/>
        <v>——</v>
      </c>
      <c r="H73" s="1065" t="str">
        <f t="shared" si="21"/>
        <v>——</v>
      </c>
      <c r="I73" s="3361">
        <v>0.26</v>
      </c>
      <c r="J73" s="1063" t="e">
        <f t="shared" si="22"/>
        <v>#VALUE!</v>
      </c>
      <c r="K73" s="1063" t="e">
        <f t="shared" si="23"/>
        <v>#VALUE!</v>
      </c>
      <c r="L73" s="1063">
        <v>0</v>
      </c>
      <c r="M73" s="1063" t="e">
        <f t="shared" si="24"/>
        <v>#VALUE!</v>
      </c>
      <c r="N73" s="1063" t="e">
        <f t="shared" si="24"/>
        <v>#VALUE!</v>
      </c>
      <c r="AA73" s="1119"/>
      <c r="AB73" s="1119"/>
      <c r="AC73" s="1119"/>
      <c r="AD73" s="1119"/>
      <c r="AE73" s="1119"/>
      <c r="AF73" s="1119"/>
      <c r="AG73" s="1119"/>
      <c r="AH73" s="1119"/>
      <c r="AI73" s="1119"/>
      <c r="AJ73" s="1119"/>
      <c r="AK73" s="1119"/>
    </row>
    <row r="74" spans="1:37" s="1994" customFormat="1" ht="36">
      <c r="A74" s="3363" t="s">
        <v>3261</v>
      </c>
      <c r="B74" s="2131" t="str">
        <f>估价对象房地状况!C19</f>
        <v>较好</v>
      </c>
      <c r="C74" s="2041" t="s">
        <v>3387</v>
      </c>
      <c r="D74" s="1064" t="e">
        <f t="shared" si="19"/>
        <v>#VALUE!</v>
      </c>
      <c r="E74" s="746"/>
      <c r="F74" s="1813"/>
      <c r="G74" s="1062" t="str">
        <f t="shared" si="20"/>
        <v>——</v>
      </c>
      <c r="H74" s="1065" t="str">
        <f t="shared" si="21"/>
        <v>——</v>
      </c>
      <c r="I74" s="3361">
        <v>0.1</v>
      </c>
      <c r="J74" s="1063" t="e">
        <f t="shared" si="22"/>
        <v>#VALUE!</v>
      </c>
      <c r="K74" s="1063" t="e">
        <f t="shared" si="23"/>
        <v>#VALUE!</v>
      </c>
      <c r="L74" s="1063">
        <v>0</v>
      </c>
      <c r="M74" s="1063" t="e">
        <f t="shared" si="24"/>
        <v>#VALUE!</v>
      </c>
      <c r="N74" s="1063" t="e">
        <f t="shared" si="24"/>
        <v>#VALUE!</v>
      </c>
      <c r="O74" s="1118"/>
      <c r="P74" s="1118"/>
      <c r="Q74" s="1118"/>
      <c r="AA74" s="2138"/>
      <c r="AB74" s="1119"/>
      <c r="AC74" s="1119"/>
      <c r="AD74" s="1119"/>
      <c r="AE74" s="1119"/>
      <c r="AF74" s="1119"/>
      <c r="AG74" s="1119"/>
      <c r="AH74" s="2138"/>
      <c r="AI74" s="2138"/>
      <c r="AJ74" s="2138"/>
      <c r="AK74" s="2138"/>
    </row>
    <row r="75" spans="1:37" ht="14.25">
      <c r="A75" s="2127" t="s">
        <v>2065</v>
      </c>
      <c r="B75" s="2131">
        <f>估价对象房地状况!C24</f>
        <v>0</v>
      </c>
      <c r="C75" s="2041" t="s">
        <v>3489</v>
      </c>
      <c r="D75" s="1064">
        <f t="shared" si="19"/>
        <v>0</v>
      </c>
      <c r="E75" s="746"/>
      <c r="F75" s="1813"/>
      <c r="G75" s="1062" t="str">
        <f t="shared" si="20"/>
        <v>——</v>
      </c>
      <c r="H75" s="1065" t="str">
        <f t="shared" si="21"/>
        <v>——</v>
      </c>
      <c r="I75" s="3361">
        <v>0.05</v>
      </c>
      <c r="J75" s="1063" t="e">
        <f t="shared" si="22"/>
        <v>#VALUE!</v>
      </c>
      <c r="K75" s="1063" t="e">
        <f t="shared" si="23"/>
        <v>#VALUE!</v>
      </c>
      <c r="L75" s="1063">
        <v>0</v>
      </c>
      <c r="M75" s="1063" t="e">
        <f t="shared" si="24"/>
        <v>#VALUE!</v>
      </c>
      <c r="N75" s="1063" t="e">
        <f t="shared" si="24"/>
        <v>#VALUE!</v>
      </c>
      <c r="O75" s="1118"/>
      <c r="P75" s="1118"/>
      <c r="Q75" s="1994"/>
      <c r="Z75" s="1995"/>
      <c r="AA75" s="2050"/>
      <c r="AG75" s="1120"/>
      <c r="AK75" s="2050"/>
    </row>
    <row r="76" spans="1:37" ht="24">
      <c r="A76" s="2127" t="s">
        <v>2057</v>
      </c>
      <c r="B76" s="1325" t="str">
        <f>估价对象房地状况!C21</f>
        <v>好</v>
      </c>
      <c r="C76" s="2041" t="s">
        <v>3387</v>
      </c>
      <c r="D76" s="1064" t="e">
        <f t="shared" si="19"/>
        <v>#VALUE!</v>
      </c>
      <c r="E76" s="746"/>
      <c r="F76" s="1813"/>
      <c r="G76" s="1062" t="str">
        <f t="shared" si="20"/>
        <v>——</v>
      </c>
      <c r="H76" s="1065" t="str">
        <f t="shared" si="21"/>
        <v>——</v>
      </c>
      <c r="I76" s="3361">
        <v>0.08</v>
      </c>
      <c r="J76" s="1063" t="e">
        <f t="shared" si="22"/>
        <v>#VALUE!</v>
      </c>
      <c r="K76" s="1063" t="e">
        <f t="shared" si="23"/>
        <v>#VALUE!</v>
      </c>
      <c r="L76" s="1063">
        <v>0</v>
      </c>
      <c r="M76" s="1063" t="e">
        <f t="shared" si="24"/>
        <v>#VALUE!</v>
      </c>
      <c r="N76" s="1063" t="e">
        <f t="shared" si="24"/>
        <v>#VALUE!</v>
      </c>
      <c r="O76" s="1118"/>
      <c r="P76" s="1118"/>
      <c r="Z76" s="1995"/>
      <c r="AA76" s="2050"/>
      <c r="AG76" s="1120"/>
      <c r="AK76" s="2050"/>
    </row>
    <row r="77" spans="1:37" ht="24">
      <c r="A77" s="2127" t="s">
        <v>2058</v>
      </c>
      <c r="B77" s="1325" t="str">
        <f>估价对象房地状况!C22</f>
        <v>七通</v>
      </c>
      <c r="C77" s="2041" t="s">
        <v>3490</v>
      </c>
      <c r="D77" s="1064" t="e">
        <f t="shared" si="19"/>
        <v>#VALUE!</v>
      </c>
      <c r="E77" s="746"/>
      <c r="F77" s="1813"/>
      <c r="G77" s="1062" t="str">
        <f t="shared" si="20"/>
        <v>——</v>
      </c>
      <c r="H77" s="1065" t="str">
        <f t="shared" si="21"/>
        <v>——</v>
      </c>
      <c r="I77" s="3361">
        <v>0.09</v>
      </c>
      <c r="J77" s="1063" t="e">
        <f t="shared" si="22"/>
        <v>#VALUE!</v>
      </c>
      <c r="K77" s="1063" t="e">
        <f t="shared" si="23"/>
        <v>#VALUE!</v>
      </c>
      <c r="L77" s="1063">
        <v>0</v>
      </c>
      <c r="M77" s="1063" t="e">
        <f t="shared" si="24"/>
        <v>#VALUE!</v>
      </c>
      <c r="N77" s="1063" t="e">
        <f t="shared" si="24"/>
        <v>#VALUE!</v>
      </c>
      <c r="O77" s="1118"/>
      <c r="P77" s="1118"/>
      <c r="Z77" s="1995"/>
      <c r="AA77" s="2050"/>
      <c r="AG77" s="1120"/>
      <c r="AK77" s="2050"/>
    </row>
    <row r="78" spans="1:37" ht="24">
      <c r="A78" s="2127" t="s">
        <v>2055</v>
      </c>
      <c r="B78" s="2133" t="s">
        <v>2056</v>
      </c>
      <c r="C78" s="2041" t="s">
        <v>3387</v>
      </c>
      <c r="D78" s="1064" t="e">
        <f t="shared" si="19"/>
        <v>#VALUE!</v>
      </c>
      <c r="E78" s="746"/>
      <c r="F78" s="1813"/>
      <c r="G78" s="1062" t="str">
        <f t="shared" si="20"/>
        <v>——</v>
      </c>
      <c r="H78" s="1065" t="str">
        <f t="shared" si="21"/>
        <v>——</v>
      </c>
      <c r="I78" s="3361">
        <v>0.05</v>
      </c>
      <c r="J78" s="1063" t="e">
        <f t="shared" si="22"/>
        <v>#VALUE!</v>
      </c>
      <c r="K78" s="1063" t="e">
        <f t="shared" si="23"/>
        <v>#VALUE!</v>
      </c>
      <c r="L78" s="1063">
        <v>0</v>
      </c>
      <c r="M78" s="1063" t="e">
        <f t="shared" si="24"/>
        <v>#VALUE!</v>
      </c>
      <c r="N78" s="1063" t="e">
        <f t="shared" si="24"/>
        <v>#VALUE!</v>
      </c>
      <c r="O78" s="1994"/>
      <c r="P78" s="1994"/>
      <c r="Z78" s="1995"/>
      <c r="AA78" s="2050"/>
      <c r="AG78" s="1120"/>
      <c r="AK78" s="2050"/>
    </row>
    <row r="79" spans="1:37" ht="24">
      <c r="A79" s="2127" t="s">
        <v>2059</v>
      </c>
      <c r="B79" s="2130" t="str">
        <f>估价对象房地状况!C20</f>
        <v>较好</v>
      </c>
      <c r="C79" s="2041" t="s">
        <v>3387</v>
      </c>
      <c r="D79" s="1064" t="e">
        <f t="shared" si="19"/>
        <v>#VALUE!</v>
      </c>
      <c r="E79" s="746"/>
      <c r="F79" s="1813"/>
      <c r="G79" s="1062" t="str">
        <f t="shared" si="20"/>
        <v>——</v>
      </c>
      <c r="H79" s="1065" t="str">
        <f t="shared" si="21"/>
        <v>——</v>
      </c>
      <c r="I79" s="3361">
        <v>0.12</v>
      </c>
      <c r="J79" s="1063" t="e">
        <f t="shared" si="22"/>
        <v>#VALUE!</v>
      </c>
      <c r="K79" s="1063" t="e">
        <f t="shared" si="23"/>
        <v>#VALUE!</v>
      </c>
      <c r="L79" s="1063">
        <v>0</v>
      </c>
      <c r="M79" s="1063" t="e">
        <f t="shared" si="24"/>
        <v>#VALUE!</v>
      </c>
      <c r="N79" s="1063" t="e">
        <f t="shared" si="24"/>
        <v>#VALUE!</v>
      </c>
      <c r="Z79" s="1995"/>
      <c r="AA79" s="2050"/>
      <c r="AG79" s="1120"/>
      <c r="AK79" s="2050"/>
    </row>
    <row r="80" spans="1:37" ht="24.75" thickBot="1">
      <c r="A80" s="2135" t="s">
        <v>2066</v>
      </c>
      <c r="B80" s="2139"/>
      <c r="C80" s="2041" t="s">
        <v>3489</v>
      </c>
      <c r="D80" s="1064">
        <f t="shared" si="19"/>
        <v>0</v>
      </c>
      <c r="E80" s="747"/>
      <c r="F80" s="1813"/>
      <c r="G80" s="1062" t="str">
        <f t="shared" si="20"/>
        <v>——</v>
      </c>
      <c r="H80" s="1065" t="str">
        <f t="shared" si="21"/>
        <v>——</v>
      </c>
      <c r="I80" s="3362">
        <v>0.05</v>
      </c>
      <c r="J80" s="1063" t="e">
        <f t="shared" si="22"/>
        <v>#VALUE!</v>
      </c>
      <c r="K80" s="1063" t="e">
        <f t="shared" si="23"/>
        <v>#VALUE!</v>
      </c>
      <c r="L80" s="1063">
        <v>0</v>
      </c>
      <c r="M80" s="1063" t="e">
        <f t="shared" si="24"/>
        <v>#VALUE!</v>
      </c>
      <c r="N80" s="1063" t="e">
        <f t="shared" si="24"/>
        <v>#VALUE!</v>
      </c>
      <c r="Z80" s="1995"/>
      <c r="AA80" s="2050"/>
      <c r="AG80" s="1120"/>
      <c r="AK80" s="2050"/>
    </row>
    <row r="81" spans="1:37" ht="15">
      <c r="A81" s="2123" t="s">
        <v>2067</v>
      </c>
      <c r="B81" s="2124" t="e">
        <f>1+E83</f>
        <v>#VALUE!</v>
      </c>
      <c r="C81" s="740"/>
      <c r="D81" s="740"/>
      <c r="E81" s="741"/>
      <c r="F81" s="2126"/>
      <c r="G81" s="3"/>
      <c r="H81" s="3"/>
      <c r="I81" s="3"/>
      <c r="J81" s="4"/>
      <c r="K81" s="4"/>
      <c r="L81" s="4"/>
      <c r="M81" s="4"/>
      <c r="N81" s="4"/>
      <c r="Z81" s="1995"/>
      <c r="AA81" s="2050"/>
      <c r="AG81" s="1120"/>
      <c r="AK81" s="2050"/>
    </row>
    <row r="82" spans="1:37" ht="24.75">
      <c r="A82" s="2127" t="s">
        <v>2042</v>
      </c>
      <c r="B82" s="1350"/>
      <c r="C82" s="1350" t="s">
        <v>2044</v>
      </c>
      <c r="D82" s="1350" t="s">
        <v>2045</v>
      </c>
      <c r="E82" s="742" t="s">
        <v>2046</v>
      </c>
      <c r="F82" s="2128" t="s">
        <v>2061</v>
      </c>
      <c r="G82" s="1350" t="s">
        <v>310</v>
      </c>
      <c r="H82" s="2129" t="s">
        <v>2048</v>
      </c>
      <c r="I82" s="1350" t="s">
        <v>2049</v>
      </c>
      <c r="J82" s="552" t="s">
        <v>1719</v>
      </c>
      <c r="K82" s="552" t="s">
        <v>1720</v>
      </c>
      <c r="L82" s="552" t="s">
        <v>1721</v>
      </c>
      <c r="M82" s="552" t="s">
        <v>1722</v>
      </c>
      <c r="N82" s="552" t="s">
        <v>1723</v>
      </c>
      <c r="Z82" s="1995"/>
      <c r="AA82" s="2050"/>
      <c r="AG82" s="1120"/>
      <c r="AK82" s="2050"/>
    </row>
    <row r="83" spans="1:37" ht="24">
      <c r="A83" s="2127" t="s">
        <v>2068</v>
      </c>
      <c r="B83" s="2131" t="str">
        <f>估价对象房地状况!G15</f>
        <v>较好</v>
      </c>
      <c r="C83" s="2041" t="s">
        <v>3387</v>
      </c>
      <c r="D83" s="1064" t="e">
        <f t="shared" ref="D83:D90" si="25">SUMIF($J$82:$N$82,C83,J83:N83)</f>
        <v>#VALUE!</v>
      </c>
      <c r="E83" s="743" t="e">
        <f>ROUND(SUM(D83:D90),4)</f>
        <v>#VALUE!</v>
      </c>
      <c r="F83" s="1813" t="str">
        <f>IF(E2="工业",SUMIF(L1:L12,G2,N1:N12),"——")</f>
        <v>——</v>
      </c>
      <c r="G83" s="1062" t="str">
        <f t="shared" ref="G83:G90" si="26">H83</f>
        <v>——</v>
      </c>
      <c r="H83" s="1065" t="str">
        <f t="shared" ref="H83:H90" si="27">IFERROR(ROUNDDOWN($F$83*I83/2,4),"——")</f>
        <v>——</v>
      </c>
      <c r="I83" s="3361">
        <v>0.26</v>
      </c>
      <c r="J83" s="1063" t="e">
        <f t="shared" ref="J83:J90" si="28">K83+$G83</f>
        <v>#VALUE!</v>
      </c>
      <c r="K83" s="1063" t="e">
        <f t="shared" ref="K83:K90" si="29">$L83+$G83</f>
        <v>#VALUE!</v>
      </c>
      <c r="L83" s="1063">
        <v>0</v>
      </c>
      <c r="M83" s="1063" t="e">
        <f t="shared" ref="M83:N90" si="30">L83-$G83</f>
        <v>#VALUE!</v>
      </c>
      <c r="N83" s="1063" t="e">
        <f t="shared" si="30"/>
        <v>#VALUE!</v>
      </c>
      <c r="Z83" s="1995"/>
      <c r="AA83" s="2050"/>
      <c r="AG83" s="1120"/>
      <c r="AK83" s="2050"/>
    </row>
    <row r="84" spans="1:37" ht="14.25">
      <c r="A84" s="2127" t="s">
        <v>2051</v>
      </c>
      <c r="B84" s="2131" t="str">
        <f>估价对象房地状况!G16</f>
        <v>较好</v>
      </c>
      <c r="C84" s="2041" t="s">
        <v>3387</v>
      </c>
      <c r="D84" s="1064" t="e">
        <f t="shared" si="25"/>
        <v>#VALUE!</v>
      </c>
      <c r="E84" s="746"/>
      <c r="F84" s="1813"/>
      <c r="G84" s="1062" t="str">
        <f t="shared" si="26"/>
        <v>——</v>
      </c>
      <c r="H84" s="1065" t="str">
        <f t="shared" si="27"/>
        <v>——</v>
      </c>
      <c r="I84" s="3361">
        <v>0.3</v>
      </c>
      <c r="J84" s="1063" t="e">
        <f t="shared" si="28"/>
        <v>#VALUE!</v>
      </c>
      <c r="K84" s="1063" t="e">
        <f t="shared" si="29"/>
        <v>#VALUE!</v>
      </c>
      <c r="L84" s="1063">
        <v>0</v>
      </c>
      <c r="M84" s="1063" t="e">
        <f t="shared" si="30"/>
        <v>#VALUE!</v>
      </c>
      <c r="N84" s="1063" t="e">
        <f t="shared" si="30"/>
        <v>#VALUE!</v>
      </c>
      <c r="Z84" s="1995"/>
      <c r="AA84" s="2050"/>
      <c r="AG84" s="1120"/>
      <c r="AK84" s="2050"/>
    </row>
    <row r="85" spans="1:37" ht="36">
      <c r="A85" s="3363" t="s">
        <v>3262</v>
      </c>
      <c r="B85" s="2131" t="str">
        <f>估价对象房地状况!G17</f>
        <v>较好</v>
      </c>
      <c r="C85" s="2041" t="s">
        <v>3387</v>
      </c>
      <c r="D85" s="1064" t="e">
        <f t="shared" si="25"/>
        <v>#VALUE!</v>
      </c>
      <c r="E85" s="746"/>
      <c r="F85" s="1813"/>
      <c r="G85" s="1062" t="str">
        <f t="shared" si="26"/>
        <v>——</v>
      </c>
      <c r="H85" s="1065" t="str">
        <f t="shared" si="27"/>
        <v>——</v>
      </c>
      <c r="I85" s="3361">
        <v>0.1</v>
      </c>
      <c r="J85" s="1063" t="e">
        <f t="shared" si="28"/>
        <v>#VALUE!</v>
      </c>
      <c r="K85" s="1063" t="e">
        <f t="shared" si="29"/>
        <v>#VALUE!</v>
      </c>
      <c r="L85" s="1063">
        <v>0</v>
      </c>
      <c r="M85" s="1063" t="e">
        <f t="shared" si="30"/>
        <v>#VALUE!</v>
      </c>
      <c r="N85" s="1063" t="e">
        <f t="shared" si="30"/>
        <v>#VALUE!</v>
      </c>
      <c r="Z85" s="1995"/>
      <c r="AA85" s="2050"/>
      <c r="AG85" s="1120"/>
      <c r="AK85" s="2050"/>
    </row>
    <row r="86" spans="1:37" ht="14.25">
      <c r="A86" s="2127" t="s">
        <v>2065</v>
      </c>
      <c r="B86" s="2131">
        <f>估价对象房地状况!G22</f>
        <v>0</v>
      </c>
      <c r="C86" s="2041" t="s">
        <v>3489</v>
      </c>
      <c r="D86" s="1064">
        <f t="shared" si="25"/>
        <v>0</v>
      </c>
      <c r="E86" s="746"/>
      <c r="F86" s="1813"/>
      <c r="G86" s="1062" t="str">
        <f t="shared" si="26"/>
        <v>——</v>
      </c>
      <c r="H86" s="1065" t="str">
        <f t="shared" si="27"/>
        <v>——</v>
      </c>
      <c r="I86" s="3361">
        <v>0.05</v>
      </c>
      <c r="J86" s="1063" t="e">
        <f t="shared" si="28"/>
        <v>#VALUE!</v>
      </c>
      <c r="K86" s="1063" t="e">
        <f t="shared" si="29"/>
        <v>#VALUE!</v>
      </c>
      <c r="L86" s="1063">
        <v>0</v>
      </c>
      <c r="M86" s="1063" t="e">
        <f t="shared" si="30"/>
        <v>#VALUE!</v>
      </c>
      <c r="N86" s="1063" t="e">
        <f t="shared" si="30"/>
        <v>#VALUE!</v>
      </c>
      <c r="Z86" s="1995"/>
      <c r="AA86" s="2050"/>
      <c r="AG86" s="1120"/>
      <c r="AK86" s="2050"/>
    </row>
    <row r="87" spans="1:37" ht="24">
      <c r="A87" s="2127" t="s">
        <v>2057</v>
      </c>
      <c r="B87" s="1325" t="str">
        <f>估价对象房地状况!G19</f>
        <v>较好</v>
      </c>
      <c r="C87" s="2041" t="s">
        <v>3387</v>
      </c>
      <c r="D87" s="1064" t="e">
        <f t="shared" si="25"/>
        <v>#VALUE!</v>
      </c>
      <c r="E87" s="746"/>
      <c r="F87" s="1813"/>
      <c r="G87" s="1062" t="str">
        <f t="shared" si="26"/>
        <v>——</v>
      </c>
      <c r="H87" s="1065" t="str">
        <f t="shared" si="27"/>
        <v>——</v>
      </c>
      <c r="I87" s="3361">
        <v>0.06</v>
      </c>
      <c r="J87" s="1063" t="e">
        <f t="shared" si="28"/>
        <v>#VALUE!</v>
      </c>
      <c r="K87" s="1063" t="e">
        <f t="shared" si="29"/>
        <v>#VALUE!</v>
      </c>
      <c r="L87" s="1063">
        <v>0</v>
      </c>
      <c r="M87" s="1063" t="e">
        <f t="shared" si="30"/>
        <v>#VALUE!</v>
      </c>
      <c r="N87" s="1063" t="e">
        <f t="shared" si="30"/>
        <v>#VALUE!</v>
      </c>
    </row>
    <row r="88" spans="1:37" ht="24">
      <c r="A88" s="2127" t="s">
        <v>2058</v>
      </c>
      <c r="B88" s="1325" t="str">
        <f>估价对象房地状况!G20</f>
        <v>七通</v>
      </c>
      <c r="C88" s="2041" t="s">
        <v>3490</v>
      </c>
      <c r="D88" s="1064" t="e">
        <f t="shared" si="25"/>
        <v>#VALUE!</v>
      </c>
      <c r="E88" s="746"/>
      <c r="F88" s="1813"/>
      <c r="G88" s="1062" t="str">
        <f t="shared" si="26"/>
        <v>——</v>
      </c>
      <c r="H88" s="1065" t="str">
        <f t="shared" si="27"/>
        <v>——</v>
      </c>
      <c r="I88" s="3361">
        <v>0.12</v>
      </c>
      <c r="J88" s="1063" t="e">
        <f t="shared" si="28"/>
        <v>#VALUE!</v>
      </c>
      <c r="K88" s="1063" t="e">
        <f t="shared" si="29"/>
        <v>#VALUE!</v>
      </c>
      <c r="L88" s="1063">
        <v>0</v>
      </c>
      <c r="M88" s="1063" t="e">
        <f t="shared" si="30"/>
        <v>#VALUE!</v>
      </c>
      <c r="N88" s="1063" t="e">
        <f t="shared" si="30"/>
        <v>#VALUE!</v>
      </c>
    </row>
    <row r="89" spans="1:37" ht="24">
      <c r="A89" s="2127" t="s">
        <v>2055</v>
      </c>
      <c r="B89" s="2133" t="s">
        <v>2069</v>
      </c>
      <c r="C89" s="2041" t="s">
        <v>3387</v>
      </c>
      <c r="D89" s="1064" t="e">
        <f t="shared" si="25"/>
        <v>#VALUE!</v>
      </c>
      <c r="E89" s="746"/>
      <c r="F89" s="1813"/>
      <c r="G89" s="1062" t="str">
        <f t="shared" si="26"/>
        <v>——</v>
      </c>
      <c r="H89" s="1065" t="str">
        <f t="shared" si="27"/>
        <v>——</v>
      </c>
      <c r="I89" s="3361">
        <v>0.06</v>
      </c>
      <c r="J89" s="1063" t="e">
        <f t="shared" si="28"/>
        <v>#VALUE!</v>
      </c>
      <c r="K89" s="1063" t="e">
        <f t="shared" si="29"/>
        <v>#VALUE!</v>
      </c>
      <c r="L89" s="1063">
        <v>0</v>
      </c>
      <c r="M89" s="1063" t="e">
        <f t="shared" si="30"/>
        <v>#VALUE!</v>
      </c>
      <c r="N89" s="1063" t="e">
        <f t="shared" si="30"/>
        <v>#VALUE!</v>
      </c>
    </row>
    <row r="90" spans="1:37" ht="15" thickBot="1">
      <c r="A90" s="2135" t="s">
        <v>2070</v>
      </c>
      <c r="B90" s="2140" t="str">
        <f>估价对象房地状况!G18</f>
        <v>较好</v>
      </c>
      <c r="C90" s="2041" t="s">
        <v>3387</v>
      </c>
      <c r="D90" s="1064" t="e">
        <f t="shared" si="25"/>
        <v>#VALUE!</v>
      </c>
      <c r="E90" s="747"/>
      <c r="F90" s="1813"/>
      <c r="G90" s="1062" t="str">
        <f t="shared" si="26"/>
        <v>——</v>
      </c>
      <c r="H90" s="1065" t="str">
        <f t="shared" si="27"/>
        <v>——</v>
      </c>
      <c r="I90" s="3362">
        <v>0.05</v>
      </c>
      <c r="J90" s="1063" t="e">
        <f t="shared" si="28"/>
        <v>#VALUE!</v>
      </c>
      <c r="K90" s="1063" t="e">
        <f t="shared" si="29"/>
        <v>#VALUE!</v>
      </c>
      <c r="L90" s="1063">
        <v>0</v>
      </c>
      <c r="M90" s="1063" t="e">
        <f t="shared" si="30"/>
        <v>#VALUE!</v>
      </c>
      <c r="N90" s="1063" t="e">
        <f t="shared" si="30"/>
        <v>#VALUE!</v>
      </c>
    </row>
    <row r="91" spans="1:37" ht="15">
      <c r="A91" s="3371" t="s">
        <v>2602</v>
      </c>
      <c r="B91" s="3372" t="e">
        <f>1+E93</f>
        <v>#VALUE!</v>
      </c>
      <c r="C91" s="3365"/>
      <c r="D91" s="3366"/>
      <c r="E91" s="1813"/>
      <c r="F91" s="1813"/>
      <c r="G91" s="3367"/>
      <c r="H91" s="3368"/>
      <c r="I91" s="3369"/>
      <c r="J91" s="3370"/>
      <c r="K91" s="3370"/>
      <c r="L91" s="3370"/>
      <c r="M91" s="3370"/>
      <c r="N91" s="3370"/>
    </row>
    <row r="92" spans="1:37" ht="24.75">
      <c r="A92" s="3373" t="s">
        <v>3263</v>
      </c>
      <c r="B92" s="3360"/>
      <c r="C92" s="3360" t="s">
        <v>3272</v>
      </c>
      <c r="D92" s="3360" t="s">
        <v>3273</v>
      </c>
      <c r="E92" s="3342" t="s">
        <v>3274</v>
      </c>
      <c r="F92" s="3375" t="s">
        <v>3275</v>
      </c>
      <c r="G92" s="3360" t="s">
        <v>3276</v>
      </c>
      <c r="H92" s="3382" t="s">
        <v>3279</v>
      </c>
      <c r="I92" s="3360" t="s">
        <v>3280</v>
      </c>
      <c r="J92" s="3383" t="s">
        <v>3281</v>
      </c>
      <c r="K92" s="3383" t="s">
        <v>3282</v>
      </c>
      <c r="L92" s="3383" t="s">
        <v>3283</v>
      </c>
      <c r="M92" s="3383" t="s">
        <v>3284</v>
      </c>
      <c r="N92" s="3383" t="s">
        <v>3285</v>
      </c>
    </row>
    <row r="93" spans="1:37" ht="24">
      <c r="A93" s="3363" t="s">
        <v>3264</v>
      </c>
      <c r="B93" s="1305"/>
      <c r="C93" s="2041" t="s">
        <v>3387</v>
      </c>
      <c r="D93" s="3360" t="e">
        <f>SUMIF($J$92:$N$92,C93,J93:N93)</f>
        <v>#VALUE!</v>
      </c>
      <c r="E93" s="3376" t="e">
        <f>ROUND(SUM(D93:D101),4)</f>
        <v>#VALUE!</v>
      </c>
      <c r="F93" s="1813" t="str">
        <f>IF(E2="公共服务",SUMIF(L1:L12,G2,N1:N12),"——")</f>
        <v>——</v>
      </c>
      <c r="G93" s="1062" t="str">
        <f t="shared" ref="G93:G101" si="31">H93</f>
        <v>——</v>
      </c>
      <c r="H93" s="3415" t="str">
        <f>IFERROR(ROUNDDOWN($F$93*I93/2,4),"——")</f>
        <v>——</v>
      </c>
      <c r="I93" s="3361">
        <v>0.25</v>
      </c>
      <c r="J93" s="3339" t="e">
        <f t="shared" ref="J93:J101" si="32">K93+$G93</f>
        <v>#VALUE!</v>
      </c>
      <c r="K93" s="3339" t="e">
        <f t="shared" ref="K93:K101" si="33">$L93+$G93</f>
        <v>#VALUE!</v>
      </c>
      <c r="L93" s="3339">
        <v>0</v>
      </c>
      <c r="M93" s="3339" t="e">
        <f t="shared" ref="M93:N101" si="34">L93-$G93</f>
        <v>#VALUE!</v>
      </c>
      <c r="N93" s="3339" t="e">
        <f t="shared" si="34"/>
        <v>#VALUE!</v>
      </c>
    </row>
    <row r="94" spans="1:37" ht="14.25">
      <c r="A94" s="3373" t="s">
        <v>3265</v>
      </c>
      <c r="B94" s="3364" t="str">
        <f>估价对象房地状况!C18</f>
        <v>较好</v>
      </c>
      <c r="C94" s="2041" t="s">
        <v>3387</v>
      </c>
      <c r="D94" s="3360" t="e">
        <f t="shared" ref="D94:D101" si="35">SUMIF($J$60:$N$60,C94,J94:N94)</f>
        <v>#VALUE!</v>
      </c>
      <c r="E94" s="3377"/>
      <c r="F94" s="1813"/>
      <c r="G94" s="1062" t="str">
        <f t="shared" si="31"/>
        <v>——</v>
      </c>
      <c r="H94" s="3415" t="str">
        <f>IFERROR(ROUNDDOWN($F$93*I94/2,4),"——")</f>
        <v>——</v>
      </c>
      <c r="I94" s="3361">
        <v>0.26</v>
      </c>
      <c r="J94" s="3339" t="e">
        <f t="shared" si="32"/>
        <v>#VALUE!</v>
      </c>
      <c r="K94" s="3339" t="e">
        <f t="shared" si="33"/>
        <v>#VALUE!</v>
      </c>
      <c r="L94" s="3339">
        <v>0</v>
      </c>
      <c r="M94" s="3339" t="e">
        <f t="shared" si="34"/>
        <v>#VALUE!</v>
      </c>
      <c r="N94" s="3339" t="e">
        <f t="shared" si="34"/>
        <v>#VALUE!</v>
      </c>
    </row>
    <row r="95" spans="1:37" ht="36">
      <c r="A95" s="3363" t="s">
        <v>3261</v>
      </c>
      <c r="B95" s="3364" t="str">
        <f>估价对象房地状况!C19</f>
        <v>较好</v>
      </c>
      <c r="C95" s="2041" t="s">
        <v>3387</v>
      </c>
      <c r="D95" s="3360" t="e">
        <f t="shared" si="35"/>
        <v>#VALUE!</v>
      </c>
      <c r="E95" s="3377"/>
      <c r="F95" s="1813"/>
      <c r="G95" s="1062" t="str">
        <f t="shared" si="31"/>
        <v>——</v>
      </c>
      <c r="H95" s="3415" t="str">
        <f t="shared" ref="H95:H101" si="36">IFERROR(ROUNDDOWN($F$93*I95/2,4),"——")</f>
        <v>——</v>
      </c>
      <c r="I95" s="3361">
        <v>0.11</v>
      </c>
      <c r="J95" s="3339" t="e">
        <f t="shared" si="32"/>
        <v>#VALUE!</v>
      </c>
      <c r="K95" s="3339" t="e">
        <f t="shared" si="33"/>
        <v>#VALUE!</v>
      </c>
      <c r="L95" s="3339">
        <v>0</v>
      </c>
      <c r="M95" s="3339" t="e">
        <f t="shared" si="34"/>
        <v>#VALUE!</v>
      </c>
      <c r="N95" s="3339" t="e">
        <f t="shared" si="34"/>
        <v>#VALUE!</v>
      </c>
    </row>
    <row r="96" spans="1:37" ht="36.75">
      <c r="A96" s="3373" t="s">
        <v>3266</v>
      </c>
      <c r="B96" s="3379" t="s">
        <v>3277</v>
      </c>
      <c r="C96" s="2041" t="s">
        <v>3387</v>
      </c>
      <c r="D96" s="3360" t="e">
        <f t="shared" si="35"/>
        <v>#VALUE!</v>
      </c>
      <c r="E96" s="3377"/>
      <c r="F96" s="1813"/>
      <c r="G96" s="1062" t="str">
        <f t="shared" si="31"/>
        <v>——</v>
      </c>
      <c r="H96" s="3415" t="str">
        <f t="shared" si="36"/>
        <v>——</v>
      </c>
      <c r="I96" s="3361">
        <v>0.05</v>
      </c>
      <c r="J96" s="3339" t="e">
        <f t="shared" si="32"/>
        <v>#VALUE!</v>
      </c>
      <c r="K96" s="3339" t="e">
        <f t="shared" si="33"/>
        <v>#VALUE!</v>
      </c>
      <c r="L96" s="3339">
        <v>0</v>
      </c>
      <c r="M96" s="3339" t="e">
        <f t="shared" si="34"/>
        <v>#VALUE!</v>
      </c>
      <c r="N96" s="3339" t="e">
        <f t="shared" si="34"/>
        <v>#VALUE!</v>
      </c>
    </row>
    <row r="97" spans="1:14" ht="24">
      <c r="A97" s="3373" t="s">
        <v>3267</v>
      </c>
      <c r="B97" s="3364">
        <f>估价对象房地状况!C24</f>
        <v>0</v>
      </c>
      <c r="C97" s="2041" t="s">
        <v>3489</v>
      </c>
      <c r="D97" s="3360">
        <f t="shared" si="35"/>
        <v>0</v>
      </c>
      <c r="E97" s="3377"/>
      <c r="F97" s="1813"/>
      <c r="G97" s="1062" t="str">
        <f t="shared" si="31"/>
        <v>——</v>
      </c>
      <c r="H97" s="3415" t="str">
        <f t="shared" si="36"/>
        <v>——</v>
      </c>
      <c r="I97" s="3361">
        <v>0.05</v>
      </c>
      <c r="J97" s="3339" t="e">
        <f t="shared" si="32"/>
        <v>#VALUE!</v>
      </c>
      <c r="K97" s="3339" t="e">
        <f t="shared" si="33"/>
        <v>#VALUE!</v>
      </c>
      <c r="L97" s="3339">
        <v>0</v>
      </c>
      <c r="M97" s="3339" t="e">
        <f t="shared" si="34"/>
        <v>#VALUE!</v>
      </c>
      <c r="N97" s="3339" t="e">
        <f t="shared" si="34"/>
        <v>#VALUE!</v>
      </c>
    </row>
    <row r="98" spans="1:14" ht="24">
      <c r="A98" s="3373" t="s">
        <v>3268</v>
      </c>
      <c r="B98" s="3380" t="s">
        <v>3278</v>
      </c>
      <c r="C98" s="2041" t="s">
        <v>3387</v>
      </c>
      <c r="D98" s="3360" t="e">
        <f t="shared" si="35"/>
        <v>#VALUE!</v>
      </c>
      <c r="E98" s="3377"/>
      <c r="F98" s="1813"/>
      <c r="G98" s="1062" t="str">
        <f t="shared" si="31"/>
        <v>——</v>
      </c>
      <c r="H98" s="3415" t="str">
        <f t="shared" si="36"/>
        <v>——</v>
      </c>
      <c r="I98" s="3361">
        <v>0.06</v>
      </c>
      <c r="J98" s="3339" t="e">
        <f t="shared" si="32"/>
        <v>#VALUE!</v>
      </c>
      <c r="K98" s="3339" t="e">
        <f t="shared" si="33"/>
        <v>#VALUE!</v>
      </c>
      <c r="L98" s="3339">
        <v>0</v>
      </c>
      <c r="M98" s="3339" t="e">
        <f t="shared" si="34"/>
        <v>#VALUE!</v>
      </c>
      <c r="N98" s="3339" t="e">
        <f t="shared" si="34"/>
        <v>#VALUE!</v>
      </c>
    </row>
    <row r="99" spans="1:14" ht="24">
      <c r="A99" s="3373" t="s">
        <v>3269</v>
      </c>
      <c r="B99" s="3364" t="str">
        <f>估价对象房地状况!C21</f>
        <v>好</v>
      </c>
      <c r="C99" s="2041" t="s">
        <v>3387</v>
      </c>
      <c r="D99" s="3360" t="e">
        <f t="shared" si="35"/>
        <v>#VALUE!</v>
      </c>
      <c r="E99" s="3377"/>
      <c r="F99" s="1813"/>
      <c r="G99" s="1062" t="str">
        <f t="shared" si="31"/>
        <v>——</v>
      </c>
      <c r="H99" s="3415" t="str">
        <f t="shared" si="36"/>
        <v>——</v>
      </c>
      <c r="I99" s="3361">
        <v>0.06</v>
      </c>
      <c r="J99" s="3339" t="e">
        <f t="shared" si="32"/>
        <v>#VALUE!</v>
      </c>
      <c r="K99" s="3339" t="e">
        <f t="shared" si="33"/>
        <v>#VALUE!</v>
      </c>
      <c r="L99" s="3339">
        <v>0</v>
      </c>
      <c r="M99" s="3339" t="e">
        <f t="shared" si="34"/>
        <v>#VALUE!</v>
      </c>
      <c r="N99" s="3339" t="e">
        <f t="shared" si="34"/>
        <v>#VALUE!</v>
      </c>
    </row>
    <row r="100" spans="1:14" ht="24">
      <c r="A100" s="3373" t="s">
        <v>3270</v>
      </c>
      <c r="B100" s="3364" t="str">
        <f>估价对象房地状况!C22</f>
        <v>七通</v>
      </c>
      <c r="C100" s="2041" t="s">
        <v>3490</v>
      </c>
      <c r="D100" s="3360" t="e">
        <f t="shared" si="35"/>
        <v>#VALUE!</v>
      </c>
      <c r="E100" s="3377"/>
      <c r="F100" s="1813"/>
      <c r="G100" s="1062" t="str">
        <f t="shared" si="31"/>
        <v>——</v>
      </c>
      <c r="H100" s="3415" t="str">
        <f t="shared" si="36"/>
        <v>——</v>
      </c>
      <c r="I100" s="3361">
        <v>0.09</v>
      </c>
      <c r="J100" s="3339" t="e">
        <f t="shared" si="32"/>
        <v>#VALUE!</v>
      </c>
      <c r="K100" s="3339" t="e">
        <f t="shared" si="33"/>
        <v>#VALUE!</v>
      </c>
      <c r="L100" s="3339">
        <v>0</v>
      </c>
      <c r="M100" s="3339" t="e">
        <f t="shared" si="34"/>
        <v>#VALUE!</v>
      </c>
      <c r="N100" s="3339" t="e">
        <f t="shared" si="34"/>
        <v>#VALUE!</v>
      </c>
    </row>
    <row r="101" spans="1:14" ht="24.75" thickBot="1">
      <c r="A101" s="3374" t="s">
        <v>3271</v>
      </c>
      <c r="B101" s="3381" t="str">
        <f>估价对象房地状况!C20</f>
        <v>较好</v>
      </c>
      <c r="C101" s="2041" t="s">
        <v>3387</v>
      </c>
      <c r="D101" s="3360" t="e">
        <f t="shared" si="35"/>
        <v>#VALUE!</v>
      </c>
      <c r="E101" s="3378"/>
      <c r="F101" s="1813"/>
      <c r="G101" s="1062" t="str">
        <f t="shared" si="31"/>
        <v>——</v>
      </c>
      <c r="H101" s="3415" t="str">
        <f t="shared" si="36"/>
        <v>——</v>
      </c>
      <c r="I101" s="3362">
        <v>7.0000000000000007E-2</v>
      </c>
      <c r="J101" s="3339" t="e">
        <f t="shared" si="32"/>
        <v>#VALUE!</v>
      </c>
      <c r="K101" s="3339" t="e">
        <f t="shared" si="33"/>
        <v>#VALUE!</v>
      </c>
      <c r="L101" s="3339">
        <v>0</v>
      </c>
      <c r="M101" s="3339" t="e">
        <f t="shared" si="34"/>
        <v>#VALUE!</v>
      </c>
      <c r="N101" s="3339" t="e">
        <f t="shared" si="34"/>
        <v>#VALUE!</v>
      </c>
    </row>
    <row r="103" spans="1:14">
      <c r="A103" s="3661" t="s">
        <v>3286</v>
      </c>
      <c r="B103" s="3661"/>
      <c r="C103" s="3661"/>
      <c r="D103" s="3661"/>
      <c r="E103" s="3661"/>
      <c r="F103" s="3661"/>
      <c r="G103" s="3661"/>
      <c r="H103" s="3661"/>
      <c r="I103" s="3661"/>
      <c r="J103" s="3661"/>
      <c r="K103" s="3384"/>
      <c r="L103" s="3384"/>
      <c r="M103" s="3384"/>
      <c r="N103" s="3384"/>
    </row>
    <row r="104" spans="1:14">
      <c r="A104" s="3662" t="s">
        <v>3287</v>
      </c>
      <c r="B104" s="3662" t="s">
        <v>3288</v>
      </c>
      <c r="C104" s="3385" t="s">
        <v>3289</v>
      </c>
      <c r="D104" s="3386"/>
      <c r="E104" s="3386"/>
      <c r="F104" s="3386"/>
      <c r="G104" s="3386"/>
      <c r="H104" s="3386"/>
      <c r="I104" s="3386"/>
      <c r="J104" s="3387"/>
      <c r="K104" s="3388"/>
      <c r="L104" s="3388"/>
      <c r="M104" s="3388"/>
      <c r="N104" s="3388"/>
    </row>
    <row r="105" spans="1:14">
      <c r="A105" s="3662"/>
      <c r="B105" s="3662"/>
      <c r="C105" s="3389" t="s">
        <v>3290</v>
      </c>
      <c r="D105" s="3389" t="s">
        <v>3291</v>
      </c>
      <c r="E105" s="3389" t="s">
        <v>3292</v>
      </c>
      <c r="F105" s="3389" t="s">
        <v>3293</v>
      </c>
      <c r="G105" s="3389" t="s">
        <v>3294</v>
      </c>
      <c r="H105" s="3389" t="s">
        <v>3295</v>
      </c>
      <c r="I105" s="3389" t="s">
        <v>3296</v>
      </c>
      <c r="J105" s="3389" t="s">
        <v>3297</v>
      </c>
      <c r="K105" s="3389" t="s">
        <v>3298</v>
      </c>
      <c r="L105" s="3389" t="s">
        <v>3299</v>
      </c>
      <c r="M105" s="3389" t="s">
        <v>3300</v>
      </c>
      <c r="N105" s="3389" t="s">
        <v>3301</v>
      </c>
    </row>
    <row r="106" spans="1:14">
      <c r="A106" s="3648" t="s">
        <v>3302</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649"/>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649"/>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649"/>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649"/>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649"/>
      <c r="B111" s="3389" t="s">
        <v>3260</v>
      </c>
      <c r="C111" s="3390">
        <f>$I$3</f>
        <v>0</v>
      </c>
      <c r="D111" s="3390">
        <f t="shared" ref="D111:M111" si="37">$I$3</f>
        <v>0</v>
      </c>
      <c r="E111" s="3390">
        <f t="shared" si="37"/>
        <v>0</v>
      </c>
      <c r="F111" s="3390">
        <f t="shared" si="37"/>
        <v>0</v>
      </c>
      <c r="G111" s="3390">
        <f t="shared" si="37"/>
        <v>0</v>
      </c>
      <c r="H111" s="3390">
        <f t="shared" si="37"/>
        <v>0</v>
      </c>
      <c r="I111" s="3390">
        <f t="shared" si="37"/>
        <v>0</v>
      </c>
      <c r="J111" s="3390">
        <f t="shared" si="37"/>
        <v>0</v>
      </c>
      <c r="K111" s="3390">
        <f t="shared" si="37"/>
        <v>0</v>
      </c>
      <c r="L111" s="3390">
        <f t="shared" si="37"/>
        <v>0</v>
      </c>
      <c r="M111" s="3390">
        <f t="shared" si="37"/>
        <v>0</v>
      </c>
      <c r="N111" s="3390">
        <f>$I$3</f>
        <v>0</v>
      </c>
    </row>
    <row r="112" spans="1:14">
      <c r="A112" s="3650"/>
      <c r="B112" s="3389">
        <v>6</v>
      </c>
      <c r="C112" s="3382">
        <f>(-0.5556*(C111^2)-0.2719*C111+8944)*(10^(-4))</f>
        <v>0.89440000000000008</v>
      </c>
      <c r="D112" s="3382">
        <f>(-0.5556*(D111^2)-0.2719*D111+8944)*(10^(-4))</f>
        <v>0.89440000000000008</v>
      </c>
      <c r="E112" s="3382">
        <f>(-0.7912*(E111^2)-11.3794*E111+8482)*(10^(-4))</f>
        <v>0.84820000000000007</v>
      </c>
      <c r="F112" s="3382">
        <f t="shared" ref="F112:I112" si="38">(-0.7912*(F111^2)-11.3794*F111+8482)*(10^(-4))</f>
        <v>0.84820000000000007</v>
      </c>
      <c r="G112" s="3382">
        <f t="shared" si="38"/>
        <v>0.84820000000000007</v>
      </c>
      <c r="H112" s="3382">
        <f t="shared" si="38"/>
        <v>0.84820000000000007</v>
      </c>
      <c r="I112" s="3382">
        <f t="shared" si="38"/>
        <v>0.84820000000000007</v>
      </c>
      <c r="J112" s="3382">
        <f>(-0.989*(J111^2)-63.78*J111+7771)*(10^(-4))</f>
        <v>0.77710000000000001</v>
      </c>
      <c r="K112" s="3382">
        <f t="shared" ref="K112:N112" si="39">(-0.989*(K111^2)-63.78*K111+7771)*(10^(-4))</f>
        <v>0.77710000000000001</v>
      </c>
      <c r="L112" s="3382">
        <f t="shared" si="39"/>
        <v>0.77710000000000001</v>
      </c>
      <c r="M112" s="3382">
        <f t="shared" si="39"/>
        <v>0.77710000000000001</v>
      </c>
      <c r="N112" s="3382">
        <f t="shared" si="39"/>
        <v>0.77710000000000001</v>
      </c>
    </row>
    <row r="113" spans="1:14">
      <c r="A113" s="3651" t="s">
        <v>3303</v>
      </c>
      <c r="B113" s="3651"/>
      <c r="C113" s="3651"/>
      <c r="D113" s="3651"/>
      <c r="E113" s="3651"/>
      <c r="F113" s="3651"/>
      <c r="G113" s="3651"/>
      <c r="H113" s="3651"/>
      <c r="I113" s="3651"/>
      <c r="J113" s="3651"/>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3304</v>
      </c>
      <c r="B116" s="3410">
        <f>G3</f>
        <v>3.94</v>
      </c>
      <c r="C116" s="3394" t="s">
        <v>3305</v>
      </c>
      <c r="D116" s="3395">
        <f>SUMPRODUCT((A118:A122=F116)*(B117:M117=H116)*B118:M122)</f>
        <v>0.94889999999999997</v>
      </c>
      <c r="E116" s="1997" t="s">
        <v>3306</v>
      </c>
      <c r="F116" s="3396" t="str">
        <f>E2</f>
        <v>办公</v>
      </c>
      <c r="G116" s="1997" t="s">
        <v>3307</v>
      </c>
      <c r="H116" s="3396" t="str">
        <f>G2</f>
        <v>一级</v>
      </c>
      <c r="I116" s="1997"/>
      <c r="J116" s="3397"/>
      <c r="K116" s="3397"/>
      <c r="L116" s="3397"/>
      <c r="M116" s="3397"/>
      <c r="N116" s="3392"/>
    </row>
    <row r="117" spans="1:14">
      <c r="A117" s="3398"/>
      <c r="B117" s="3399" t="s">
        <v>3308</v>
      </c>
      <c r="C117" s="3399" t="s">
        <v>3309</v>
      </c>
      <c r="D117" s="3399" t="s">
        <v>3310</v>
      </c>
      <c r="E117" s="3400" t="s">
        <v>3311</v>
      </c>
      <c r="F117" s="3400" t="s">
        <v>3312</v>
      </c>
      <c r="G117" s="3400" t="s">
        <v>3313</v>
      </c>
      <c r="H117" s="3401" t="s">
        <v>3314</v>
      </c>
      <c r="I117" s="3401" t="s">
        <v>3315</v>
      </c>
      <c r="J117" s="3402" t="s">
        <v>3316</v>
      </c>
      <c r="K117" s="3402" t="s">
        <v>3317</v>
      </c>
      <c r="L117" s="3402" t="s">
        <v>3318</v>
      </c>
      <c r="M117" s="3403" t="s">
        <v>3319</v>
      </c>
      <c r="N117" s="3392"/>
    </row>
    <row r="118" spans="1:14">
      <c r="A118" s="3404" t="s">
        <v>3320</v>
      </c>
      <c r="B118" s="3382">
        <f>ROUND(0.9968-0.011*B116,4)</f>
        <v>0.95350000000000001</v>
      </c>
      <c r="C118" s="3382">
        <f>B118</f>
        <v>0.95350000000000001</v>
      </c>
      <c r="D118" s="3382">
        <f>ROUND(0.949-0.014*B116,4)</f>
        <v>0.89380000000000004</v>
      </c>
      <c r="E118" s="3382">
        <f>D118</f>
        <v>0.89380000000000004</v>
      </c>
      <c r="F118" s="3382">
        <f>E118</f>
        <v>0.89380000000000004</v>
      </c>
      <c r="G118" s="3382">
        <f>F118</f>
        <v>0.89380000000000004</v>
      </c>
      <c r="H118" s="3382">
        <f>G118</f>
        <v>0.89380000000000004</v>
      </c>
      <c r="I118" s="3382">
        <f>ROUND(0.8486-0.018*B116,4)</f>
        <v>0.77769999999999995</v>
      </c>
      <c r="J118" s="3382">
        <f t="shared" ref="J118:M122" si="40">I118</f>
        <v>0.77769999999999995</v>
      </c>
      <c r="K118" s="3382">
        <f t="shared" si="40"/>
        <v>0.77769999999999995</v>
      </c>
      <c r="L118" s="3382">
        <f t="shared" si="40"/>
        <v>0.77769999999999995</v>
      </c>
      <c r="M118" s="3405">
        <f t="shared" si="40"/>
        <v>0.77769999999999995</v>
      </c>
      <c r="N118" s="3392"/>
    </row>
    <row r="119" spans="1:14">
      <c r="A119" s="3404" t="s">
        <v>3321</v>
      </c>
      <c r="B119" s="3382">
        <f>ROUND(0.993-0.0112*B116,4)</f>
        <v>0.94889999999999997</v>
      </c>
      <c r="C119" s="3382">
        <f>B119</f>
        <v>0.94889999999999997</v>
      </c>
      <c r="D119" s="3382">
        <f>ROUND(0.9415-0.0142*B116,4)</f>
        <v>0.88560000000000005</v>
      </c>
      <c r="E119" s="3382">
        <f t="shared" ref="E119:H120" si="41">D119</f>
        <v>0.88560000000000005</v>
      </c>
      <c r="F119" s="3382">
        <f t="shared" si="41"/>
        <v>0.88560000000000005</v>
      </c>
      <c r="G119" s="3382">
        <f t="shared" si="41"/>
        <v>0.88560000000000005</v>
      </c>
      <c r="H119" s="3382">
        <f t="shared" si="41"/>
        <v>0.88560000000000005</v>
      </c>
      <c r="I119" s="3382">
        <f>ROUND(0.838-0.0182*B116,4)</f>
        <v>0.76629999999999998</v>
      </c>
      <c r="J119" s="3382">
        <f t="shared" si="40"/>
        <v>0.76629999999999998</v>
      </c>
      <c r="K119" s="3382">
        <f t="shared" si="40"/>
        <v>0.76629999999999998</v>
      </c>
      <c r="L119" s="3382">
        <f t="shared" si="40"/>
        <v>0.76629999999999998</v>
      </c>
      <c r="M119" s="3405">
        <f t="shared" si="40"/>
        <v>0.76629999999999998</v>
      </c>
      <c r="N119" s="3392"/>
    </row>
    <row r="120" spans="1:14">
      <c r="A120" s="3404" t="s">
        <v>3322</v>
      </c>
      <c r="B120" s="3382">
        <f>ROUND(0.9448-0.0115*B116,4)</f>
        <v>0.89949999999999997</v>
      </c>
      <c r="C120" s="3382">
        <f>B120</f>
        <v>0.89949999999999997</v>
      </c>
      <c r="D120" s="3382">
        <f>ROUND(0.937-0.0145*B116,4)</f>
        <v>0.87990000000000002</v>
      </c>
      <c r="E120" s="3382">
        <f t="shared" si="41"/>
        <v>0.87990000000000002</v>
      </c>
      <c r="F120" s="3382">
        <f t="shared" si="41"/>
        <v>0.87990000000000002</v>
      </c>
      <c r="G120" s="3382">
        <f t="shared" si="41"/>
        <v>0.87990000000000002</v>
      </c>
      <c r="H120" s="3382">
        <f t="shared" si="41"/>
        <v>0.87990000000000002</v>
      </c>
      <c r="I120" s="3382">
        <f>ROUND(0.7965-0.0185*B116,4)</f>
        <v>0.72360000000000002</v>
      </c>
      <c r="J120" s="3382">
        <f t="shared" si="40"/>
        <v>0.72360000000000002</v>
      </c>
      <c r="K120" s="3382">
        <f t="shared" si="40"/>
        <v>0.72360000000000002</v>
      </c>
      <c r="L120" s="3382">
        <f t="shared" si="40"/>
        <v>0.72360000000000002</v>
      </c>
      <c r="M120" s="3405">
        <f t="shared" si="40"/>
        <v>0.72360000000000002</v>
      </c>
      <c r="N120" s="3392"/>
    </row>
    <row r="121" spans="1:14" ht="13.5" thickBot="1">
      <c r="A121" s="3406" t="s">
        <v>3323</v>
      </c>
      <c r="B121" s="3407">
        <f>ROUND(0.7836-0.012*B116,4)</f>
        <v>0.73629999999999995</v>
      </c>
      <c r="C121" s="3407">
        <f>B121</f>
        <v>0.73629999999999995</v>
      </c>
      <c r="D121" s="3407">
        <f>ROUND(0.753-0.015*B116,4)</f>
        <v>0.69389999999999996</v>
      </c>
      <c r="E121" s="3407">
        <f>D121</f>
        <v>0.69389999999999996</v>
      </c>
      <c r="F121" s="3407">
        <f>E121</f>
        <v>0.69389999999999996</v>
      </c>
      <c r="G121" s="3407">
        <f>ROUND(0.6612-0.018*B116,4)</f>
        <v>0.59030000000000005</v>
      </c>
      <c r="H121" s="3407">
        <f>G121</f>
        <v>0.59030000000000005</v>
      </c>
      <c r="I121" s="3407">
        <f>ROUND(0.5905-0.019*B116,4)</f>
        <v>0.51559999999999995</v>
      </c>
      <c r="J121" s="3407">
        <f t="shared" si="40"/>
        <v>0.51559999999999995</v>
      </c>
      <c r="K121" s="3407">
        <f t="shared" si="40"/>
        <v>0.51559999999999995</v>
      </c>
      <c r="L121" s="3407">
        <f t="shared" si="40"/>
        <v>0.51559999999999995</v>
      </c>
      <c r="M121" s="3408">
        <f t="shared" si="40"/>
        <v>0.51559999999999995</v>
      </c>
      <c r="N121" s="3392"/>
    </row>
    <row r="122" spans="1:14">
      <c r="A122" s="3409" t="s">
        <v>2602</v>
      </c>
      <c r="B122" s="3382">
        <f>ROUND(0.9404-0.0106*B116,4)</f>
        <v>0.89859999999999995</v>
      </c>
      <c r="C122" s="3382">
        <f>B122</f>
        <v>0.89859999999999995</v>
      </c>
      <c r="D122" s="3382">
        <f>ROUND(0.8955-0.0135*B116,4)</f>
        <v>0.84230000000000005</v>
      </c>
      <c r="E122" s="3382">
        <f t="shared" ref="E122:H122" si="42">D122</f>
        <v>0.84230000000000005</v>
      </c>
      <c r="F122" s="3382">
        <f t="shared" si="42"/>
        <v>0.84230000000000005</v>
      </c>
      <c r="G122" s="3382">
        <f t="shared" si="42"/>
        <v>0.84230000000000005</v>
      </c>
      <c r="H122" s="3382">
        <f t="shared" si="42"/>
        <v>0.84230000000000005</v>
      </c>
      <c r="I122" s="3382">
        <f>ROUND(0.7632-0.0166*B116,4)</f>
        <v>0.69779999999999998</v>
      </c>
      <c r="J122" s="3382">
        <f t="shared" si="40"/>
        <v>0.69779999999999998</v>
      </c>
      <c r="K122" s="3382">
        <f t="shared" si="40"/>
        <v>0.69779999999999998</v>
      </c>
      <c r="L122" s="3382">
        <f t="shared" si="40"/>
        <v>0.69779999999999998</v>
      </c>
      <c r="M122" s="3405">
        <f t="shared" si="40"/>
        <v>0.69779999999999998</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90" zoomScaleNormal="70" zoomScaleSheetLayoutView="90" workbookViewId="0">
      <selection activeCell="G19" sqref="G1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90"/>
      <c r="C1" s="1191"/>
      <c r="D1" s="1189"/>
      <c r="E1" s="2800"/>
      <c r="F1" s="2800"/>
      <c r="G1" s="2665"/>
      <c r="H1" s="2800"/>
      <c r="I1" s="2800"/>
      <c r="J1" s="2800"/>
      <c r="K1" s="2801">
        <f>MATCH(C1,'数据-取费表'!A6:A16,0)+5</f>
        <v>7</v>
      </c>
    </row>
    <row r="2" spans="1:33" ht="18" customHeight="1">
      <c r="A2" s="201" t="s">
        <v>1460</v>
      </c>
      <c r="B2" s="204">
        <f ca="1">C32</f>
        <v>0</v>
      </c>
      <c r="C2" s="276" t="s">
        <v>1593</v>
      </c>
      <c r="D2" s="276"/>
      <c r="E2" s="2800"/>
      <c r="F2" s="2800"/>
      <c r="G2" s="2800"/>
      <c r="H2" s="2800"/>
      <c r="I2" s="2800"/>
      <c r="J2" s="2800"/>
      <c r="K2" s="2800"/>
    </row>
    <row r="3" spans="1:33" ht="18" customHeight="1" thickBot="1">
      <c r="A3" s="203" t="s">
        <v>1462</v>
      </c>
      <c r="B3" s="204">
        <f ca="1">ROUND(B2*10000/IF(C1="",'数据-汇总表'!E3,INDIRECT("'数据-取费表'!K"&amp;$K$1)),0)</f>
        <v>0</v>
      </c>
      <c r="C3" s="276" t="s">
        <v>1594</v>
      </c>
      <c r="D3" s="276"/>
      <c r="E3" s="2800"/>
      <c r="F3" s="2800"/>
      <c r="G3" s="2800"/>
      <c r="H3" s="2800"/>
      <c r="I3" s="2800"/>
      <c r="J3" s="2800"/>
      <c r="K3" s="2800"/>
    </row>
    <row r="4" spans="1:33" s="784" customFormat="1" ht="16.5" customHeight="1">
      <c r="A4" s="781" t="s">
        <v>1595</v>
      </c>
      <c r="B4" s="782"/>
      <c r="C4" s="823">
        <f>SUM(C8:K8)</f>
        <v>0</v>
      </c>
      <c r="D4" s="782"/>
      <c r="E4" s="782"/>
      <c r="F4" s="782"/>
      <c r="G4" s="782"/>
      <c r="H4" s="782"/>
      <c r="I4" s="782"/>
      <c r="J4" s="782"/>
      <c r="K4" s="783"/>
    </row>
    <row r="5" spans="1:33" s="788" customFormat="1" ht="15">
      <c r="A5" s="785" t="s">
        <v>1596</v>
      </c>
      <c r="B5" s="786" t="s">
        <v>1597</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1601</v>
      </c>
      <c r="B8" s="164"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1611</v>
      </c>
      <c r="C12" s="21">
        <f ca="1">ROUND(C11*F12,0)</f>
        <v>0</v>
      </c>
      <c r="D12" s="801"/>
      <c r="E12" s="329"/>
      <c r="F12" s="811">
        <f>'数据-取费表'!B33</f>
        <v>0.03</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0</v>
      </c>
      <c r="D13" s="845"/>
      <c r="E13" s="329"/>
      <c r="F13" s="811">
        <f>'数据-取费表'!B34</f>
        <v>0</v>
      </c>
      <c r="G13" s="5" t="s">
        <v>1614</v>
      </c>
      <c r="H13" s="796"/>
      <c r="I13" s="796"/>
      <c r="J13" s="796"/>
      <c r="K13" s="797"/>
    </row>
    <row r="14" spans="1:33" s="804" customFormat="1" ht="13.5" customHeight="1">
      <c r="A14" s="799" t="s">
        <v>638</v>
      </c>
      <c r="B14" s="800" t="s">
        <v>1615</v>
      </c>
      <c r="C14" s="21">
        <f ca="1">ROUND(D14*E14*F11/10000,0)</f>
        <v>0</v>
      </c>
      <c r="D14" s="845">
        <f ca="1">IF(C1="",'数据-汇总表'!E3,INDIRECT("'数据-取费表'!K"&amp;$K$1)+INDIRECT("'数据-取费表'!S"&amp;$K$1))</f>
        <v>120.57</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0</v>
      </c>
      <c r="D15" s="805"/>
      <c r="E15" s="810"/>
      <c r="F15" s="811">
        <f>'数据-取费表'!B36</f>
        <v>1.4999999999999999E-2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120.57</v>
      </c>
      <c r="E17" s="21">
        <f>'数据-取费表'!B32</f>
        <v>0</v>
      </c>
      <c r="F17" s="805"/>
      <c r="G17" s="131" t="s">
        <v>1621</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-0.41139999999999999</v>
      </c>
      <c r="D18" s="845"/>
      <c r="E18" s="21"/>
      <c r="F18" s="803"/>
      <c r="G18" s="1861" t="s">
        <v>3399</v>
      </c>
      <c r="H18" s="1186"/>
      <c r="I18" s="1862"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1625</v>
      </c>
      <c r="C20" s="21">
        <f ca="1">ROUND(D20*E20/10000,0)</f>
        <v>2</v>
      </c>
      <c r="D20" s="845">
        <f ca="1">IF(C1="",'数据-汇总表'!E6,IF(INDIRECT("'数据-取费表'!c"&amp;$K$1)="住宅",INDIRECT("'数据-取费表'!s"&amp;$K$1),INDIRECT("'数据-取费表'!k"&amp;$K$1)+INDIRECT("'数据-取费表'!s"&amp;$K$1)))</f>
        <v>120.57</v>
      </c>
      <c r="E20" s="21">
        <f>'数据-取费表'!B28</f>
        <v>200</v>
      </c>
      <c r="F20" s="803"/>
      <c r="G20" s="12"/>
      <c r="H20" s="808"/>
      <c r="I20" s="808"/>
      <c r="J20" s="808"/>
      <c r="K20" s="809"/>
    </row>
    <row r="21" spans="1:33" s="802" customFormat="1" ht="13.5" customHeight="1">
      <c r="A21" s="789" t="s">
        <v>357</v>
      </c>
      <c r="B21" s="812" t="s">
        <v>1626</v>
      </c>
      <c r="C21" s="813">
        <f ca="1">C16+C17+C18</f>
        <v>-0.41139999999999999</v>
      </c>
      <c r="D21" s="814"/>
      <c r="E21" s="281"/>
      <c r="F21" s="281"/>
      <c r="G21" s="131" t="s">
        <v>1627</v>
      </c>
      <c r="H21" s="806"/>
      <c r="I21" s="806"/>
      <c r="J21" s="806"/>
      <c r="K21" s="807"/>
    </row>
    <row r="22" spans="1:33" s="802" customFormat="1" ht="13.5" customHeight="1">
      <c r="A22" s="789" t="s">
        <v>1599</v>
      </c>
      <c r="B22" s="812" t="s">
        <v>1628</v>
      </c>
      <c r="C22" s="813">
        <f ca="1">ROUND(C21*F22,0)</f>
        <v>0</v>
      </c>
      <c r="D22" s="281"/>
      <c r="E22" s="281"/>
      <c r="F22" s="815">
        <f>'数据-取费表'!B37</f>
        <v>0.03</v>
      </c>
      <c r="G22" s="5" t="s">
        <v>1629</v>
      </c>
      <c r="H22" s="796"/>
      <c r="I22" s="796"/>
      <c r="J22" s="796"/>
      <c r="K22" s="797"/>
    </row>
    <row r="23" spans="1:33" s="802" customFormat="1" ht="13.5" customHeight="1">
      <c r="A23" s="789" t="s">
        <v>1601</v>
      </c>
      <c r="B23" s="812" t="s">
        <v>1630</v>
      </c>
      <c r="C23" s="813">
        <f ca="1">ROUND(C4*F23*F11,0)</f>
        <v>0</v>
      </c>
      <c r="D23" s="281"/>
      <c r="E23" s="281"/>
      <c r="F23" s="815">
        <f>'数据-取费表'!B38</f>
        <v>0.03</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5">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1639</v>
      </c>
      <c r="B28" s="1864" t="s">
        <v>1640</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1641</v>
      </c>
      <c r="C29" s="284">
        <f ca="1">ROUND((1+C24)*F28*'数据-取费表'!B24/'数据-取费表'!B20,4)</f>
        <v>0</v>
      </c>
      <c r="D29" s="284"/>
      <c r="E29" s="285"/>
      <c r="F29" s="290"/>
      <c r="G29" s="131" t="s">
        <v>1642</v>
      </c>
      <c r="H29" s="806"/>
      <c r="I29" s="806"/>
      <c r="J29" s="806"/>
      <c r="K29" s="807"/>
    </row>
    <row r="30" spans="1:33" s="291" customFormat="1" ht="13.5" customHeight="1">
      <c r="A30" s="799" t="s">
        <v>359</v>
      </c>
      <c r="B30" s="821" t="s">
        <v>1643</v>
      </c>
      <c r="C30" s="292">
        <f ca="1">ROUND((C21+C22+C23)*F28,0)</f>
        <v>0</v>
      </c>
      <c r="D30" s="284"/>
      <c r="E30" s="285"/>
      <c r="F30" s="290"/>
      <c r="G30" s="131"/>
      <c r="H30" s="806"/>
      <c r="I30" s="806"/>
      <c r="J30" s="806"/>
      <c r="K30" s="807"/>
    </row>
    <row r="31" spans="1:33" s="802" customFormat="1" ht="13.5" customHeight="1" thickBot="1">
      <c r="A31" s="1865" t="s">
        <v>1644</v>
      </c>
      <c r="B31" s="832" t="s">
        <v>1645</v>
      </c>
      <c r="C31" s="833">
        <f>ROUND(C4*F31/(1+'数据-取费表'!C42),0)</f>
        <v>0</v>
      </c>
      <c r="D31" s="834"/>
      <c r="E31" s="835"/>
      <c r="F31" s="836">
        <f>'数据-取费表'!B41</f>
        <v>5.6000000000000001E-2</v>
      </c>
      <c r="G31" s="837" t="s">
        <v>1646</v>
      </c>
      <c r="H31" s="838"/>
      <c r="I31" s="838"/>
      <c r="J31" s="838"/>
      <c r="K31" s="839"/>
    </row>
    <row r="32" spans="1:33" s="798" customFormat="1" ht="13.5" customHeight="1" thickBot="1">
      <c r="A32" s="827" t="s">
        <v>1647</v>
      </c>
      <c r="B32" s="828"/>
      <c r="C32" s="829">
        <f ca="1">ROUND((C4-C21-C22-C23-C25-C28-C31)/(1+C24+D25+D28),0)</f>
        <v>0</v>
      </c>
      <c r="D32" s="828"/>
      <c r="E32" s="828"/>
      <c r="F32" s="828"/>
      <c r="G32" s="830" t="s">
        <v>1648</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G30" zoomScale="90" zoomScaleNormal="70" zoomScaleSheetLayoutView="90" workbookViewId="0">
      <selection activeCell="G19" sqref="G1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0"/>
      <c r="H2" s="2689"/>
      <c r="I2" s="2689"/>
      <c r="J2" s="2689"/>
      <c r="K2" s="2690"/>
      <c r="L2" s="2689"/>
      <c r="M2" s="2689"/>
    </row>
    <row r="3" spans="1:37" ht="18" customHeight="1" thickBot="1">
      <c r="A3" s="1389" t="s">
        <v>806</v>
      </c>
      <c r="B3" s="1390">
        <f ca="1">IF(ISERROR(B2*10000/F43),0,ROUND(B2*10000/F43,0))</f>
        <v>0</v>
      </c>
      <c r="C3" s="1386" t="s">
        <v>807</v>
      </c>
      <c r="D3" s="1386"/>
      <c r="E3" s="1387"/>
      <c r="F3" s="1388"/>
      <c r="G3" s="2700"/>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69" t="s">
        <v>694</v>
      </c>
      <c r="C6" s="1073">
        <f ca="1">ROUND(F6*F8*F7*(1-F9)/10000,0)</f>
        <v>0</v>
      </c>
      <c r="D6" s="155" t="s">
        <v>2107</v>
      </c>
      <c r="E6" s="302" t="s">
        <v>696</v>
      </c>
      <c r="F6" s="303">
        <f ca="1">INDIRECT("'数据-取费表'!u"&amp;$G$1)</f>
        <v>0</v>
      </c>
      <c r="G6" s="1383"/>
      <c r="H6" s="1068" t="s">
        <v>398</v>
      </c>
      <c r="I6" s="3669" t="s">
        <v>694</v>
      </c>
      <c r="J6" s="301">
        <f ca="1">ROUND(M6*M8*M7*(1-M9)/10000,0)</f>
        <v>0</v>
      </c>
      <c r="K6" s="155" t="s">
        <v>2106</v>
      </c>
      <c r="L6" s="302" t="s">
        <v>696</v>
      </c>
      <c r="M6" s="303">
        <f ca="1">INDIRECT("'数据-取费表'!z"&amp;$G$1)</f>
        <v>0</v>
      </c>
    </row>
    <row r="7" spans="1:37" ht="18" customHeight="1">
      <c r="A7" s="1072"/>
      <c r="B7" s="3670"/>
      <c r="C7" s="1074"/>
      <c r="D7" s="307"/>
      <c r="E7" s="1075" t="s">
        <v>697</v>
      </c>
      <c r="F7" s="303">
        <f ca="1">IF(INDIRECT("'数据-取费表'!ah"&amp;$G$1)="",INDIRECT("'数据-取费表'!k"&amp;$G$1),INDIRECT("'数据-取费表'!ah"&amp;$G$1))</f>
        <v>0</v>
      </c>
      <c r="G7" s="1383"/>
      <c r="H7" s="304"/>
      <c r="I7" s="3670"/>
      <c r="J7" s="306"/>
      <c r="K7" s="307"/>
      <c r="L7" s="302" t="s">
        <v>697</v>
      </c>
      <c r="M7" s="303">
        <f ca="1">F7</f>
        <v>0</v>
      </c>
    </row>
    <row r="8" spans="1:37" ht="18" customHeight="1">
      <c r="A8" s="304"/>
      <c r="B8" s="3670"/>
      <c r="C8" s="306"/>
      <c r="D8" s="307"/>
      <c r="E8" s="302" t="s">
        <v>698</v>
      </c>
      <c r="F8" s="303">
        <f ca="1">INDIRECT("'数据-取费表'!ai"&amp;$G$1)</f>
        <v>0</v>
      </c>
      <c r="G8" s="1383"/>
      <c r="H8" s="304"/>
      <c r="I8" s="3670"/>
      <c r="J8" s="306"/>
      <c r="K8" s="307"/>
      <c r="L8" s="302" t="s">
        <v>698</v>
      </c>
      <c r="M8" s="303">
        <f ca="1">INDIRECT("'数据-取费表'!ai"&amp;$G$1)</f>
        <v>0</v>
      </c>
    </row>
    <row r="9" spans="1:37" ht="18" customHeight="1">
      <c r="A9" s="304"/>
      <c r="B9" s="3671"/>
      <c r="C9" s="306"/>
      <c r="D9" s="307"/>
      <c r="E9" s="302" t="s">
        <v>699</v>
      </c>
      <c r="F9" s="312">
        <f ca="1">INDIRECT("'数据-取费表'!w"&amp;$G$1)</f>
        <v>0</v>
      </c>
      <c r="G9" s="1383"/>
      <c r="H9" s="304"/>
      <c r="I9" s="3671"/>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2115</v>
      </c>
      <c r="E10" s="313" t="s">
        <v>701</v>
      </c>
      <c r="F10" s="1115" t="s">
        <v>3400</v>
      </c>
      <c r="G10" s="1383"/>
      <c r="H10" s="1068" t="s">
        <v>402</v>
      </c>
      <c r="I10" s="1364" t="s">
        <v>700</v>
      </c>
      <c r="J10" s="301">
        <f ca="1">ROUND(IF(M10="押一",J6/12*M11,IF(M10="押二",J6/12*2*M11,IF(M10="押三",J6/12*3*M11,J11*M11))),0)</f>
        <v>0</v>
      </c>
      <c r="K10" s="1365" t="s">
        <v>2114</v>
      </c>
      <c r="L10" s="313" t="s">
        <v>701</v>
      </c>
      <c r="M10" s="1115" t="s">
        <v>3400</v>
      </c>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3">
        <f ca="1">ROUND(IF(AND(项目基本情况!B11="自然人",项目基本情况!B10="北京市"),J6*M17/(1+'数据-取费表'!C42),J18+J19+J20),2)</f>
        <v>0</v>
      </c>
      <c r="K17" s="1344" t="s">
        <v>720</v>
      </c>
      <c r="L17" s="1343" t="s">
        <v>721</v>
      </c>
      <c r="M17" s="2312">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3328</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3.5499999999999997E-2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1"/>
      <c r="I30" s="1397"/>
      <c r="J30" s="1398"/>
      <c r="K30" s="2469"/>
      <c r="L30" s="2692"/>
      <c r="M30" s="2693"/>
    </row>
    <row r="31" spans="1:37" ht="18" customHeight="1">
      <c r="A31" s="981" t="s">
        <v>398</v>
      </c>
      <c r="B31" s="302" t="s">
        <v>719</v>
      </c>
      <c r="C31" s="2313">
        <f ca="1">ROUND(IF(AND(项目基本情况!B11="自然人",项目基本情况!B10="北京市"),C6*F31/(1+'数据-取费表'!C42),C32+C33+C34),2)</f>
        <v>0</v>
      </c>
      <c r="D31" s="1344" t="s">
        <v>720</v>
      </c>
      <c r="E31" s="1343" t="s">
        <v>770</v>
      </c>
      <c r="F31" s="2312">
        <f ca="1">IF(项目基本情况!B11="企业","——",IF(M47="住宅",IF(F6*F7*F8/12/(1+'数据-取费表'!F30)&gt;100000,4%,2.5%),IF(F6*F7*F8/12/(1+'数据-取费表'!F30)&gt;100000,12%,7%)))</f>
        <v>7.0000000000000007E-2</v>
      </c>
      <c r="G31" s="1383"/>
      <c r="H31" s="2802" t="s">
        <v>2296</v>
      </c>
      <c r="I31" s="1397"/>
      <c r="J31" s="1398"/>
      <c r="K31" s="2469"/>
      <c r="L31" s="2692"/>
      <c r="M31" s="2693"/>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1"/>
      <c r="I32" s="1397"/>
      <c r="J32" s="1398"/>
      <c r="K32" s="2469"/>
      <c r="L32" s="2692"/>
      <c r="M32" s="2693"/>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3328</v>
      </c>
      <c r="E33" s="302" t="s">
        <v>712</v>
      </c>
      <c r="F33" s="322">
        <f>IF(D33="按票据","——",IF(D33="按租金收入计税",'数据-取费表'!B51,'数据-取费表'!B50))</f>
        <v>0.12</v>
      </c>
      <c r="G33" s="1383"/>
      <c r="H33" s="2694"/>
      <c r="I33" s="1397"/>
      <c r="J33" s="1398"/>
      <c r="K33" s="2695"/>
      <c r="L33" s="2694"/>
      <c r="M33" s="2694"/>
    </row>
    <row r="34" spans="1:18" ht="18" customHeight="1">
      <c r="A34" s="1068" t="s">
        <v>680</v>
      </c>
      <c r="B34" s="155" t="s">
        <v>730</v>
      </c>
      <c r="C34" s="22" t="str">
        <f>IF(项目基本情况!B11="自然人","——",ROUND(F34*F35/10000,2))</f>
        <v>——</v>
      </c>
      <c r="D34" s="324" t="s">
        <v>731</v>
      </c>
      <c r="E34" s="302" t="s">
        <v>732</v>
      </c>
      <c r="F34" s="325">
        <f>'数据-取费表'!B52</f>
        <v>24</v>
      </c>
      <c r="G34" s="1383"/>
      <c r="H34" s="2691"/>
      <c r="I34" s="1397"/>
      <c r="J34" s="1398"/>
      <c r="K34" s="2696"/>
      <c r="L34" s="2697"/>
      <c r="M34" s="2697"/>
    </row>
    <row r="35" spans="1:18" ht="18" customHeight="1">
      <c r="A35" s="1102"/>
      <c r="B35" s="1100"/>
      <c r="C35" s="26"/>
      <c r="D35" s="327"/>
      <c r="E35" s="302" t="s">
        <v>736</v>
      </c>
      <c r="F35" s="303">
        <f ca="1">INDIRECT("'数据-取费表'!r"&amp;$G$1)</f>
        <v>0</v>
      </c>
      <c r="G35" s="1383"/>
      <c r="H35" s="2691"/>
      <c r="I35" s="1397"/>
      <c r="J35" s="1398"/>
      <c r="K35" s="2695"/>
      <c r="L35" s="2694"/>
      <c r="M35" s="2694"/>
    </row>
    <row r="36" spans="1:18" ht="18" customHeight="1">
      <c r="A36" s="1101" t="s">
        <v>402</v>
      </c>
      <c r="B36" s="302" t="s">
        <v>738</v>
      </c>
      <c r="C36" s="21">
        <f ca="1">ROUND(C29*F36,2)</f>
        <v>0</v>
      </c>
      <c r="D36" s="1343" t="s">
        <v>771</v>
      </c>
      <c r="E36" s="302" t="s">
        <v>712</v>
      </c>
      <c r="F36" s="328">
        <f ca="1">INDIRECT("'数据-取费表'!Ak"&amp;$G$1)</f>
        <v>0</v>
      </c>
      <c r="G36" s="1383"/>
      <c r="H36" s="2694"/>
      <c r="I36" s="1397"/>
      <c r="J36" s="1398"/>
      <c r="K36" s="2538"/>
      <c r="L36" s="2694"/>
      <c r="M36" s="2694"/>
    </row>
    <row r="37" spans="1:18" ht="18" customHeight="1">
      <c r="A37" s="981" t="s">
        <v>437</v>
      </c>
      <c r="B37" s="302" t="s">
        <v>742</v>
      </c>
      <c r="C37" s="21">
        <f ca="1">ROUND(C13*F37,2)</f>
        <v>0</v>
      </c>
      <c r="D37" s="1343" t="s">
        <v>743</v>
      </c>
      <c r="E37" s="302" t="s">
        <v>744</v>
      </c>
      <c r="F37" s="330">
        <f ca="1">INDIRECT("'数据-取费表'!Al"&amp;$G$1)</f>
        <v>0</v>
      </c>
      <c r="G37" s="1383"/>
      <c r="H37" s="2694"/>
      <c r="I37" s="1397"/>
      <c r="J37" s="1398"/>
      <c r="K37" s="2538"/>
      <c r="L37" s="2694"/>
      <c r="M37" s="2694"/>
    </row>
    <row r="38" spans="1:18" ht="18" customHeight="1" thickBot="1">
      <c r="A38" s="1088" t="s">
        <v>684</v>
      </c>
      <c r="B38" s="1089" t="s">
        <v>728</v>
      </c>
      <c r="C38" s="1090">
        <f ca="1">ROUND(C5*F38,2)</f>
        <v>0</v>
      </c>
      <c r="D38" s="1091" t="s">
        <v>748</v>
      </c>
      <c r="E38" s="1089" t="s">
        <v>744</v>
      </c>
      <c r="F38" s="1085">
        <f ca="1">INDIRECT("'数据-取费表'!Am"&amp;$G$1)</f>
        <v>0</v>
      </c>
      <c r="G38" s="1383"/>
      <c r="H38" s="2694"/>
      <c r="I38" s="1397"/>
      <c r="J38" s="1398"/>
      <c r="K38" s="2698"/>
      <c r="L38" s="2694"/>
      <c r="M38" s="2694"/>
    </row>
    <row r="39" spans="1:18" ht="24.6" customHeight="1" thickTop="1">
      <c r="A39" s="1078" t="s">
        <v>394</v>
      </c>
      <c r="B39" s="1093" t="s">
        <v>772</v>
      </c>
      <c r="C39" s="310">
        <f ca="1">C5-C30</f>
        <v>0</v>
      </c>
      <c r="D39" s="1094" t="s">
        <v>773</v>
      </c>
      <c r="E39" s="1095"/>
      <c r="F39" s="1096"/>
      <c r="G39" s="1383"/>
      <c r="H39" s="2694"/>
      <c r="I39" s="1397"/>
      <c r="J39" s="1398"/>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8"/>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38"/>
      <c r="L41" s="1190"/>
      <c r="M41" s="1190"/>
    </row>
    <row r="42" spans="1:18" ht="18" customHeight="1">
      <c r="A42" s="308"/>
      <c r="B42" s="309"/>
      <c r="C42" s="310"/>
      <c r="D42" s="327"/>
      <c r="E42" s="302" t="s">
        <v>766</v>
      </c>
      <c r="F42" s="312">
        <f ca="1">INDIRECT("'数据-取费表'!v"&amp;$G$1)</f>
        <v>0</v>
      </c>
      <c r="G42" s="1383"/>
      <c r="H42" s="1190"/>
      <c r="I42" s="1397"/>
      <c r="J42" s="1398"/>
      <c r="K42" s="2538"/>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38"/>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699"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f ca="1">IF(M47="住宅",0,IF(L48&gt;J51,L60,J60))</f>
        <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3401</v>
      </c>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t="s">
        <v>3402</v>
      </c>
      <c r="K48" s="1422" t="s">
        <v>820</v>
      </c>
      <c r="L48" s="1423">
        <f ca="1">INDIRECT("'数据-取费表'!f"&amp;$G$1)</f>
        <v>0</v>
      </c>
      <c r="O48" s="1417" t="s">
        <v>404</v>
      </c>
      <c r="P48" s="1418" t="s">
        <v>821</v>
      </c>
      <c r="Q48" s="1419">
        <f ca="1">J60</f>
        <v>0</v>
      </c>
      <c r="R48" s="1419" t="s">
        <v>822</v>
      </c>
    </row>
    <row r="49" spans="1:18" s="1383" customFormat="1" ht="13.5" thickBot="1">
      <c r="A49" s="974" t="s">
        <v>439</v>
      </c>
      <c r="B49" s="1370" t="s">
        <v>779</v>
      </c>
      <c r="C49" s="1113">
        <f ca="1">ROUND(F49*F51*F50*(1-F52)/10000,0)</f>
        <v>0</v>
      </c>
      <c r="D49" s="1054" t="s">
        <v>2108</v>
      </c>
      <c r="E49" s="1371" t="s">
        <v>780</v>
      </c>
      <c r="F49" s="1059"/>
      <c r="G49" s="1424"/>
      <c r="H49" s="722"/>
      <c r="I49" s="1420" t="s">
        <v>823</v>
      </c>
      <c r="J49" s="1425">
        <f>'数据-取费表'!N17</f>
        <v>2011</v>
      </c>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60</v>
      </c>
      <c r="K50" s="1422" t="s">
        <v>827</v>
      </c>
      <c r="L50" s="1426"/>
      <c r="M50" s="1429"/>
      <c r="O50" s="1427" t="s">
        <v>406</v>
      </c>
      <c r="P50" s="1418" t="s">
        <v>828</v>
      </c>
      <c r="Q50" s="1430">
        <f ca="1">J58</f>
        <v>0.8</v>
      </c>
      <c r="R50" s="1419"/>
    </row>
    <row r="51" spans="1:18" s="1383" customFormat="1" ht="13.5" thickBot="1">
      <c r="A51" s="976"/>
      <c r="B51" s="978"/>
      <c r="C51" s="979"/>
      <c r="D51" s="952"/>
      <c r="E51" s="980" t="s">
        <v>698</v>
      </c>
      <c r="F51" s="303">
        <f ca="1">F8</f>
        <v>0</v>
      </c>
      <c r="I51" s="1431" t="s">
        <v>829</v>
      </c>
      <c r="J51" s="1432">
        <f>IF(J49="",J50,J49+J50-YEAR('数据-取费表'!B2))</f>
        <v>48</v>
      </c>
      <c r="K51" s="1433" t="s">
        <v>830</v>
      </c>
      <c r="L51" s="1434">
        <f ca="1">ROUND(-PV(INDIRECT("'数据-取费表'!h"&amp;$G$1),J51,(C39-C13*C76),0),0)</f>
        <v>0</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2114</v>
      </c>
      <c r="E53" s="313" t="s">
        <v>701</v>
      </c>
      <c r="F53" s="1115"/>
      <c r="I53" s="1438" t="s">
        <v>836</v>
      </c>
      <c r="J53" s="2165">
        <f ca="1">IF(M47="住宅",IF(D1="——",MAX(J51,L48),MAX(J51,L48-'数据-取费表'!B24)),IF(D1="——",MIN(J51,L48),MIN(J51,L48-'数据-取费表'!B24)))</f>
        <v>0</v>
      </c>
      <c r="K53" s="3667" t="s">
        <v>837</v>
      </c>
      <c r="L53" s="3668"/>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0.8</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t="s">
        <v>3373</v>
      </c>
      <c r="K56" s="1420" t="s">
        <v>843</v>
      </c>
      <c r="L56" s="1423" t="str">
        <f ca="1">IF(L48&lt;J51,"——",L48-J53)</f>
        <v>——</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48</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0</v>
      </c>
      <c r="D58" s="959" t="s">
        <v>715</v>
      </c>
      <c r="E58" s="960"/>
      <c r="F58" s="961"/>
      <c r="I58" s="1454" t="s">
        <v>848</v>
      </c>
      <c r="J58" s="1456">
        <f ca="1">IF(J55&lt;0.4,0.4,J55)</f>
        <v>0.8</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3">
        <f ca="1">ROUND(IF(AND(项目基本情况!B11="自然人",项目基本情况!B10="北京市"),C49*F59/(1+'数据-取费表'!C42),C60+C61+C62),0)</f>
        <v>0</v>
      </c>
      <c r="D59" s="962" t="s">
        <v>720</v>
      </c>
      <c r="E59" s="963" t="s">
        <v>721</v>
      </c>
      <c r="F59" s="2312">
        <f ca="1">IF(项目基本情况!B11="企业","——",IF('数据-取费表'!B10="住宅",IF(F49*F50*F51/12/(1+'数据-取费表'!F30)&gt;100000,4%,2.5%),IF(F49*F50*F51/12/(1+'数据-取费表'!F30)&gt;100000,12%,7%)))</f>
        <v>7.0000000000000007E-2</v>
      </c>
      <c r="I59" s="1454" t="s">
        <v>851</v>
      </c>
      <c r="J59" s="1455">
        <f ca="1">IF(OR(M47="住宅",J51&lt;L48,J56="是"),"——",ROUND(C29*J58,0))</f>
        <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3328</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24</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f ca="1">L60</f>
        <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70" zoomScaleNormal="70" zoomScaleSheetLayoutView="70" workbookViewId="0">
      <selection activeCell="Q47" sqref="Q47:Q5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3499</v>
      </c>
      <c r="D1" s="1361" t="s">
        <v>43</v>
      </c>
      <c r="E1" s="1362" t="s">
        <v>678</v>
      </c>
      <c r="F1" s="1061">
        <f ca="1">J53</f>
        <v>28.29</v>
      </c>
      <c r="G1" s="1377">
        <f>MATCH(C1,'数据-取费表'!A6:A16,0)+5</f>
        <v>6</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19">
        <f ca="1">ROUND(D2/10000,4)</f>
        <v>268.97449999999998</v>
      </c>
      <c r="C2" s="1386" t="s">
        <v>879</v>
      </c>
      <c r="D2" s="1470">
        <f ca="1">C40+J29+L46</f>
        <v>2689745</v>
      </c>
      <c r="E2" s="1387" t="s">
        <v>880</v>
      </c>
      <c r="F2" s="1388"/>
      <c r="G2" s="2700"/>
      <c r="H2" s="2689"/>
      <c r="I2" s="2689"/>
      <c r="J2" s="2689"/>
      <c r="K2" s="2690"/>
      <c r="L2" s="2689"/>
      <c r="M2" s="2689"/>
    </row>
    <row r="3" spans="1:37" ht="18" customHeight="1" thickBot="1">
      <c r="A3" s="1389" t="s">
        <v>881</v>
      </c>
      <c r="B3" s="1390">
        <f ca="1">IF(ISERROR(D2/F43),0,ROUND(D2/F43,0))</f>
        <v>22309</v>
      </c>
      <c r="C3" s="1386" t="s">
        <v>882</v>
      </c>
      <c r="D3" s="1386"/>
      <c r="E3" s="1387"/>
      <c r="F3" s="1388"/>
      <c r="G3" s="2700"/>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150696</v>
      </c>
      <c r="D5" s="1363" t="s">
        <v>889</v>
      </c>
      <c r="E5" s="1070"/>
      <c r="F5" s="1071"/>
      <c r="G5" s="1383"/>
      <c r="H5" s="299">
        <v>1</v>
      </c>
      <c r="I5" s="300" t="s">
        <v>888</v>
      </c>
      <c r="J5" s="1069">
        <f ca="1">J6+J10+J12</f>
        <v>0</v>
      </c>
      <c r="K5" s="1363" t="s">
        <v>889</v>
      </c>
      <c r="L5" s="1070"/>
      <c r="M5" s="1071"/>
    </row>
    <row r="6" spans="1:37" ht="18" customHeight="1">
      <c r="A6" s="1068" t="s">
        <v>398</v>
      </c>
      <c r="B6" s="3669" t="s">
        <v>694</v>
      </c>
      <c r="C6" s="1073">
        <f ca="1">ROUND(F6*F8*F7*(1-F9),0)</f>
        <v>150508</v>
      </c>
      <c r="D6" s="155" t="s">
        <v>2104</v>
      </c>
      <c r="E6" s="302" t="s">
        <v>696</v>
      </c>
      <c r="F6" s="303">
        <f ca="1">INDIRECT("'数据-取费表'!u"&amp;$G$1)</f>
        <v>3.8</v>
      </c>
      <c r="G6" s="1383"/>
      <c r="H6" s="1068" t="s">
        <v>398</v>
      </c>
      <c r="I6" s="3669" t="s">
        <v>694</v>
      </c>
      <c r="J6" s="301">
        <f ca="1">ROUND(M6*M8*M7*(1-M9),0)</f>
        <v>0</v>
      </c>
      <c r="K6" s="1375" t="s">
        <v>2105</v>
      </c>
      <c r="L6" s="302" t="s">
        <v>696</v>
      </c>
      <c r="M6" s="303">
        <f ca="1">INDIRECT("'数据-取费表'!z"&amp;$G$1)</f>
        <v>0</v>
      </c>
    </row>
    <row r="7" spans="1:37" ht="18" customHeight="1">
      <c r="A7" s="1072"/>
      <c r="B7" s="3670"/>
      <c r="C7" s="1074"/>
      <c r="D7" s="307"/>
      <c r="E7" s="1075" t="s">
        <v>697</v>
      </c>
      <c r="F7" s="303">
        <f ca="1">IF(INDIRECT("'数据-取费表'!ah"&amp;$G$1)="",INDIRECT("'数据-取费表'!k"&amp;$G$1),INDIRECT("'数据-取费表'!ah"&amp;$G$1))</f>
        <v>120.57</v>
      </c>
      <c r="G7" s="1383"/>
      <c r="H7" s="304"/>
      <c r="I7" s="3670"/>
      <c r="J7" s="306"/>
      <c r="K7" s="307"/>
      <c r="L7" s="302" t="s">
        <v>697</v>
      </c>
      <c r="M7" s="303">
        <f ca="1">F7</f>
        <v>120.57</v>
      </c>
    </row>
    <row r="8" spans="1:37" ht="18" customHeight="1">
      <c r="A8" s="304"/>
      <c r="B8" s="3670"/>
      <c r="C8" s="306"/>
      <c r="D8" s="307"/>
      <c r="E8" s="302" t="s">
        <v>698</v>
      </c>
      <c r="F8" s="303">
        <f ca="1">INDIRECT("'数据-取费表'!ai"&amp;$G$1)</f>
        <v>365</v>
      </c>
      <c r="G8" s="1383"/>
      <c r="H8" s="304"/>
      <c r="I8" s="3670"/>
      <c r="J8" s="306"/>
      <c r="K8" s="307"/>
      <c r="L8" s="302" t="s">
        <v>698</v>
      </c>
      <c r="M8" s="303">
        <f ca="1">INDIRECT("'数据-取费表'!ai"&amp;$G$1)</f>
        <v>365</v>
      </c>
    </row>
    <row r="9" spans="1:37" ht="18" customHeight="1">
      <c r="A9" s="304"/>
      <c r="B9" s="3671"/>
      <c r="C9" s="306"/>
      <c r="D9" s="307"/>
      <c r="E9" s="302" t="s">
        <v>699</v>
      </c>
      <c r="F9" s="312">
        <f ca="1">INDIRECT("'数据-取费表'!w"&amp;$G$1)</f>
        <v>0.1</v>
      </c>
      <c r="G9" s="1383"/>
      <c r="H9" s="304"/>
      <c r="I9" s="3671"/>
      <c r="J9" s="306"/>
      <c r="K9" s="307"/>
      <c r="L9" s="313" t="s">
        <v>699</v>
      </c>
      <c r="M9" s="314">
        <f ca="1">INDIRECT("'数据-取费表'!ab"&amp;$G$1)</f>
        <v>0</v>
      </c>
    </row>
    <row r="10" spans="1:37" ht="18" customHeight="1">
      <c r="A10" s="1068" t="s">
        <v>402</v>
      </c>
      <c r="B10" s="1364" t="s">
        <v>700</v>
      </c>
      <c r="C10" s="316">
        <f ca="1">ROUND(IF(F10="押一",C6/12*F11,IF(F10="押二",C6/12*2*F11,IF(F10="押三",C6/12*3*F11,C11*F11))),0)</f>
        <v>188</v>
      </c>
      <c r="D10" s="1365" t="s">
        <v>2114</v>
      </c>
      <c r="E10" s="313" t="s">
        <v>701</v>
      </c>
      <c r="F10" s="1115" t="s">
        <v>3400</v>
      </c>
      <c r="G10" s="1383"/>
      <c r="H10" s="1068" t="s">
        <v>402</v>
      </c>
      <c r="I10" s="1364" t="s">
        <v>700</v>
      </c>
      <c r="J10" s="301">
        <f ca="1">ROUND(IF(M10="押一",J6/12*M11,IF(M10="押二",J6/12*2*M11,IF(M10="押三",J6/12*3*M11,J11*M11))),0)</f>
        <v>0</v>
      </c>
      <c r="K10" s="1376" t="s">
        <v>2116</v>
      </c>
      <c r="L10" s="313" t="s">
        <v>701</v>
      </c>
      <c r="M10" s="1115" t="s">
        <v>3400</v>
      </c>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666573</v>
      </c>
      <c r="D13" s="1080" t="s">
        <v>705</v>
      </c>
      <c r="E13" s="1080" t="s">
        <v>706</v>
      </c>
      <c r="F13" s="1081">
        <f ca="1">INDIRECT("'数据-取费表'!y"&amp;$G$1)</f>
        <v>0.8</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542565</v>
      </c>
      <c r="D14" s="1344" t="s">
        <v>708</v>
      </c>
      <c r="E14" s="1341"/>
      <c r="F14" s="319"/>
      <c r="G14" s="1383"/>
      <c r="H14" s="981" t="s">
        <v>398</v>
      </c>
      <c r="I14" s="302" t="s">
        <v>709</v>
      </c>
      <c r="J14" s="21">
        <f ca="1">C29</f>
        <v>833216</v>
      </c>
      <c r="K14" s="12"/>
      <c r="L14" s="806"/>
      <c r="M14" s="807"/>
    </row>
    <row r="15" spans="1:37" s="1396" customFormat="1" ht="18" customHeight="1" thickBot="1">
      <c r="A15" s="981" t="s">
        <v>399</v>
      </c>
      <c r="B15" s="302" t="s">
        <v>710</v>
      </c>
      <c r="C15" s="21">
        <f ca="1">ROUND(C14*F15,0)</f>
        <v>16277</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4166</v>
      </c>
      <c r="K16" s="1086" t="s">
        <v>715</v>
      </c>
      <c r="L16" s="1087"/>
      <c r="M16" s="1071"/>
    </row>
    <row r="17" spans="1:37" s="1396" customFormat="1" ht="18" customHeight="1">
      <c r="A17" s="981" t="s">
        <v>681</v>
      </c>
      <c r="B17" s="302" t="s">
        <v>716</v>
      </c>
      <c r="C17" s="21">
        <f ca="1">ROUND(F17*(F43+INDIRECT("'数据-取费表'!S"&amp;$G$1)),0)</f>
        <v>24114</v>
      </c>
      <c r="D17" s="302" t="s">
        <v>717</v>
      </c>
      <c r="E17" s="302" t="s">
        <v>718</v>
      </c>
      <c r="F17" s="23">
        <f>'数据-取费表'!B35</f>
        <v>200</v>
      </c>
      <c r="G17" s="1395"/>
      <c r="H17" s="981" t="s">
        <v>398</v>
      </c>
      <c r="I17" s="302" t="s">
        <v>719</v>
      </c>
      <c r="J17" s="2313">
        <f ca="1">ROUND(IF(AND(项目基本情况!B11="自然人",项目基本情况!B10="北京市"),J6*M17/(1+'数据-取费表'!C42),J18+J19+J20),0)</f>
        <v>0</v>
      </c>
      <c r="K17" s="1344" t="s">
        <v>720</v>
      </c>
      <c r="L17" s="1343" t="s">
        <v>721</v>
      </c>
      <c r="M17" s="2312">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8138</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591094</v>
      </c>
      <c r="D19" s="131" t="s">
        <v>726</v>
      </c>
      <c r="E19" s="1359"/>
      <c r="F19" s="23"/>
      <c r="G19" s="1383"/>
      <c r="H19" s="981" t="s">
        <v>399</v>
      </c>
      <c r="I19" s="302" t="s">
        <v>727</v>
      </c>
      <c r="J19" s="21">
        <f ca="1">IF(K19="按租金收入计税",ROUND(J6*M19/(1+'数据-取费表'!C42),0),ROUND(C29*M19*0.7,0))</f>
        <v>0</v>
      </c>
      <c r="K19" s="1369" t="s">
        <v>3328</v>
      </c>
      <c r="L19" s="302" t="s">
        <v>712</v>
      </c>
      <c r="M19" s="322">
        <f>IF(K19="按租金收入计税",'数据-取费表'!B51,'数据-取费表'!B50)</f>
        <v>0.12</v>
      </c>
    </row>
    <row r="20" spans="1:37" s="1396" customFormat="1" ht="18" customHeight="1">
      <c r="A20" s="981" t="s">
        <v>402</v>
      </c>
      <c r="B20" s="302" t="s">
        <v>728</v>
      </c>
      <c r="C20" s="21">
        <f ca="1">ROUND(C19*F20,0)</f>
        <v>17733</v>
      </c>
      <c r="D20" s="323" t="s">
        <v>729</v>
      </c>
      <c r="E20" s="302" t="s">
        <v>712</v>
      </c>
      <c r="F20" s="322">
        <f>'数据-取费表'!B37</f>
        <v>0.03</v>
      </c>
      <c r="G20" s="1395"/>
      <c r="H20" s="981" t="s">
        <v>680</v>
      </c>
      <c r="I20" s="155" t="s">
        <v>730</v>
      </c>
      <c r="J20" s="22">
        <f ca="1">ROUND(M20*M21,0)</f>
        <v>735</v>
      </c>
      <c r="K20" s="324" t="s">
        <v>731</v>
      </c>
      <c r="L20" s="302" t="s">
        <v>732</v>
      </c>
      <c r="M20" s="325">
        <f>'数据-取费表'!B52</f>
        <v>24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0.03</v>
      </c>
      <c r="G21" s="1395"/>
      <c r="H21" s="326"/>
      <c r="I21" s="311"/>
      <c r="J21" s="26"/>
      <c r="K21" s="327"/>
      <c r="L21" s="302" t="s">
        <v>736</v>
      </c>
      <c r="M21" s="303">
        <f ca="1">INDIRECT("'数据-取费表'!r"&amp;$G$1)</f>
        <v>30.64</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4166</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27135</v>
      </c>
      <c r="D23" s="329" t="str">
        <f>IF(F23&lt;=1,"(建造成本+管理费用)×利率×(建设周期÷2)","(建造成本+管理费用)×((1+利率)^(建设周期÷2)-1)")</f>
        <v>(建造成本+管理费用)×((1+利率)^(建设周期÷2)-1)</v>
      </c>
      <c r="E23" s="302" t="s">
        <v>741</v>
      </c>
      <c r="F23" s="325">
        <f>'数据-取费表'!B20</f>
        <v>2.5</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3.5499999999999997E-2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-4166</v>
      </c>
      <c r="K25" s="1094" t="s">
        <v>753</v>
      </c>
      <c r="L25" s="1095"/>
      <c r="M25" s="1096"/>
    </row>
    <row r="26" spans="1:37" ht="18" customHeight="1">
      <c r="A26" s="981" t="s">
        <v>397</v>
      </c>
      <c r="B26" s="302" t="s">
        <v>754</v>
      </c>
      <c r="C26" s="21">
        <f ca="1">ROUND((C19+C20)*F26,0)</f>
        <v>121765</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6.0000000000000001E-3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833216</v>
      </c>
      <c r="D29" s="1091"/>
      <c r="E29" s="1089"/>
      <c r="F29" s="1092"/>
      <c r="G29" s="1395"/>
      <c r="H29" s="334" t="s">
        <v>396</v>
      </c>
      <c r="I29" s="335" t="s">
        <v>768</v>
      </c>
      <c r="J29" s="336">
        <f ca="1">ROUND(J26/(1+F40)^F41,0)</f>
        <v>0</v>
      </c>
      <c r="K29" s="337" t="s">
        <v>769</v>
      </c>
      <c r="L29" s="338"/>
      <c r="M29" s="339">
        <f ca="1">INDIRECT("'数据-取费表'!k"&amp;$G$1)</f>
        <v>120.57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16374</v>
      </c>
      <c r="D30" s="1086" t="s">
        <v>715</v>
      </c>
      <c r="E30" s="1087"/>
      <c r="F30" s="1071"/>
      <c r="G30" s="1383"/>
      <c r="H30" s="2691"/>
      <c r="I30" s="1397"/>
      <c r="J30" s="1398"/>
      <c r="K30" s="2469"/>
      <c r="L30" s="2692"/>
      <c r="M30" s="2693"/>
    </row>
    <row r="31" spans="1:37" ht="18" customHeight="1">
      <c r="A31" s="981" t="s">
        <v>398</v>
      </c>
      <c r="B31" s="302" t="s">
        <v>719</v>
      </c>
      <c r="C31" s="2313">
        <f ca="1">ROUND(IF(AND(项目基本情况!B11="自然人",项目基本情况!B10="北京市"),C6*F31/(1+'数据-取费表'!C42),C32+C33+C34),0)</f>
        <v>10034</v>
      </c>
      <c r="D31" s="1344" t="s">
        <v>720</v>
      </c>
      <c r="E31" s="1343" t="s">
        <v>770</v>
      </c>
      <c r="F31" s="2312">
        <f ca="1">IF(项目基本情况!B11="企业","——",IF(M47="住宅",IF(F6*F7*F8/12/(1+'数据-取费表'!F30)&gt;100000,4%,2.5%),IF(F6*F7*F8/12/(1+'数据-取费表'!F30)&gt;100000,12%,7%)))</f>
        <v>7.0000000000000007E-2</v>
      </c>
      <c r="G31" s="1383"/>
      <c r="H31" s="2802" t="s">
        <v>2296</v>
      </c>
      <c r="I31" s="1397"/>
      <c r="J31" s="1398"/>
      <c r="K31" s="2469"/>
      <c r="L31" s="2692"/>
      <c r="M31" s="2693"/>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1"/>
      <c r="I32" s="1397"/>
      <c r="J32" s="1398"/>
      <c r="K32" s="2469"/>
      <c r="L32" s="2692"/>
      <c r="M32" s="2693"/>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3328</v>
      </c>
      <c r="E33" s="302" t="s">
        <v>712</v>
      </c>
      <c r="F33" s="322">
        <f>IF(D33="按票据","——",IF(D33="按租金收入计税",'数据-取费表'!B51,'数据-取费表'!B50))</f>
        <v>0.12</v>
      </c>
      <c r="G33" s="1383"/>
      <c r="H33" s="2694"/>
      <c r="I33" s="1397"/>
      <c r="J33" s="1398"/>
      <c r="K33" s="2695"/>
      <c r="L33" s="2694"/>
      <c r="M33" s="2694"/>
    </row>
    <row r="34" spans="1:18" ht="18" customHeight="1">
      <c r="A34" s="1068" t="s">
        <v>680</v>
      </c>
      <c r="B34" s="155" t="s">
        <v>730</v>
      </c>
      <c r="C34" s="22" t="str">
        <f>IF(项目基本情况!B11="自然人","——",ROUND(F34*F35,0))</f>
        <v>——</v>
      </c>
      <c r="D34" s="324" t="s">
        <v>731</v>
      </c>
      <c r="E34" s="302" t="s">
        <v>732</v>
      </c>
      <c r="F34" s="325">
        <f>'数据-取费表'!B52</f>
        <v>24</v>
      </c>
      <c r="G34" s="1383"/>
      <c r="H34" s="2691"/>
      <c r="I34" s="1397"/>
      <c r="J34" s="1398"/>
      <c r="K34" s="2696"/>
      <c r="L34" s="2697"/>
      <c r="M34" s="2697"/>
    </row>
    <row r="35" spans="1:18" ht="18" customHeight="1">
      <c r="A35" s="1102"/>
      <c r="B35" s="1100"/>
      <c r="C35" s="26"/>
      <c r="D35" s="327"/>
      <c r="E35" s="302" t="s">
        <v>736</v>
      </c>
      <c r="F35" s="303">
        <f ca="1">INDIRECT("'数据-取费表'!r"&amp;$G$1)</f>
        <v>30.64</v>
      </c>
      <c r="G35" s="1383"/>
      <c r="H35" s="2691"/>
      <c r="I35" s="1397"/>
      <c r="J35" s="1398"/>
      <c r="K35" s="2695"/>
      <c r="L35" s="2694"/>
      <c r="M35" s="2694"/>
    </row>
    <row r="36" spans="1:18" ht="18" customHeight="1">
      <c r="A36" s="1101" t="s">
        <v>402</v>
      </c>
      <c r="B36" s="302" t="s">
        <v>738</v>
      </c>
      <c r="C36" s="21">
        <f ca="1">ROUND(C29*F36,0)</f>
        <v>4166</v>
      </c>
      <c r="D36" s="1343" t="s">
        <v>771</v>
      </c>
      <c r="E36" s="302" t="s">
        <v>712</v>
      </c>
      <c r="F36" s="328">
        <f ca="1">INDIRECT("'数据-取费表'!Ak"&amp;$G$1)</f>
        <v>5.0000000000000001E-3</v>
      </c>
      <c r="G36" s="1383"/>
      <c r="H36" s="2694"/>
      <c r="I36" s="1397"/>
      <c r="J36" s="1398"/>
      <c r="K36" s="2538"/>
      <c r="L36" s="2694"/>
      <c r="M36" s="2694"/>
    </row>
    <row r="37" spans="1:18" ht="18" customHeight="1">
      <c r="A37" s="981" t="s">
        <v>437</v>
      </c>
      <c r="B37" s="302" t="s">
        <v>742</v>
      </c>
      <c r="C37" s="21">
        <f ca="1">ROUND(C13*F37,0)</f>
        <v>667</v>
      </c>
      <c r="D37" s="1343" t="s">
        <v>743</v>
      </c>
      <c r="E37" s="302" t="s">
        <v>744</v>
      </c>
      <c r="F37" s="330">
        <f ca="1">INDIRECT("'数据-取费表'!Al"&amp;$G$1)</f>
        <v>1E-3</v>
      </c>
      <c r="G37" s="1383"/>
      <c r="H37" s="2694"/>
      <c r="I37" s="1397"/>
      <c r="J37" s="1398"/>
      <c r="K37" s="2538"/>
      <c r="L37" s="2694"/>
      <c r="M37" s="2694"/>
    </row>
    <row r="38" spans="1:18" ht="18" customHeight="1" thickBot="1">
      <c r="A38" s="1088" t="s">
        <v>684</v>
      </c>
      <c r="B38" s="1089" t="s">
        <v>728</v>
      </c>
      <c r="C38" s="1090">
        <f ca="1">ROUND(C5*F38,0)</f>
        <v>1507</v>
      </c>
      <c r="D38" s="1091" t="s">
        <v>748</v>
      </c>
      <c r="E38" s="1089" t="s">
        <v>744</v>
      </c>
      <c r="F38" s="1085">
        <f ca="1">INDIRECT("'数据-取费表'!Am"&amp;$G$1)</f>
        <v>0.01</v>
      </c>
      <c r="G38" s="1383"/>
      <c r="H38" s="2694"/>
      <c r="I38" s="1397"/>
      <c r="J38" s="1398"/>
      <c r="K38" s="2698"/>
      <c r="L38" s="2694"/>
      <c r="M38" s="2694"/>
    </row>
    <row r="39" spans="1:18" ht="24.6" customHeight="1" thickTop="1">
      <c r="A39" s="1078" t="s">
        <v>394</v>
      </c>
      <c r="B39" s="1093" t="s">
        <v>772</v>
      </c>
      <c r="C39" s="310">
        <f ca="1">C5-C30</f>
        <v>134322</v>
      </c>
      <c r="D39" s="1094" t="s">
        <v>773</v>
      </c>
      <c r="E39" s="1095"/>
      <c r="F39" s="1096"/>
      <c r="G39" s="1383"/>
      <c r="H39" s="2694"/>
      <c r="I39" s="1397"/>
      <c r="J39" s="1398"/>
      <c r="K39" s="2698"/>
      <c r="L39" s="2694"/>
      <c r="M39" s="2694"/>
    </row>
    <row r="40" spans="1:18" ht="18" customHeight="1">
      <c r="A40" s="299" t="s">
        <v>395</v>
      </c>
      <c r="B40" s="300" t="s">
        <v>774</v>
      </c>
      <c r="C40" s="301">
        <f ca="1">ROUND(C39*(1-((1+F42)/(1+F40))^F41)/(F40-F42),0)</f>
        <v>2646665</v>
      </c>
      <c r="D40" s="324" t="s">
        <v>758</v>
      </c>
      <c r="E40" s="302" t="s">
        <v>759</v>
      </c>
      <c r="F40" s="312">
        <f ca="1">INDIRECT("'数据-取费表'!I"&amp;$G$1)</f>
        <v>5.5E-2</v>
      </c>
      <c r="G40" s="1383"/>
      <c r="H40" s="1460"/>
      <c r="I40" s="1397"/>
      <c r="J40" s="1398"/>
      <c r="K40" s="2698"/>
      <c r="L40" s="1460"/>
      <c r="M40" s="1460"/>
    </row>
    <row r="41" spans="1:18" ht="18" customHeight="1">
      <c r="A41" s="304"/>
      <c r="B41" s="305"/>
      <c r="C41" s="306"/>
      <c r="D41" s="332" t="s">
        <v>775</v>
      </c>
      <c r="E41" s="302" t="s">
        <v>763</v>
      </c>
      <c r="F41" s="333">
        <f ca="1">IF(INDIRECT("'数据-取费表'!af"&amp;$G$1)=0,INDIRECT("'数据-取费表'!ae"&amp;$G$1),INDIRECT("'数据-取费表'!af"&amp;$G$1))</f>
        <v>28.29</v>
      </c>
      <c r="G41" s="1383"/>
      <c r="H41" s="1190"/>
      <c r="I41" s="1397"/>
      <c r="J41" s="1398"/>
      <c r="K41" s="2538"/>
      <c r="L41" s="1190"/>
      <c r="M41" s="1190"/>
    </row>
    <row r="42" spans="1:18" ht="18" customHeight="1">
      <c r="A42" s="308"/>
      <c r="B42" s="309"/>
      <c r="C42" s="310"/>
      <c r="D42" s="327"/>
      <c r="E42" s="302" t="s">
        <v>766</v>
      </c>
      <c r="F42" s="312">
        <f ca="1">INDIRECT("'数据-取费表'!v"&amp;$G$1)</f>
        <v>0.03</v>
      </c>
      <c r="G42" s="1383"/>
      <c r="H42" s="1190"/>
      <c r="I42" s="1397"/>
      <c r="J42" s="1398"/>
      <c r="K42" s="2538"/>
      <c r="L42" s="1190"/>
      <c r="M42" s="1190"/>
    </row>
    <row r="43" spans="1:18" ht="18" customHeight="1" thickBot="1">
      <c r="A43" s="334" t="s">
        <v>396</v>
      </c>
      <c r="B43" s="335" t="s">
        <v>776</v>
      </c>
      <c r="C43" s="336">
        <f ca="1">ROUND(C40/F43,0)</f>
        <v>21951</v>
      </c>
      <c r="D43" s="337" t="s">
        <v>777</v>
      </c>
      <c r="E43" s="338" t="s">
        <v>778</v>
      </c>
      <c r="F43" s="339">
        <f ca="1">INDIRECT("'数据-取费表'!k"&amp;$G$1)</f>
        <v>120.57</v>
      </c>
      <c r="G43" s="1383"/>
      <c r="H43" s="1190"/>
      <c r="I43" s="1190"/>
      <c r="J43" s="1190"/>
      <c r="K43" s="2538"/>
      <c r="L43" s="1190"/>
      <c r="M43" s="1190"/>
    </row>
    <row r="44" spans="1:18" s="1383" customFormat="1" ht="18" customHeight="1">
      <c r="A44" s="1399"/>
      <c r="B44" s="1399"/>
      <c r="C44" s="1400"/>
      <c r="D44" s="1399"/>
      <c r="E44" s="1399"/>
      <c r="F44" s="1399"/>
      <c r="K44" s="1401"/>
    </row>
    <row r="45" spans="1:18" s="1383" customFormat="1" ht="18" customHeight="1" thickBot="1">
      <c r="A45" s="3425" t="s">
        <v>3344</v>
      </c>
      <c r="B45" s="1399"/>
      <c r="C45" s="1471">
        <f ca="1">ROUND((C68-C40)/10000,4)</f>
        <v>-271.52159999999998</v>
      </c>
      <c r="D45" s="3426" t="s">
        <v>3345</v>
      </c>
      <c r="E45" s="1399"/>
      <c r="F45" s="1399"/>
      <c r="O45" s="1402" t="s">
        <v>808</v>
      </c>
      <c r="P45" s="1460"/>
      <c r="Q45" s="1460"/>
      <c r="R45" s="1460"/>
    </row>
    <row r="46" spans="1:18" s="1383" customFormat="1" ht="13.5" thickBot="1">
      <c r="A46" s="1403" t="s">
        <v>809</v>
      </c>
      <c r="C46" s="1404">
        <f ca="1">ROUND(C45,0)</f>
        <v>-272</v>
      </c>
      <c r="D46" s="1405" t="str">
        <f>C2</f>
        <v>万元</v>
      </c>
      <c r="I46" s="1406" t="s">
        <v>810</v>
      </c>
      <c r="J46" s="1407"/>
      <c r="K46" s="1408"/>
      <c r="L46" s="1409">
        <f ca="1">IF(M47="住宅",0,IF(L48&gt;J51,L60,J60))</f>
        <v>43080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3401</v>
      </c>
      <c r="K47" s="1415" t="s">
        <v>816</v>
      </c>
      <c r="L47" s="1416">
        <f ca="1">INDIRECT("'数据-取费表'!d"&amp;$G$1)</f>
        <v>50</v>
      </c>
      <c r="M47" s="1379" t="str">
        <f>IF(ISNUMBER(FIND("住宅",C1)),"住宅","非住宅")</f>
        <v>非住宅</v>
      </c>
      <c r="O47" s="1417" t="s">
        <v>403</v>
      </c>
      <c r="P47" s="1418" t="s">
        <v>817</v>
      </c>
      <c r="Q47" s="1419">
        <f ca="1">C40+J29</f>
        <v>2646665</v>
      </c>
      <c r="R47" s="1419" t="s">
        <v>818</v>
      </c>
    </row>
    <row r="48" spans="1:18" s="1383" customFormat="1" ht="28.5" thickBot="1">
      <c r="A48" s="1109" t="s">
        <v>438</v>
      </c>
      <c r="B48" s="300" t="s">
        <v>692</v>
      </c>
      <c r="C48" s="1358">
        <f ca="1">C49+C53+C55</f>
        <v>0</v>
      </c>
      <c r="D48" s="1111"/>
      <c r="E48" s="1112"/>
      <c r="F48" s="961"/>
      <c r="G48" s="721"/>
      <c r="H48" s="722"/>
      <c r="I48" s="1420" t="s">
        <v>819</v>
      </c>
      <c r="J48" s="1421" t="s">
        <v>3402</v>
      </c>
      <c r="K48" s="1422" t="s">
        <v>820</v>
      </c>
      <c r="L48" s="1423">
        <f ca="1">INDIRECT("'数据-取费表'!f"&amp;$G$1)</f>
        <v>28.29</v>
      </c>
      <c r="O48" s="1417" t="s">
        <v>404</v>
      </c>
      <c r="P48" s="1418" t="s">
        <v>821</v>
      </c>
      <c r="Q48" s="1419">
        <f ca="1">J60</f>
        <v>43080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2011</v>
      </c>
      <c r="K49" s="1422" t="s">
        <v>824</v>
      </c>
      <c r="L49" s="1426"/>
      <c r="O49" s="1427" t="s">
        <v>405</v>
      </c>
      <c r="P49" s="1418" t="s">
        <v>825</v>
      </c>
      <c r="Q49" s="1419">
        <f ca="1">C29</f>
        <v>833216</v>
      </c>
      <c r="R49" s="1419" t="s">
        <v>818</v>
      </c>
    </row>
    <row r="50" spans="1:18" s="1383" customFormat="1" ht="13.5" thickBot="1">
      <c r="A50" s="975"/>
      <c r="B50" s="978"/>
      <c r="C50" s="979"/>
      <c r="D50" s="952"/>
      <c r="E50" s="1055" t="s">
        <v>697</v>
      </c>
      <c r="F50" s="1056">
        <f ca="1">F7</f>
        <v>120.57</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48</v>
      </c>
      <c r="K51" s="1433" t="s">
        <v>830</v>
      </c>
      <c r="L51" s="1434">
        <f ca="1">ROUND(-PV(INDIRECT("'数据-取费表'!h"&amp;$G$1),J51,(C39-C13*C76),0),0)</f>
        <v>1584678</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28.29</v>
      </c>
      <c r="R52" s="1419" t="s">
        <v>835</v>
      </c>
    </row>
    <row r="53" spans="1:18" s="1383" customFormat="1" ht="30.75" customHeight="1" thickBot="1">
      <c r="A53" s="1110" t="s">
        <v>440</v>
      </c>
      <c r="B53" s="323" t="s">
        <v>700</v>
      </c>
      <c r="C53" s="316">
        <f ca="1">ROUND(IF(F53="押一",C49/12*F11,IF(F53="押二",C49/12*2*F11,IF(F53="押三",C49/12*3*F11,C54*F11))),0)</f>
        <v>0</v>
      </c>
      <c r="D53" s="1365" t="s">
        <v>2117</v>
      </c>
      <c r="E53" s="313" t="s">
        <v>701</v>
      </c>
      <c r="F53" s="1115"/>
      <c r="I53" s="1438" t="s">
        <v>836</v>
      </c>
      <c r="J53" s="2165">
        <f ca="1">IF(M47="住宅",IF(D1="——",MAX(J51,L48),MAX(J51,L48-'数据-取费表'!B24)),IF(D1="——",MIN(J51,L48),MIN(J51,L48-'数据-取费表'!B24)))</f>
        <v>28.29</v>
      </c>
      <c r="K53" s="3667" t="s">
        <v>837</v>
      </c>
      <c r="L53" s="3668"/>
      <c r="O53" s="1417" t="s">
        <v>409</v>
      </c>
      <c r="P53" s="1418" t="s">
        <v>838</v>
      </c>
      <c r="Q53" s="1419">
        <f ca="1">Q47+Q48</f>
        <v>2689745</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0.32900000000000001</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666573</v>
      </c>
      <c r="D56" s="1446"/>
      <c r="E56" s="1447"/>
      <c r="F56" s="1439"/>
      <c r="I56" s="1448" t="s">
        <v>842</v>
      </c>
      <c r="J56" s="1449" t="s">
        <v>3373</v>
      </c>
      <c r="K56" s="1420" t="s">
        <v>843</v>
      </c>
      <c r="L56" s="1423" t="str">
        <f ca="1">IF(L48&lt;J51,"——",L48-J51)</f>
        <v>——</v>
      </c>
      <c r="O56" s="1417" t="s">
        <v>403</v>
      </c>
      <c r="P56" s="1418" t="s">
        <v>817</v>
      </c>
      <c r="Q56" s="1419">
        <f ca="1">C40+J29</f>
        <v>2646665</v>
      </c>
      <c r="R56" s="1419" t="s">
        <v>818</v>
      </c>
    </row>
    <row r="57" spans="1:18" s="1383" customFormat="1" ht="24.75" thickBot="1">
      <c r="A57" s="1450"/>
      <c r="B57" s="949" t="s">
        <v>767</v>
      </c>
      <c r="C57" s="238">
        <f ca="1">C29</f>
        <v>833216</v>
      </c>
      <c r="D57" s="1451"/>
      <c r="E57" s="1452"/>
      <c r="F57" s="1453"/>
      <c r="I57" s="1454" t="s">
        <v>844</v>
      </c>
      <c r="J57" s="1455">
        <f ca="1">IF(OR(M47="住宅",J51&lt;L48,J56="是"),"——",J51-L48)</f>
        <v>19.71</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4833</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3">
        <f ca="1">ROUND(IF(AND(项目基本情况!B11="自然人",项目基本情况!B10="北京市"),C49*F59/(1+'数据-取费表'!C42),C60+C61+C62),0)</f>
        <v>0</v>
      </c>
      <c r="D59" s="962" t="s">
        <v>720</v>
      </c>
      <c r="E59" s="963" t="s">
        <v>721</v>
      </c>
      <c r="F59" s="2312">
        <f ca="1">IF(项目基本情况!B11="企业","——",IF('数据-取费表'!B10="住宅",IF(F49*F50*F51/12/(1+'数据-取费表'!F30)&gt;100000,4%,2.5%),IF(F49*F50*F51/12/(1+'数据-取费表'!F30)&gt;100000,12%,7%)))</f>
        <v>7.0000000000000007E-2</v>
      </c>
      <c r="I59" s="1454" t="s">
        <v>851</v>
      </c>
      <c r="J59" s="1455">
        <f ca="1">IF(OR(M47="住宅",J51&lt;L48,J56="是"),"——",ROUND(C29*J58,0))</f>
        <v>333286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f ca="1">IF(OR(M47="住宅",J51&lt;L48,J56="是"),"0",ROUND(J59/(1+J52)^J53,0))</f>
        <v>43080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3328</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24</v>
      </c>
      <c r="I62" s="1461" t="s">
        <v>858</v>
      </c>
      <c r="J62" s="1462" t="s">
        <v>859</v>
      </c>
      <c r="K62" s="1462" t="s">
        <v>860</v>
      </c>
      <c r="L62" s="1462" t="s">
        <v>861</v>
      </c>
      <c r="M62" s="1463" t="s">
        <v>862</v>
      </c>
      <c r="O62" s="1417" t="s">
        <v>409</v>
      </c>
      <c r="P62" s="1418" t="s">
        <v>863</v>
      </c>
      <c r="Q62" s="1419">
        <f ca="1">Q56+Q57</f>
        <v>2646665</v>
      </c>
      <c r="R62" s="1419" t="s">
        <v>410</v>
      </c>
    </row>
    <row r="63" spans="1:18" s="1383" customFormat="1" ht="13.5" thickBot="1">
      <c r="A63" s="326"/>
      <c r="B63" s="955"/>
      <c r="C63" s="26"/>
      <c r="D63" s="965"/>
      <c r="E63" s="949" t="s">
        <v>788</v>
      </c>
      <c r="F63" s="303">
        <f t="shared" ca="1" si="0"/>
        <v>30.64</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4166</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667</v>
      </c>
      <c r="D65" s="963" t="s">
        <v>743</v>
      </c>
      <c r="E65" s="949" t="s">
        <v>744</v>
      </c>
      <c r="F65" s="330">
        <f t="shared" ca="1" si="0"/>
        <v>1E-3</v>
      </c>
      <c r="I65" s="1461" t="s">
        <v>867</v>
      </c>
      <c r="J65" s="1462">
        <v>40</v>
      </c>
      <c r="K65" s="1462">
        <v>30</v>
      </c>
      <c r="L65" s="1462">
        <v>50</v>
      </c>
      <c r="M65" s="1464">
        <v>0.02</v>
      </c>
      <c r="O65" s="1417" t="s">
        <v>403</v>
      </c>
      <c r="P65" s="1418" t="s">
        <v>868</v>
      </c>
      <c r="Q65" s="1419">
        <f ca="1">C40+J29</f>
        <v>2646665</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-4833</v>
      </c>
      <c r="D67" s="962" t="s">
        <v>753</v>
      </c>
      <c r="E67" s="967"/>
      <c r="F67" s="968"/>
      <c r="O67" s="1427" t="s">
        <v>405</v>
      </c>
      <c r="P67" s="1418" t="s">
        <v>850</v>
      </c>
      <c r="Q67" s="1465">
        <f ca="1">L51</f>
        <v>1584678</v>
      </c>
      <c r="R67" s="1419" t="s">
        <v>870</v>
      </c>
    </row>
    <row r="68" spans="1:18" s="1383" customFormat="1" ht="16.5" thickBot="1">
      <c r="A68" s="946" t="s">
        <v>395</v>
      </c>
      <c r="B68" s="947" t="s">
        <v>774</v>
      </c>
      <c r="C68" s="301">
        <f ca="1">ROUND(C67*(1-((1+F70)/(1+F68))^F69)/(F68-F70),0)</f>
        <v>-68551</v>
      </c>
      <c r="D68" s="964" t="s">
        <v>758</v>
      </c>
      <c r="E68" s="949" t="s">
        <v>759</v>
      </c>
      <c r="F68" s="312">
        <f ca="1">F40</f>
        <v>5.5E-2</v>
      </c>
      <c r="O68" s="1427" t="s">
        <v>406</v>
      </c>
      <c r="P68" s="1466" t="s">
        <v>871</v>
      </c>
      <c r="Q68" s="1419">
        <f ca="1">ROUND(Q69-Q70*Q71,0)</f>
        <v>87662</v>
      </c>
      <c r="R68" s="1419" t="s">
        <v>414</v>
      </c>
    </row>
    <row r="69" spans="1:18" s="1383" customFormat="1" ht="13.5" thickBot="1">
      <c r="A69" s="950"/>
      <c r="B69" s="951"/>
      <c r="C69" s="306"/>
      <c r="D69" s="969" t="s">
        <v>762</v>
      </c>
      <c r="E69" s="949" t="s">
        <v>763</v>
      </c>
      <c r="F69" s="333">
        <f ca="1">F41</f>
        <v>28.29</v>
      </c>
      <c r="O69" s="1427" t="s">
        <v>411</v>
      </c>
      <c r="P69" s="1466" t="s">
        <v>872</v>
      </c>
      <c r="Q69" s="1419">
        <f ca="1">C39</f>
        <v>134322</v>
      </c>
      <c r="R69" s="1419" t="s">
        <v>818</v>
      </c>
    </row>
    <row r="70" spans="1:18" s="1383" customFormat="1" ht="13.5" thickBot="1">
      <c r="A70" s="953"/>
      <c r="B70" s="954"/>
      <c r="C70" s="310"/>
      <c r="D70" s="965"/>
      <c r="E70" s="949" t="s">
        <v>766</v>
      </c>
      <c r="F70" s="1053"/>
      <c r="O70" s="1427" t="s">
        <v>412</v>
      </c>
      <c r="P70" s="1466" t="s">
        <v>873</v>
      </c>
      <c r="Q70" s="1419">
        <f ca="1">C13</f>
        <v>666573</v>
      </c>
      <c r="R70" s="1419" t="s">
        <v>818</v>
      </c>
    </row>
    <row r="71" spans="1:18" s="1383" customFormat="1" ht="13.5" thickBot="1">
      <c r="A71" s="970" t="s">
        <v>396</v>
      </c>
      <c r="B71" s="971" t="s">
        <v>776</v>
      </c>
      <c r="C71" s="336">
        <f ca="1">ROUND(C68/F71,0)</f>
        <v>-569</v>
      </c>
      <c r="D71" s="972" t="s">
        <v>777</v>
      </c>
      <c r="E71" s="973" t="s">
        <v>778</v>
      </c>
      <c r="F71" s="339">
        <f ca="1">F43</f>
        <v>120.57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46660</v>
      </c>
      <c r="D75" s="1383"/>
      <c r="E75" s="1383"/>
      <c r="F75" s="1383"/>
      <c r="K75" s="1401"/>
      <c r="L75" s="1383"/>
      <c r="O75" s="1417" t="s">
        <v>409</v>
      </c>
      <c r="P75" s="1418" t="s">
        <v>838</v>
      </c>
      <c r="Q75" s="1419">
        <f ca="1">Q65+Q66</f>
        <v>2646665</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0.65300000000000002</v>
      </c>
    </row>
    <row r="80" spans="1:18">
      <c r="B80" s="340" t="s">
        <v>800</v>
      </c>
      <c r="C80" s="274">
        <f ca="1">ROUND(C75/C39,3)</f>
        <v>0.34699999999999998</v>
      </c>
    </row>
    <row r="81" spans="2:3">
      <c r="B81" s="270" t="s">
        <v>801</v>
      </c>
      <c r="C81" s="238"/>
    </row>
    <row r="82" spans="2:3">
      <c r="B82" s="273" t="s">
        <v>802</v>
      </c>
      <c r="C82" s="275">
        <f ca="1">1-C83</f>
        <v>0.748</v>
      </c>
    </row>
    <row r="83" spans="2:3">
      <c r="B83" s="273" t="s">
        <v>803</v>
      </c>
      <c r="C83" s="274">
        <f ca="1">ROUND(C13/C40,3)</f>
        <v>0.252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2425</v>
      </c>
      <c r="B1" s="2826"/>
      <c r="C1" s="2838"/>
      <c r="D1" s="2838"/>
      <c r="E1" s="2827"/>
      <c r="F1" s="2828"/>
      <c r="G1" s="2829"/>
      <c r="J1" s="2832" t="s">
        <v>2304</v>
      </c>
      <c r="K1" s="2833"/>
      <c r="L1" s="2833"/>
      <c r="M1" s="2833"/>
      <c r="N1" s="2833"/>
      <c r="O1" s="2833"/>
      <c r="P1" s="2833"/>
      <c r="Q1" s="2833"/>
      <c r="R1" s="2834"/>
      <c r="S1" s="2835"/>
      <c r="T1" s="2835"/>
      <c r="U1" s="2835"/>
    </row>
    <row r="2" spans="1:22" s="2847" customFormat="1" ht="13.15" customHeight="1">
      <c r="A2" s="1384" t="s">
        <v>2305</v>
      </c>
      <c r="B2" s="2837" t="e">
        <f>IF(D2="——",C40,C40+E2)</f>
        <v>#DIV/0!</v>
      </c>
      <c r="C2" s="2838" t="s">
        <v>2306</v>
      </c>
      <c r="D2" s="3437" t="s">
        <v>3351</v>
      </c>
      <c r="E2" s="3438"/>
      <c r="F2" s="2840"/>
      <c r="G2" s="2841"/>
      <c r="H2" s="2842"/>
      <c r="I2" s="2843"/>
      <c r="J2" s="3672" t="s">
        <v>2307</v>
      </c>
      <c r="K2" s="3673"/>
      <c r="L2" s="2844" t="s">
        <v>2308</v>
      </c>
      <c r="M2" s="2844" t="s">
        <v>2309</v>
      </c>
      <c r="N2" s="2844" t="s">
        <v>2310</v>
      </c>
      <c r="O2" s="2844" t="s">
        <v>2311</v>
      </c>
      <c r="P2" s="2844" t="s">
        <v>2312</v>
      </c>
      <c r="Q2" s="2845" t="s">
        <v>2313</v>
      </c>
      <c r="R2" s="2846" t="s">
        <v>2314</v>
      </c>
      <c r="S2" s="2835"/>
      <c r="T2" s="2835"/>
      <c r="U2" s="2835"/>
      <c r="V2" s="2843"/>
    </row>
    <row r="3" spans="1:22" s="2847" customFormat="1" ht="13.15" customHeight="1">
      <c r="A3" s="2848" t="s">
        <v>2315</v>
      </c>
      <c r="B3" s="2849" t="e">
        <f>ROUND(B2*10000/B4,0)</f>
        <v>#DIV/0!</v>
      </c>
      <c r="C3" s="2838" t="s">
        <v>2316</v>
      </c>
      <c r="D3" s="2838"/>
      <c r="E3" s="2839"/>
      <c r="F3" s="2840"/>
      <c r="G3" s="2841"/>
      <c r="H3" s="2842"/>
      <c r="I3" s="2843"/>
      <c r="J3" s="3674" t="s">
        <v>2317</v>
      </c>
      <c r="K3" s="3675"/>
      <c r="L3" s="2850"/>
      <c r="M3" s="2850"/>
      <c r="N3" s="2850"/>
      <c r="O3" s="2850"/>
      <c r="P3" s="2850"/>
      <c r="Q3" s="2851"/>
      <c r="R3" s="2852">
        <f>SUM(L3:Q3)</f>
        <v>0</v>
      </c>
      <c r="S3" s="2835"/>
      <c r="T3" s="2835"/>
      <c r="U3" s="2835"/>
      <c r="V3" s="2843"/>
    </row>
    <row r="4" spans="1:22" s="2847" customFormat="1" ht="13.15" customHeight="1">
      <c r="A4" s="2853" t="s">
        <v>2318</v>
      </c>
      <c r="B4" s="2854"/>
      <c r="C4" s="2838"/>
      <c r="D4" s="2838"/>
      <c r="E4" s="2839"/>
      <c r="F4" s="2840"/>
      <c r="G4" s="2841"/>
      <c r="H4" s="2842"/>
      <c r="I4" s="2843"/>
      <c r="J4" s="3674" t="s">
        <v>2319</v>
      </c>
      <c r="K4" s="3675"/>
      <c r="L4" s="2855"/>
      <c r="M4" s="2855"/>
      <c r="N4" s="2855"/>
      <c r="O4" s="2855"/>
      <c r="P4" s="2855"/>
      <c r="Q4" s="2856"/>
      <c r="R4" s="2857">
        <f>SUM(L4:Q4)</f>
        <v>0</v>
      </c>
      <c r="S4" s="2835"/>
      <c r="T4" s="2835"/>
      <c r="U4" s="2835"/>
      <c r="V4" s="2843"/>
    </row>
    <row r="5" spans="1:22" s="2847" customFormat="1" ht="13.15" customHeight="1" thickBot="1">
      <c r="A5" s="2858" t="s">
        <v>2320</v>
      </c>
      <c r="B5" s="2859"/>
      <c r="C5" s="2838"/>
      <c r="D5" s="2860"/>
      <c r="E5" s="2840"/>
      <c r="F5" s="2840"/>
      <c r="G5" s="2841"/>
      <c r="H5" s="2842"/>
      <c r="I5" s="2843"/>
      <c r="J5" s="2861" t="s">
        <v>2321</v>
      </c>
      <c r="K5" s="2862"/>
      <c r="L5" s="2862"/>
      <c r="M5" s="2863"/>
      <c r="N5" s="2863"/>
      <c r="O5" s="2863"/>
      <c r="P5" s="2863"/>
      <c r="Q5" s="2863"/>
      <c r="R5" s="2846">
        <f>SUM(R14,R19,R24,R25,R27,R28)</f>
        <v>0</v>
      </c>
      <c r="S5" s="2835"/>
      <c r="T5" s="2835" t="s">
        <v>2322</v>
      </c>
      <c r="U5" s="2835" t="e">
        <f>ROUND(R5*10000/365/R3,1)</f>
        <v>#DIV/0!</v>
      </c>
      <c r="V5" s="2843"/>
    </row>
    <row r="6" spans="1:22" s="2847" customFormat="1" ht="13.15" customHeight="1" thickBot="1">
      <c r="A6" s="3676" t="s">
        <v>2323</v>
      </c>
      <c r="B6" s="3677"/>
      <c r="C6" s="3678"/>
      <c r="D6" s="2864"/>
      <c r="E6" s="2865"/>
      <c r="F6" s="2866"/>
      <c r="G6" s="2867"/>
      <c r="H6" s="2842"/>
      <c r="I6" s="2843"/>
      <c r="J6" s="3679">
        <v>1</v>
      </c>
      <c r="K6" s="3680" t="s">
        <v>2324</v>
      </c>
      <c r="L6" s="2868" t="s">
        <v>2325</v>
      </c>
      <c r="M6" s="2869" t="s">
        <v>2326</v>
      </c>
      <c r="N6" s="2869" t="s">
        <v>2327</v>
      </c>
      <c r="O6" s="2869" t="s">
        <v>2328</v>
      </c>
      <c r="P6" s="2869" t="s">
        <v>2329</v>
      </c>
      <c r="Q6" s="2869" t="s">
        <v>2330</v>
      </c>
      <c r="R6" s="2852" t="s">
        <v>2331</v>
      </c>
      <c r="S6" s="2835"/>
      <c r="T6" s="2835" t="s">
        <v>2332</v>
      </c>
      <c r="U6" s="2835"/>
      <c r="V6" s="2843"/>
    </row>
    <row r="7" spans="1:22" s="2847" customFormat="1" ht="13.15" customHeight="1">
      <c r="A7" s="2870" t="s">
        <v>2333</v>
      </c>
      <c r="B7" s="2871"/>
      <c r="C7" s="2872"/>
      <c r="D7" s="2873">
        <f>SUM(D9,D10,D11,D17,0)</f>
        <v>0</v>
      </c>
      <c r="E7" s="2874" t="e">
        <f>E9+E10+E11+E17</f>
        <v>#DIV/0!</v>
      </c>
      <c r="F7" s="2875"/>
      <c r="G7" s="2876"/>
      <c r="H7" s="2842"/>
      <c r="I7" s="2843"/>
      <c r="J7" s="3679"/>
      <c r="K7" s="3681"/>
      <c r="L7" s="2877" t="s">
        <v>2334</v>
      </c>
      <c r="M7" s="2878"/>
      <c r="N7" s="2854"/>
      <c r="O7" s="2879"/>
      <c r="P7" s="2879"/>
      <c r="Q7" s="2880">
        <v>365</v>
      </c>
      <c r="R7" s="2881">
        <f>ROUND(M7*N7*O7*P7*Q7/10000,0)</f>
        <v>0</v>
      </c>
      <c r="S7" s="2835"/>
      <c r="T7" s="2835" t="s">
        <v>2335</v>
      </c>
      <c r="U7" s="2835"/>
      <c r="V7" s="2843"/>
    </row>
    <row r="8" spans="1:22" s="2847" customFormat="1" ht="13.15" customHeight="1">
      <c r="A8" s="2882" t="s">
        <v>2336</v>
      </c>
      <c r="B8" s="3683" t="s">
        <v>2337</v>
      </c>
      <c r="C8" s="3684"/>
      <c r="D8" s="2883" t="s">
        <v>2338</v>
      </c>
      <c r="E8" s="2884" t="s">
        <v>2339</v>
      </c>
      <c r="F8" s="2885" t="s">
        <v>2340</v>
      </c>
      <c r="G8" s="2886"/>
      <c r="H8" s="2842"/>
      <c r="I8" s="2843"/>
      <c r="J8" s="3679"/>
      <c r="K8" s="3681"/>
      <c r="L8" s="2877" t="s">
        <v>2341</v>
      </c>
      <c r="M8" s="2878"/>
      <c r="N8" s="2854"/>
      <c r="O8" s="2879"/>
      <c r="P8" s="2879"/>
      <c r="Q8" s="2880">
        <v>365</v>
      </c>
      <c r="R8" s="2881">
        <f t="shared" ref="R8:R13" si="0">ROUND(M8*N8*O8*P8*Q8/10000,0)</f>
        <v>0</v>
      </c>
      <c r="S8" s="2835"/>
      <c r="T8" s="2835" t="s">
        <v>2342</v>
      </c>
      <c r="U8" s="2835"/>
      <c r="V8" s="2843"/>
    </row>
    <row r="9" spans="1:22" s="2847" customFormat="1" ht="13.15" customHeight="1">
      <c r="A9" s="2882">
        <v>1</v>
      </c>
      <c r="B9" s="3683" t="s">
        <v>2343</v>
      </c>
      <c r="C9" s="3684"/>
      <c r="D9" s="2883">
        <f>ROUND(D6*E9,0)</f>
        <v>0</v>
      </c>
      <c r="E9" s="2887"/>
      <c r="F9" s="2888" t="s">
        <v>2344</v>
      </c>
      <c r="G9" s="2867"/>
      <c r="H9" s="2842"/>
      <c r="I9" s="2843"/>
      <c r="J9" s="3679"/>
      <c r="K9" s="3681"/>
      <c r="L9" s="2877" t="s">
        <v>2345</v>
      </c>
      <c r="M9" s="2878"/>
      <c r="N9" s="2854"/>
      <c r="O9" s="2879"/>
      <c r="P9" s="2879"/>
      <c r="Q9" s="2880">
        <v>365</v>
      </c>
      <c r="R9" s="2881">
        <f t="shared" si="0"/>
        <v>0</v>
      </c>
      <c r="S9" s="2835"/>
      <c r="T9" s="2835"/>
      <c r="U9" s="2835"/>
      <c r="V9" s="2843"/>
    </row>
    <row r="10" spans="1:22" s="2847" customFormat="1" ht="13.15" customHeight="1">
      <c r="A10" s="2882">
        <v>2</v>
      </c>
      <c r="B10" s="3683" t="s">
        <v>2346</v>
      </c>
      <c r="C10" s="3684"/>
      <c r="D10" s="2883">
        <f>ROUND(D6*E10,0)</f>
        <v>0</v>
      </c>
      <c r="E10" s="2887"/>
      <c r="F10" s="2888" t="s">
        <v>2347</v>
      </c>
      <c r="G10" s="2867"/>
      <c r="H10" s="2842"/>
      <c r="I10" s="2843"/>
      <c r="J10" s="3679"/>
      <c r="K10" s="3681"/>
      <c r="L10" s="2877" t="s">
        <v>2348</v>
      </c>
      <c r="M10" s="2878"/>
      <c r="N10" s="2854"/>
      <c r="O10" s="2879"/>
      <c r="P10" s="2879"/>
      <c r="Q10" s="2880">
        <v>365</v>
      </c>
      <c r="R10" s="2881">
        <f t="shared" si="0"/>
        <v>0</v>
      </c>
      <c r="S10" s="2835"/>
      <c r="T10" s="2835"/>
      <c r="U10" s="2835"/>
      <c r="V10" s="2843"/>
    </row>
    <row r="11" spans="1:22" s="2847" customFormat="1" ht="13.15" customHeight="1">
      <c r="A11" s="2882">
        <v>3</v>
      </c>
      <c r="B11" s="3683" t="s">
        <v>2349</v>
      </c>
      <c r="C11" s="3684"/>
      <c r="D11" s="2883">
        <f>D12+D14+D15+D16</f>
        <v>0</v>
      </c>
      <c r="E11" s="2889" t="e">
        <f>D11/D6</f>
        <v>#DIV/0!</v>
      </c>
      <c r="F11" s="2885"/>
      <c r="G11" s="2886"/>
      <c r="H11" s="2842"/>
      <c r="I11" s="2843"/>
      <c r="J11" s="3679"/>
      <c r="K11" s="3681"/>
      <c r="L11" s="2877" t="s">
        <v>2350</v>
      </c>
      <c r="M11" s="2878"/>
      <c r="N11" s="2854"/>
      <c r="O11" s="2879"/>
      <c r="P11" s="2879"/>
      <c r="Q11" s="2880">
        <v>365</v>
      </c>
      <c r="R11" s="2881">
        <f t="shared" si="0"/>
        <v>0</v>
      </c>
      <c r="S11" s="2835"/>
      <c r="T11" s="2835"/>
      <c r="U11" s="2835"/>
      <c r="V11" s="2843"/>
    </row>
    <row r="12" spans="1:22" s="2847" customFormat="1" ht="13.15" customHeight="1">
      <c r="A12" s="2890" t="s">
        <v>2351</v>
      </c>
      <c r="B12" s="3685" t="s">
        <v>2352</v>
      </c>
      <c r="C12" s="3686"/>
      <c r="D12" s="2891">
        <f>ROUND(D13*1.2%*(1-30%),0)</f>
        <v>0</v>
      </c>
      <c r="E12" s="2892">
        <v>1.2E-2</v>
      </c>
      <c r="F12" s="2885" t="s">
        <v>2353</v>
      </c>
      <c r="G12" s="2886"/>
      <c r="H12" s="2842"/>
      <c r="I12" s="2843"/>
      <c r="J12" s="3679"/>
      <c r="K12" s="3681"/>
      <c r="L12" s="2877" t="s">
        <v>2354</v>
      </c>
      <c r="M12" s="2878"/>
      <c r="N12" s="2854"/>
      <c r="O12" s="2879"/>
      <c r="P12" s="2879"/>
      <c r="Q12" s="2880">
        <v>365</v>
      </c>
      <c r="R12" s="2881">
        <f t="shared" si="0"/>
        <v>0</v>
      </c>
      <c r="S12" s="2835"/>
      <c r="T12" s="2835"/>
      <c r="U12" s="2835"/>
      <c r="V12" s="2843"/>
    </row>
    <row r="13" spans="1:22" s="2847" customFormat="1" ht="13.15" customHeight="1">
      <c r="A13" s="2890"/>
      <c r="B13" s="2893"/>
      <c r="C13" s="2894" t="s">
        <v>2355</v>
      </c>
      <c r="D13" s="2895"/>
      <c r="E13" s="2896"/>
      <c r="F13" s="2885"/>
      <c r="G13" s="2886"/>
      <c r="H13" s="2842"/>
      <c r="I13" s="2843"/>
      <c r="J13" s="3679"/>
      <c r="K13" s="3681"/>
      <c r="L13" s="2877" t="s">
        <v>2356</v>
      </c>
      <c r="M13" s="2878"/>
      <c r="N13" s="2854"/>
      <c r="O13" s="2879"/>
      <c r="P13" s="2879"/>
      <c r="Q13" s="2880">
        <v>365</v>
      </c>
      <c r="R13" s="2881">
        <f t="shared" si="0"/>
        <v>0</v>
      </c>
      <c r="S13" s="2835"/>
      <c r="T13" s="2835"/>
      <c r="U13" s="2835"/>
      <c r="V13" s="2843"/>
    </row>
    <row r="14" spans="1:22" s="2847" customFormat="1" ht="13.15" customHeight="1">
      <c r="A14" s="2890" t="s">
        <v>2357</v>
      </c>
      <c r="B14" s="3685" t="s">
        <v>2358</v>
      </c>
      <c r="C14" s="3686"/>
      <c r="D14" s="2891">
        <f>ROUND(E14*B5/10000,0)</f>
        <v>0</v>
      </c>
      <c r="E14" s="2880"/>
      <c r="F14" s="2885" t="s">
        <v>2359</v>
      </c>
      <c r="G14" s="2886"/>
      <c r="H14" s="2842"/>
      <c r="I14" s="2843"/>
      <c r="J14" s="3679"/>
      <c r="K14" s="3682"/>
      <c r="L14" s="2897" t="s">
        <v>2360</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2361</v>
      </c>
      <c r="B15" s="3685" t="s">
        <v>2362</v>
      </c>
      <c r="C15" s="3686"/>
      <c r="D15" s="2891">
        <f>ROUND(D6*E15,0)</f>
        <v>0</v>
      </c>
      <c r="E15" s="2892">
        <v>5.5E-2</v>
      </c>
      <c r="F15" s="2885" t="s">
        <v>2363</v>
      </c>
      <c r="G15" s="2867"/>
      <c r="H15" s="2842"/>
      <c r="I15" s="2843"/>
      <c r="J15" s="3679">
        <v>2</v>
      </c>
      <c r="K15" s="3680" t="s">
        <v>2364</v>
      </c>
      <c r="L15" s="2877" t="s">
        <v>2365</v>
      </c>
      <c r="M15" s="2878" t="s">
        <v>2366</v>
      </c>
      <c r="N15" s="2878" t="s">
        <v>2367</v>
      </c>
      <c r="O15" s="2879" t="s">
        <v>2368</v>
      </c>
      <c r="P15" s="2879" t="s">
        <v>2330</v>
      </c>
      <c r="Q15" s="2854" t="s">
        <v>2369</v>
      </c>
      <c r="R15" s="2901" t="s">
        <v>2331</v>
      </c>
      <c r="S15" s="2835"/>
      <c r="T15" s="2835"/>
      <c r="U15" s="2835"/>
      <c r="V15" s="2843"/>
    </row>
    <row r="16" spans="1:22" s="2847" customFormat="1" ht="13.15" customHeight="1">
      <c r="A16" s="2890" t="s">
        <v>2370</v>
      </c>
      <c r="B16" s="3685" t="s">
        <v>2371</v>
      </c>
      <c r="C16" s="3686"/>
      <c r="D16" s="2902">
        <f>D6*E16</f>
        <v>0</v>
      </c>
      <c r="E16" s="2903"/>
      <c r="F16" s="2888" t="s">
        <v>2372</v>
      </c>
      <c r="G16" s="2867"/>
      <c r="H16" s="2842"/>
      <c r="I16" s="2843"/>
      <c r="J16" s="3679"/>
      <c r="K16" s="3681"/>
      <c r="L16" s="2877" t="s">
        <v>2373</v>
      </c>
      <c r="M16" s="2878"/>
      <c r="N16" s="2878"/>
      <c r="O16" s="2879"/>
      <c r="P16" s="2880">
        <v>365</v>
      </c>
      <c r="Q16" s="2854"/>
      <c r="R16" s="2901">
        <f>ROUND(M16*N16*O16*P16/10000,0)</f>
        <v>0</v>
      </c>
      <c r="S16" s="2835"/>
      <c r="T16" s="2835"/>
      <c r="U16" s="2835"/>
      <c r="V16" s="2843"/>
    </row>
    <row r="17" spans="1:22" s="2847" customFormat="1" ht="13.15" customHeight="1" thickBot="1">
      <c r="A17" s="2904">
        <v>4</v>
      </c>
      <c r="B17" s="3687" t="s">
        <v>2374</v>
      </c>
      <c r="C17" s="3688"/>
      <c r="D17" s="2905">
        <f>ROUND(D6*E17,0)</f>
        <v>0</v>
      </c>
      <c r="E17" s="2906"/>
      <c r="F17" s="2907" t="s">
        <v>2375</v>
      </c>
      <c r="G17" s="2867"/>
      <c r="H17" s="2842"/>
      <c r="I17" s="2843"/>
      <c r="J17" s="3679"/>
      <c r="K17" s="3681"/>
      <c r="L17" s="2877" t="s">
        <v>2376</v>
      </c>
      <c r="M17" s="2878"/>
      <c r="N17" s="2878"/>
      <c r="O17" s="2879"/>
      <c r="P17" s="2880">
        <v>365</v>
      </c>
      <c r="Q17" s="2854"/>
      <c r="R17" s="2901">
        <f>ROUND(M17*N17*O17*P17/10000,0)</f>
        <v>0</v>
      </c>
      <c r="S17" s="2835"/>
      <c r="T17" s="2835"/>
      <c r="U17" s="2835"/>
      <c r="V17" s="2843"/>
    </row>
    <row r="18" spans="1:22" s="2847" customFormat="1" ht="13.15" customHeight="1" thickBot="1">
      <c r="A18" s="2870" t="s">
        <v>2377</v>
      </c>
      <c r="B18" s="2871"/>
      <c r="C18" s="2871"/>
      <c r="D18" s="2908">
        <f>ROUND(D6*E18,0)</f>
        <v>0</v>
      </c>
      <c r="E18" s="2909"/>
      <c r="F18" s="2910" t="s">
        <v>2378</v>
      </c>
      <c r="G18" s="2867"/>
      <c r="H18" s="2842"/>
      <c r="I18" s="2843"/>
      <c r="J18" s="3679"/>
      <c r="K18" s="3681"/>
      <c r="L18" s="2877" t="s">
        <v>2379</v>
      </c>
      <c r="M18" s="2878"/>
      <c r="N18" s="2878"/>
      <c r="O18" s="2879"/>
      <c r="P18" s="2880">
        <v>365</v>
      </c>
      <c r="Q18" s="2854"/>
      <c r="R18" s="2901">
        <f>ROUND(M18*N18*O18*P18/10000,0)</f>
        <v>0</v>
      </c>
      <c r="S18" s="2835"/>
      <c r="T18" s="2835"/>
      <c r="U18" s="2835"/>
      <c r="V18" s="2843"/>
    </row>
    <row r="19" spans="1:22" s="2847" customFormat="1" ht="13.15" customHeight="1" thickBot="1">
      <c r="A19" s="2911" t="s">
        <v>2380</v>
      </c>
      <c r="B19" s="2865"/>
      <c r="C19" s="2865"/>
      <c r="D19" s="2865"/>
      <c r="E19" s="2865"/>
      <c r="F19" s="2866"/>
      <c r="G19" s="2886"/>
      <c r="H19" s="2842"/>
      <c r="I19" s="2843"/>
      <c r="J19" s="3679"/>
      <c r="K19" s="3682"/>
      <c r="L19" s="2897" t="s">
        <v>2360</v>
      </c>
      <c r="M19" s="2898"/>
      <c r="N19" s="2898">
        <f>SUM(N16:N18)</f>
        <v>0</v>
      </c>
      <c r="O19" s="2899"/>
      <c r="P19" s="2912" t="s">
        <v>2424</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79">
        <v>3</v>
      </c>
      <c r="K20" s="3680" t="s">
        <v>2381</v>
      </c>
      <c r="L20" s="2877" t="s">
        <v>2382</v>
      </c>
      <c r="M20" s="2878" t="s">
        <v>2383</v>
      </c>
      <c r="N20" s="2915" t="s">
        <v>2384</v>
      </c>
      <c r="O20" s="2879" t="s">
        <v>2385</v>
      </c>
      <c r="P20" s="2880" t="s">
        <v>2386</v>
      </c>
      <c r="Q20" s="2854" t="s">
        <v>2387</v>
      </c>
      <c r="R20" s="2901" t="s">
        <v>2388</v>
      </c>
      <c r="S20" s="2916"/>
      <c r="T20" s="2916"/>
      <c r="U20" s="2916"/>
      <c r="V20" s="2843"/>
    </row>
    <row r="21" spans="1:22" s="2847" customFormat="1" ht="13.15" customHeight="1">
      <c r="A21" s="2870"/>
      <c r="B21" s="2871"/>
      <c r="C21" s="2917" t="s">
        <v>2389</v>
      </c>
      <c r="D21" s="2918" t="s">
        <v>2390</v>
      </c>
      <c r="E21" s="2919" t="s">
        <v>2391</v>
      </c>
      <c r="F21" s="2914"/>
      <c r="G21" s="2886"/>
      <c r="H21" s="2842"/>
      <c r="I21" s="2843"/>
      <c r="J21" s="3679"/>
      <c r="K21" s="3681"/>
      <c r="L21" s="2877" t="s">
        <v>2392</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2393</v>
      </c>
      <c r="D22" s="2922" t="s">
        <v>2394</v>
      </c>
      <c r="E22" s="2923" t="s">
        <v>2395</v>
      </c>
      <c r="F22" s="2914"/>
      <c r="G22" s="2924"/>
      <c r="H22" s="2842"/>
      <c r="I22" s="2843"/>
      <c r="J22" s="3679"/>
      <c r="K22" s="3681"/>
      <c r="L22" s="2877" t="s">
        <v>2396</v>
      </c>
      <c r="M22" s="2878"/>
      <c r="N22" s="2878"/>
      <c r="O22" s="2879"/>
      <c r="P22" s="2880">
        <v>365</v>
      </c>
      <c r="Q22" s="2854"/>
      <c r="R22" s="2920">
        <f>ROUND(M22*N22*O22*P22/10000,0)</f>
        <v>0</v>
      </c>
      <c r="S22" s="2916"/>
      <c r="T22" s="2916"/>
      <c r="U22" s="2916"/>
      <c r="V22" s="2843"/>
    </row>
    <row r="23" spans="1:22" s="2847" customFormat="1" ht="13.15" customHeight="1">
      <c r="A23" s="2925">
        <v>1</v>
      </c>
      <c r="B23" s="2926" t="s">
        <v>2397</v>
      </c>
      <c r="C23" s="2927">
        <f>D6</f>
        <v>0</v>
      </c>
      <c r="D23" s="2928">
        <f>C23*(1+D24)</f>
        <v>0</v>
      </c>
      <c r="E23" s="2929">
        <f>D23*(1+E24)</f>
        <v>0</v>
      </c>
      <c r="F23" s="2930"/>
      <c r="G23" s="2931"/>
      <c r="H23" s="2842"/>
      <c r="I23" s="2843"/>
      <c r="J23" s="3679"/>
      <c r="K23" s="3681"/>
      <c r="L23" s="2877" t="s">
        <v>2398</v>
      </c>
      <c r="M23" s="2878"/>
      <c r="N23" s="2878"/>
      <c r="O23" s="2879"/>
      <c r="P23" s="2880">
        <v>365</v>
      </c>
      <c r="Q23" s="2854"/>
      <c r="R23" s="2920">
        <f>ROUND(M23*N23*O23*P23/10000,0)</f>
        <v>0</v>
      </c>
      <c r="S23" s="2835"/>
      <c r="T23" s="2835"/>
      <c r="U23" s="2835"/>
      <c r="V23" s="2843"/>
    </row>
    <row r="24" spans="1:22" s="2847" customFormat="1" ht="13.15" customHeight="1">
      <c r="A24" s="2932"/>
      <c r="B24" s="2933" t="s">
        <v>2399</v>
      </c>
      <c r="C24" s="2934"/>
      <c r="D24" s="2935"/>
      <c r="E24" s="2936"/>
      <c r="F24" s="2937"/>
      <c r="G24" s="2931"/>
      <c r="H24" s="2842"/>
      <c r="I24" s="2843"/>
      <c r="J24" s="3679"/>
      <c r="K24" s="3682"/>
      <c r="L24" s="2897" t="s">
        <v>2360</v>
      </c>
      <c r="M24" s="2898">
        <f>SUM(M21:M23)</f>
        <v>0</v>
      </c>
      <c r="N24" s="2898"/>
      <c r="O24" s="2899"/>
      <c r="P24" s="2912" t="s">
        <v>2424</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2400</v>
      </c>
      <c r="L25" s="2940"/>
      <c r="M25" s="2940"/>
      <c r="N25" s="2940"/>
      <c r="O25" s="2940"/>
      <c r="P25" s="2941"/>
      <c r="Q25" s="2942">
        <v>0</v>
      </c>
      <c r="R25" s="2913">
        <f>ROUND(R14*Q25,0)</f>
        <v>0</v>
      </c>
      <c r="S25" s="2835"/>
      <c r="T25" s="2835"/>
      <c r="U25" s="2835"/>
      <c r="V25" s="2943"/>
    </row>
    <row r="26" spans="1:22" s="2944" customFormat="1" ht="13.15" customHeight="1">
      <c r="A26" s="2925">
        <v>2</v>
      </c>
      <c r="B26" s="2926" t="s">
        <v>2401</v>
      </c>
      <c r="C26" s="2927">
        <f>D7</f>
        <v>0</v>
      </c>
      <c r="D26" s="2928">
        <f>D23*D27</f>
        <v>0</v>
      </c>
      <c r="E26" s="2929">
        <f>E23*E27</f>
        <v>0</v>
      </c>
      <c r="F26" s="2930"/>
      <c r="G26" s="2931"/>
      <c r="H26" s="2842"/>
      <c r="I26" s="2843"/>
      <c r="J26" s="3689">
        <v>5</v>
      </c>
      <c r="K26" s="2945" t="s">
        <v>2402</v>
      </c>
      <c r="L26" s="2946"/>
      <c r="M26" s="2947"/>
      <c r="N26" s="2948" t="s">
        <v>2403</v>
      </c>
      <c r="O26" s="2948" t="s">
        <v>2404</v>
      </c>
      <c r="P26" s="2949" t="s">
        <v>2405</v>
      </c>
      <c r="Q26" s="2949" t="s">
        <v>2406</v>
      </c>
      <c r="R26" s="2852" t="s">
        <v>2331</v>
      </c>
      <c r="S26" s="2950"/>
      <c r="T26" s="2950"/>
      <c r="U26" s="2950"/>
      <c r="V26" s="2943"/>
    </row>
    <row r="27" spans="1:22" s="2847" customFormat="1" ht="13.15" customHeight="1">
      <c r="A27" s="2932"/>
      <c r="B27" s="2933" t="s">
        <v>2407</v>
      </c>
      <c r="C27" s="2951" t="e">
        <f>E7</f>
        <v>#DIV/0!</v>
      </c>
      <c r="D27" s="2935"/>
      <c r="E27" s="2936"/>
      <c r="F27" s="2937"/>
      <c r="G27" s="2931"/>
      <c r="H27" s="2952"/>
      <c r="I27" s="2943"/>
      <c r="J27" s="3690"/>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2408</v>
      </c>
      <c r="F28" s="2937"/>
      <c r="G28" s="2924"/>
      <c r="H28" s="2952"/>
      <c r="I28" s="2943"/>
      <c r="J28" s="2958">
        <v>6</v>
      </c>
      <c r="K28" s="2959" t="s">
        <v>2409</v>
      </c>
      <c r="L28" s="2960" t="s">
        <v>2410</v>
      </c>
      <c r="M28" s="2961"/>
      <c r="N28" s="2960" t="s">
        <v>2411</v>
      </c>
      <c r="O28" s="2962"/>
      <c r="P28" s="2960" t="s">
        <v>2412</v>
      </c>
      <c r="Q28" s="2963">
        <v>1.4999999999999999E-2</v>
      </c>
      <c r="R28" s="2964"/>
      <c r="S28" s="2916"/>
      <c r="T28" s="2916"/>
      <c r="U28" s="2916"/>
      <c r="V28" s="2943"/>
    </row>
    <row r="29" spans="1:22" s="2944" customFormat="1" ht="13.15" customHeight="1">
      <c r="A29" s="2925">
        <v>3</v>
      </c>
      <c r="B29" s="2926" t="s">
        <v>2413</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2407</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2414</v>
      </c>
      <c r="K31" s="2833"/>
      <c r="L31" s="2833"/>
      <c r="M31" s="2833"/>
      <c r="N31" s="2833"/>
      <c r="O31" s="2833"/>
      <c r="P31" s="2833"/>
      <c r="Q31" s="2833"/>
      <c r="R31" s="2834"/>
      <c r="S31" s="2916"/>
      <c r="T31" s="2835"/>
      <c r="U31" s="2835"/>
      <c r="V31" s="2943"/>
    </row>
    <row r="32" spans="1:22" s="2944" customFormat="1" ht="13.15" customHeight="1">
      <c r="A32" s="2925">
        <v>4</v>
      </c>
      <c r="B32" s="2926" t="s">
        <v>2415</v>
      </c>
      <c r="C32" s="2927">
        <f>C23-C26-C29</f>
        <v>0</v>
      </c>
      <c r="D32" s="2928">
        <f>D23-D26-D29</f>
        <v>0</v>
      </c>
      <c r="E32" s="2929">
        <f>E23-E26-E29</f>
        <v>0</v>
      </c>
      <c r="F32" s="2930"/>
      <c r="G32" s="2924"/>
      <c r="H32" s="2842"/>
      <c r="I32" s="2843"/>
      <c r="J32" s="3672" t="s">
        <v>2307</v>
      </c>
      <c r="K32" s="3673"/>
      <c r="L32" s="2844" t="s">
        <v>2308</v>
      </c>
      <c r="M32" s="2844" t="s">
        <v>2309</v>
      </c>
      <c r="N32" s="2844" t="s">
        <v>2310</v>
      </c>
      <c r="O32" s="2844" t="s">
        <v>2311</v>
      </c>
      <c r="P32" s="2844" t="s">
        <v>2312</v>
      </c>
      <c r="Q32" s="2845" t="s">
        <v>2313</v>
      </c>
      <c r="R32" s="2967" t="s">
        <v>2314</v>
      </c>
      <c r="S32" s="2916"/>
      <c r="T32" s="2835"/>
      <c r="U32" s="2835"/>
      <c r="V32" s="2943"/>
    </row>
    <row r="33" spans="1:23" s="2847" customFormat="1" ht="13.15" customHeight="1">
      <c r="A33" s="2925"/>
      <c r="B33" s="2926"/>
      <c r="C33" s="2927"/>
      <c r="D33" s="2968"/>
      <c r="E33" s="2969"/>
      <c r="F33" s="2930"/>
      <c r="G33" s="2924"/>
      <c r="H33" s="2952"/>
      <c r="I33" s="2943"/>
      <c r="J33" s="3674" t="s">
        <v>2317</v>
      </c>
      <c r="K33" s="3675"/>
      <c r="L33" s="2850"/>
      <c r="M33" s="2850"/>
      <c r="N33" s="2850"/>
      <c r="O33" s="2850"/>
      <c r="P33" s="2850"/>
      <c r="Q33" s="2851"/>
      <c r="R33" s="2970">
        <f>SUM(L33:Q33)</f>
        <v>0</v>
      </c>
      <c r="S33" s="2916"/>
      <c r="T33" s="2835"/>
      <c r="U33" s="2835"/>
      <c r="V33" s="2843"/>
    </row>
    <row r="34" spans="1:23" s="2847" customFormat="1" ht="13.15" customHeight="1">
      <c r="A34" s="2925">
        <v>5</v>
      </c>
      <c r="B34" s="2926" t="s">
        <v>2416</v>
      </c>
      <c r="C34" s="2971"/>
      <c r="D34" s="2972"/>
      <c r="E34" s="2973"/>
      <c r="F34" s="2930"/>
      <c r="G34" s="2924"/>
      <c r="H34" s="2952"/>
      <c r="I34" s="2943"/>
      <c r="J34" s="3674" t="s">
        <v>2319</v>
      </c>
      <c r="K34" s="3675"/>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2417</v>
      </c>
      <c r="C35" s="2975"/>
      <c r="D35" s="2976"/>
      <c r="E35" s="2977"/>
      <c r="F35" s="2930"/>
      <c r="G35" s="2978"/>
      <c r="H35" s="2842"/>
      <c r="I35" s="2943"/>
      <c r="J35" s="2861" t="s">
        <v>2321</v>
      </c>
      <c r="K35" s="2862"/>
      <c r="L35" s="2862"/>
      <c r="M35" s="2863"/>
      <c r="N35" s="2863"/>
      <c r="O35" s="2863"/>
      <c r="P35" s="2863"/>
      <c r="Q35" s="2863"/>
      <c r="R35" s="2979">
        <f>R40+R41+R43</f>
        <v>0</v>
      </c>
      <c r="S35" s="2916"/>
      <c r="T35" s="2835" t="s">
        <v>2322</v>
      </c>
      <c r="U35" s="2835"/>
      <c r="V35" s="2843"/>
    </row>
    <row r="36" spans="1:23" s="2847" customFormat="1" ht="13.15" customHeight="1" thickBot="1">
      <c r="A36" s="2925">
        <v>7</v>
      </c>
      <c r="B36" s="2980" t="s">
        <v>2418</v>
      </c>
      <c r="C36" s="2981"/>
      <c r="D36" s="2982"/>
      <c r="E36" s="2983"/>
      <c r="F36" s="2984">
        <f>C36+D36+E36</f>
        <v>0</v>
      </c>
      <c r="G36" s="2924"/>
      <c r="H36" s="2842"/>
      <c r="I36" s="2843"/>
      <c r="J36" s="3679">
        <v>1</v>
      </c>
      <c r="K36" s="3680" t="s">
        <v>2419</v>
      </c>
      <c r="L36" s="2868"/>
      <c r="M36" s="2869"/>
      <c r="N36" s="2869"/>
      <c r="O36" s="2869"/>
      <c r="P36" s="2869"/>
      <c r="Q36" s="2869"/>
      <c r="R36" s="2852" t="s">
        <v>2331</v>
      </c>
      <c r="S36" s="2916"/>
      <c r="T36" s="2835" t="s">
        <v>2332</v>
      </c>
      <c r="U36" s="2835"/>
      <c r="V36" s="2843"/>
    </row>
    <row r="37" spans="1:23" s="2847" customFormat="1" ht="13.15" customHeight="1">
      <c r="A37" s="2925"/>
      <c r="B37" s="2926"/>
      <c r="C37" s="2926"/>
      <c r="D37" s="2926"/>
      <c r="E37" s="2926"/>
      <c r="F37" s="2930"/>
      <c r="G37" s="2924"/>
      <c r="H37" s="2842"/>
      <c r="I37" s="2843"/>
      <c r="J37" s="3679"/>
      <c r="K37" s="3681"/>
      <c r="L37" s="2877"/>
      <c r="M37" s="2878"/>
      <c r="N37" s="2854"/>
      <c r="O37" s="2879"/>
      <c r="P37" s="2879"/>
      <c r="Q37" s="2880"/>
      <c r="R37" s="2881"/>
      <c r="S37" s="2916"/>
      <c r="T37" s="2835" t="s">
        <v>2335</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79"/>
      <c r="K38" s="3681"/>
      <c r="L38" s="2877"/>
      <c r="M38" s="2878"/>
      <c r="N38" s="2854"/>
      <c r="O38" s="2879"/>
      <c r="P38" s="2879"/>
      <c r="Q38" s="2880"/>
      <c r="R38" s="2881"/>
      <c r="S38" s="2916"/>
      <c r="T38" s="2835" t="s">
        <v>2342</v>
      </c>
      <c r="U38" s="2835"/>
      <c r="V38" s="2843"/>
    </row>
    <row r="39" spans="1:23" s="2847" customFormat="1" ht="13.15" customHeight="1">
      <c r="A39" s="2925">
        <v>9</v>
      </c>
      <c r="B39" s="2926" t="s">
        <v>2420</v>
      </c>
      <c r="C39" s="2891" t="e">
        <f>C38</f>
        <v>#DIV/0!</v>
      </c>
      <c r="D39" s="2926">
        <f>D38/(1+D34)^C36</f>
        <v>0</v>
      </c>
      <c r="E39" s="2926">
        <f>E38/(1+E34)^(C36+D36)</f>
        <v>0</v>
      </c>
      <c r="F39" s="2930"/>
      <c r="G39" s="2985"/>
      <c r="H39" s="2842"/>
      <c r="I39" s="2843"/>
      <c r="J39" s="3679"/>
      <c r="K39" s="3681"/>
      <c r="L39" s="2877"/>
      <c r="M39" s="2878"/>
      <c r="N39" s="2854"/>
      <c r="O39" s="2879"/>
      <c r="P39" s="2879"/>
      <c r="Q39" s="2880"/>
      <c r="R39" s="2881"/>
      <c r="S39" s="2916"/>
      <c r="T39" s="2835"/>
      <c r="U39" s="2835"/>
      <c r="V39" s="2843"/>
    </row>
    <row r="40" spans="1:23" s="2847" customFormat="1" ht="13.15" customHeight="1">
      <c r="A40" s="2986">
        <v>10</v>
      </c>
      <c r="B40" s="2926" t="s">
        <v>2421</v>
      </c>
      <c r="C40" s="2987" t="e">
        <f>C39+D39+E39</f>
        <v>#DIV/0!</v>
      </c>
      <c r="D40" s="2988"/>
      <c r="E40" s="2988"/>
      <c r="F40" s="2989"/>
      <c r="G40" s="2924"/>
      <c r="H40" s="2842"/>
      <c r="I40" s="2843"/>
      <c r="J40" s="3679"/>
      <c r="K40" s="3682"/>
      <c r="L40" s="2897" t="s">
        <v>2360</v>
      </c>
      <c r="M40" s="2898"/>
      <c r="N40" s="2898"/>
      <c r="O40" s="2899"/>
      <c r="P40" s="2899"/>
      <c r="Q40" s="2900"/>
      <c r="R40" s="2846">
        <f>SUM(R37:R39)</f>
        <v>0</v>
      </c>
      <c r="S40" s="2916"/>
      <c r="T40" s="2835"/>
      <c r="U40" s="2835"/>
      <c r="V40" s="2843"/>
    </row>
    <row r="41" spans="1:23" s="2847" customFormat="1" ht="13.15" customHeight="1" thickBot="1">
      <c r="A41" s="2990">
        <v>11</v>
      </c>
      <c r="B41" s="2991" t="s">
        <v>2422</v>
      </c>
      <c r="C41" s="2991" t="e">
        <f>ROUND(C40*10000/B4,0)</f>
        <v>#DIV/0!</v>
      </c>
      <c r="D41" s="2992"/>
      <c r="E41" s="2992"/>
      <c r="F41" s="2993"/>
      <c r="G41" s="2994"/>
      <c r="H41" s="2842"/>
      <c r="I41" s="2843"/>
      <c r="J41" s="2938">
        <v>2</v>
      </c>
      <c r="K41" s="2939" t="s">
        <v>2400</v>
      </c>
      <c r="L41" s="2940"/>
      <c r="M41" s="2940"/>
      <c r="N41" s="2940"/>
      <c r="O41" s="2940"/>
      <c r="P41" s="2941"/>
      <c r="Q41" s="2942"/>
      <c r="R41" s="2913">
        <f>ROUND(R40*Q41,0)</f>
        <v>0</v>
      </c>
      <c r="S41" s="2916"/>
      <c r="T41" s="2835"/>
      <c r="U41" s="2950"/>
      <c r="V41" s="2843"/>
    </row>
    <row r="42" spans="1:23" s="2847" customFormat="1" ht="13.15" customHeight="1">
      <c r="G42" s="2994"/>
      <c r="H42" s="2842"/>
      <c r="I42" s="2843"/>
      <c r="J42" s="3689">
        <v>3</v>
      </c>
      <c r="K42" s="2945" t="s">
        <v>2402</v>
      </c>
      <c r="L42" s="2946"/>
      <c r="M42" s="2947"/>
      <c r="N42" s="2948" t="s">
        <v>2403</v>
      </c>
      <c r="O42" s="2948" t="s">
        <v>2404</v>
      </c>
      <c r="P42" s="2949" t="s">
        <v>2405</v>
      </c>
      <c r="Q42" s="2949" t="s">
        <v>2406</v>
      </c>
      <c r="R42" s="2852" t="s">
        <v>2331</v>
      </c>
      <c r="S42" s="2950"/>
      <c r="T42" s="2950"/>
      <c r="U42" s="2835"/>
      <c r="V42" s="2843"/>
    </row>
    <row r="43" spans="1:23" ht="13.15" customHeight="1">
      <c r="A43" s="2847"/>
      <c r="B43" s="2847"/>
      <c r="C43" s="2847"/>
      <c r="D43" s="2847"/>
      <c r="E43" s="2847"/>
      <c r="F43" s="2847"/>
      <c r="I43" s="2830"/>
      <c r="J43" s="3690"/>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2409</v>
      </c>
      <c r="L44" s="2998" t="s">
        <v>2410</v>
      </c>
      <c r="M44" s="2961"/>
      <c r="N44" s="2998" t="s">
        <v>2411</v>
      </c>
      <c r="O44" s="2961"/>
      <c r="P44" s="2998" t="s">
        <v>2412</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1656</v>
      </c>
      <c r="B1" s="1867"/>
      <c r="C1" s="1867"/>
      <c r="D1" s="1867"/>
      <c r="E1" s="1868"/>
      <c r="F1" s="2701"/>
      <c r="G1" s="1488"/>
      <c r="H1" s="1488"/>
      <c r="I1" s="1488"/>
      <c r="J1" s="1488"/>
      <c r="K1" s="1488"/>
      <c r="L1" s="1488"/>
      <c r="M1" s="1488"/>
      <c r="N1" s="1488"/>
      <c r="O1" s="1488"/>
      <c r="P1" s="1488"/>
      <c r="Q1" s="1488"/>
      <c r="R1" s="1488"/>
      <c r="S1" s="1488"/>
    </row>
    <row r="2" spans="1:22" ht="15.75">
      <c r="A2" s="1869" t="s">
        <v>1460</v>
      </c>
      <c r="B2" s="1870">
        <f ca="1">SUMIF(B6:B13,"&lt;&gt;#ref!",B6:B13)</f>
        <v>268.97449999999998</v>
      </c>
      <c r="C2" s="1871" t="s">
        <v>1649</v>
      </c>
      <c r="D2" s="1872" t="s">
        <v>1650</v>
      </c>
      <c r="E2" s="2601">
        <f>SUM(E6:E13)</f>
        <v>120.57</v>
      </c>
      <c r="F2" s="2701"/>
      <c r="G2" s="1488"/>
      <c r="H2" s="1488"/>
      <c r="I2" s="1488"/>
      <c r="J2" s="1488"/>
      <c r="K2" s="1488"/>
      <c r="L2" s="1488"/>
      <c r="M2" s="1488"/>
      <c r="N2" s="1488"/>
      <c r="O2" s="1488"/>
      <c r="P2" s="1488"/>
      <c r="Q2" s="1488"/>
      <c r="R2" s="1488"/>
      <c r="S2" s="1488"/>
    </row>
    <row r="3" spans="1:22" ht="15.75">
      <c r="A3" s="1869" t="s">
        <v>686</v>
      </c>
      <c r="B3" s="2595">
        <f ca="1">ROUND(B2*10000/E2,0)</f>
        <v>22309</v>
      </c>
      <c r="C3" s="1871" t="s">
        <v>1657</v>
      </c>
      <c r="D3" s="2703"/>
      <c r="E3" s="2705"/>
      <c r="F3" s="2701"/>
      <c r="G3" s="1488"/>
      <c r="H3" s="1488"/>
      <c r="I3" s="1488"/>
      <c r="J3" s="1488"/>
      <c r="K3" s="1488"/>
      <c r="L3" s="1488"/>
      <c r="M3" s="1488"/>
      <c r="N3" s="1488"/>
      <c r="O3" s="1488"/>
      <c r="P3" s="1488"/>
      <c r="Q3" s="1488"/>
      <c r="R3" s="1488"/>
      <c r="S3" s="1488"/>
    </row>
    <row r="4" spans="1:22" ht="15.75">
      <c r="A4" s="2706"/>
      <c r="B4" s="2703"/>
      <c r="C4" s="2703"/>
      <c r="D4" s="2703"/>
      <c r="E4" s="2705"/>
      <c r="F4" s="2701"/>
      <c r="G4" s="1488"/>
      <c r="H4" s="1488"/>
      <c r="I4" s="1488"/>
      <c r="J4" s="1488"/>
      <c r="K4" s="1488"/>
      <c r="L4" s="1488"/>
      <c r="M4" s="1488"/>
      <c r="N4" s="1488"/>
      <c r="O4" s="1488"/>
      <c r="P4" s="1488"/>
      <c r="Q4" s="1488"/>
      <c r="R4" s="1488"/>
      <c r="S4" s="1488"/>
    </row>
    <row r="5" spans="1:22" ht="15">
      <c r="A5" s="2597" t="s">
        <v>1651</v>
      </c>
      <c r="B5" s="3691" t="s">
        <v>1652</v>
      </c>
      <c r="C5" s="3692"/>
      <c r="D5" s="2702"/>
      <c r="E5" s="1873" t="s">
        <v>1653</v>
      </c>
      <c r="F5" s="1874" t="s">
        <v>1654</v>
      </c>
      <c r="G5" s="1488"/>
      <c r="H5" s="1488"/>
      <c r="I5" s="1488"/>
      <c r="J5" s="1488"/>
      <c r="K5" s="1488"/>
      <c r="L5" s="1488"/>
      <c r="M5" s="1488"/>
      <c r="N5" s="1488"/>
      <c r="O5" s="1488"/>
      <c r="P5" s="1488"/>
      <c r="Q5" s="1488"/>
      <c r="R5" s="1488"/>
      <c r="S5" s="1488"/>
    </row>
    <row r="6" spans="1:22">
      <c r="A6" s="2598" t="str">
        <f>'数据-取费表'!AN6</f>
        <v>收益法 (元)</v>
      </c>
      <c r="B6" s="2596">
        <f ca="1">IF(F6="是",'数据-取费表'!AO6,0)</f>
        <v>268.97449999999998</v>
      </c>
      <c r="C6" s="1871" t="s">
        <v>1649</v>
      </c>
      <c r="D6" s="2703"/>
      <c r="E6" s="2600">
        <f>IF(OR(A6=0,F6="否"),0,'数据-取费表'!K6+'数据-取费表'!S6)</f>
        <v>120.57</v>
      </c>
      <c r="F6" s="1875" t="s">
        <v>1655</v>
      </c>
      <c r="G6" s="1488"/>
      <c r="H6" s="1488"/>
      <c r="I6" s="1488"/>
      <c r="J6" s="1488"/>
      <c r="K6" s="1488"/>
      <c r="L6" s="1488"/>
      <c r="M6" s="1488"/>
      <c r="N6" s="1488"/>
      <c r="O6" s="1488"/>
      <c r="P6" s="1488"/>
      <c r="Q6" s="1488"/>
      <c r="R6" s="1488"/>
      <c r="S6" s="1488"/>
    </row>
    <row r="7" spans="1:22">
      <c r="A7" s="2598">
        <f>'数据-取费表'!AN7</f>
        <v>0</v>
      </c>
      <c r="B7" s="2596" t="e">
        <f ca="1">IF(F7="是",'数据-取费表'!AO7,0)</f>
        <v>#REF!</v>
      </c>
      <c r="C7" s="1871" t="s">
        <v>1649</v>
      </c>
      <c r="D7" s="2703"/>
      <c r="E7" s="2600">
        <f>IF(OR(A7=0,F7="否"),0,'数据-取费表'!K7+'数据-取费表'!S7)</f>
        <v>0</v>
      </c>
      <c r="F7" s="1875" t="s">
        <v>1655</v>
      </c>
      <c r="G7" s="1488"/>
      <c r="H7" s="1488"/>
      <c r="I7" s="1488"/>
      <c r="J7" s="1488"/>
      <c r="K7" s="1488"/>
      <c r="L7" s="1488"/>
      <c r="M7" s="1488"/>
      <c r="N7" s="1488"/>
      <c r="O7" s="1488"/>
      <c r="P7" s="1488"/>
      <c r="Q7" s="1488"/>
      <c r="R7" s="1488"/>
      <c r="S7" s="1488"/>
    </row>
    <row r="8" spans="1:22">
      <c r="A8" s="2598">
        <f>'数据-取费表'!AN8</f>
        <v>0</v>
      </c>
      <c r="B8" s="2596" t="e">
        <f ca="1">IF(F8="是",'数据-取费表'!AO8,0)</f>
        <v>#REF!</v>
      </c>
      <c r="C8" s="1871" t="s">
        <v>1649</v>
      </c>
      <c r="D8" s="2703"/>
      <c r="E8" s="2600">
        <f>IF(OR(A8=0,F8="否"),0,'数据-取费表'!K8+'数据-取费表'!S8)</f>
        <v>0</v>
      </c>
      <c r="F8" s="1875" t="s">
        <v>1655</v>
      </c>
      <c r="G8" s="1488"/>
      <c r="H8" s="1488"/>
      <c r="I8" s="1488"/>
      <c r="J8" s="1488"/>
      <c r="K8" s="1488"/>
      <c r="L8" s="1488"/>
      <c r="M8" s="1488"/>
      <c r="N8" s="1488"/>
      <c r="O8" s="1488"/>
      <c r="P8" s="1488"/>
      <c r="Q8" s="1488"/>
      <c r="R8" s="1488"/>
      <c r="S8" s="1488"/>
    </row>
    <row r="9" spans="1:22">
      <c r="A9" s="2598">
        <f>'数据-取费表'!AN9</f>
        <v>0</v>
      </c>
      <c r="B9" s="2596" t="e">
        <f ca="1">IF(F9="是",'数据-取费表'!AO9,0)</f>
        <v>#REF!</v>
      </c>
      <c r="C9" s="1871" t="s">
        <v>1649</v>
      </c>
      <c r="D9" s="2703"/>
      <c r="E9" s="2600">
        <f>IF(OR(A9=0,F9="否"),0,'数据-取费表'!K9+'数据-取费表'!S9)</f>
        <v>0</v>
      </c>
      <c r="F9" s="1875" t="s">
        <v>1655</v>
      </c>
      <c r="G9" s="1488"/>
      <c r="H9" s="1488"/>
      <c r="I9" s="1488"/>
      <c r="J9" s="1488"/>
      <c r="K9" s="1488"/>
      <c r="L9" s="1488"/>
      <c r="M9" s="1488"/>
      <c r="N9" s="1488"/>
      <c r="O9" s="1488"/>
      <c r="P9" s="1488"/>
      <c r="Q9" s="1488"/>
      <c r="R9" s="1488"/>
      <c r="S9" s="1488"/>
    </row>
    <row r="10" spans="1:22">
      <c r="A10" s="2598">
        <f>'数据-取费表'!AN10</f>
        <v>0</v>
      </c>
      <c r="B10" s="2596" t="e">
        <f ca="1">IF(F10="是",'数据-取费表'!AO10,0)</f>
        <v>#REF!</v>
      </c>
      <c r="C10" s="1871" t="s">
        <v>1649</v>
      </c>
      <c r="D10" s="2703"/>
      <c r="E10" s="2600">
        <f>IF(OR(A10=0,F10="否"),0,'数据-取费表'!K10+'数据-取费表'!S10)</f>
        <v>0</v>
      </c>
      <c r="F10" s="1875" t="s">
        <v>1655</v>
      </c>
      <c r="G10" s="1488"/>
      <c r="H10" s="1488"/>
      <c r="I10" s="1488"/>
      <c r="J10" s="1488"/>
      <c r="K10" s="1488"/>
      <c r="L10" s="1488"/>
      <c r="M10" s="1488"/>
      <c r="N10" s="1488"/>
      <c r="O10" s="1488"/>
      <c r="P10" s="1488"/>
      <c r="Q10" s="1488"/>
      <c r="R10" s="1488"/>
      <c r="S10" s="1488"/>
    </row>
    <row r="11" spans="1:22">
      <c r="A11" s="2598">
        <f>'数据-取费表'!AN11</f>
        <v>0</v>
      </c>
      <c r="B11" s="2596" t="e">
        <f ca="1">IF(F11="是",'数据-取费表'!AO11,0)</f>
        <v>#REF!</v>
      </c>
      <c r="C11" s="1871" t="s">
        <v>1649</v>
      </c>
      <c r="D11" s="2703"/>
      <c r="E11" s="2600">
        <f>IF(OR(A11=0,F11="否"),0,'数据-取费表'!K11+'数据-取费表'!S11)</f>
        <v>0</v>
      </c>
      <c r="F11" s="1875" t="s">
        <v>1655</v>
      </c>
      <c r="G11" s="1488"/>
      <c r="H11" s="1488"/>
      <c r="I11" s="1488"/>
      <c r="J11" s="1488"/>
      <c r="K11" s="1488"/>
      <c r="L11" s="1488"/>
      <c r="M11" s="1488"/>
      <c r="N11" s="1488"/>
      <c r="O11" s="1488"/>
      <c r="P11" s="1488"/>
      <c r="Q11" s="1488"/>
      <c r="R11" s="1488"/>
      <c r="S11" s="1488"/>
    </row>
    <row r="12" spans="1:22">
      <c r="A12" s="2598">
        <f>'数据-取费表'!AN12</f>
        <v>0</v>
      </c>
      <c r="B12" s="2596" t="e">
        <f ca="1">IF(F12="是",'数据-取费表'!AO12,0)</f>
        <v>#REF!</v>
      </c>
      <c r="C12" s="1871" t="s">
        <v>1649</v>
      </c>
      <c r="D12" s="2703"/>
      <c r="E12" s="2600">
        <f>IF(OR(A12=0,F12="否"),0,'数据-取费表'!K12+'数据-取费表'!S12)</f>
        <v>0</v>
      </c>
      <c r="F12" s="1875" t="s">
        <v>1655</v>
      </c>
      <c r="G12" s="1488"/>
      <c r="H12" s="1488"/>
      <c r="I12" s="1488"/>
      <c r="J12" s="1488"/>
      <c r="K12" s="1488"/>
      <c r="L12" s="1488"/>
      <c r="M12" s="1488"/>
      <c r="N12" s="1488"/>
      <c r="O12" s="1488"/>
      <c r="P12" s="1488"/>
      <c r="Q12" s="1488"/>
      <c r="R12" s="1488"/>
      <c r="S12" s="1488"/>
    </row>
    <row r="13" spans="1:22" ht="15" thickBot="1">
      <c r="A13" s="2599">
        <f>'数据-取费表'!AN13</f>
        <v>0</v>
      </c>
      <c r="B13" s="2596" t="e">
        <f ca="1">IF(F13="是",'数据-取费表'!AO13,0)</f>
        <v>#REF!</v>
      </c>
      <c r="C13" s="1876" t="s">
        <v>1649</v>
      </c>
      <c r="D13" s="2704"/>
      <c r="E13" s="2600">
        <f>IF(OR(A13=0,F13="否"),0,'数据-取费表'!K13+'数据-取费表'!S13)</f>
        <v>0</v>
      </c>
      <c r="F13" s="1875" t="s">
        <v>1655</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1" zoomScale="70" zoomScaleNormal="60" zoomScaleSheetLayoutView="7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1659</v>
      </c>
      <c r="C1" s="1237" t="s">
        <v>1660</v>
      </c>
      <c r="D1" s="1224"/>
      <c r="E1" s="3420"/>
      <c r="F1" s="1878"/>
      <c r="G1" s="1234" t="s">
        <v>1661</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1"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1662</v>
      </c>
      <c r="F2" s="1882"/>
      <c r="G2" s="906"/>
      <c r="H2" s="906"/>
      <c r="I2" s="906"/>
      <c r="J2" s="906"/>
      <c r="K2" s="1883"/>
      <c r="L2" s="2707"/>
      <c r="M2" s="2708"/>
      <c r="N2" s="2708"/>
      <c r="O2" s="2708"/>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1663</v>
      </c>
      <c r="D3" s="353">
        <f>IF(D1="",'数据-汇总表'!E3,SUMIF('数据-汇总表'!$C19:$C33,D1,'数据-汇总表'!$E19:$E33))</f>
        <v>120.57</v>
      </c>
      <c r="E3" s="906"/>
      <c r="F3" s="1887"/>
      <c r="G3" s="906"/>
      <c r="H3" s="906"/>
      <c r="I3" s="906"/>
      <c r="J3" s="906"/>
      <c r="K3" s="1883"/>
      <c r="L3" s="2707"/>
      <c r="M3" s="2708"/>
      <c r="N3" s="2708"/>
      <c r="O3" s="2708"/>
      <c r="P3" s="1884"/>
      <c r="Q3" s="1885"/>
      <c r="R3" s="1885"/>
      <c r="S3" s="1885"/>
      <c r="T3" s="1885"/>
      <c r="U3" s="1885"/>
      <c r="V3" s="1885"/>
      <c r="W3" s="1885"/>
      <c r="X3" s="1885"/>
      <c r="Y3" s="1885"/>
      <c r="Z3" s="1885"/>
      <c r="AA3" s="1885"/>
      <c r="AB3" s="1885"/>
      <c r="AC3" s="1060"/>
    </row>
    <row r="4" spans="1:29" ht="15">
      <c r="A4" s="355" t="s">
        <v>1664</v>
      </c>
      <c r="B4" s="356"/>
      <c r="C4" s="3711" t="s">
        <v>1665</v>
      </c>
      <c r="D4" s="3712"/>
      <c r="E4" s="3713" t="s">
        <v>1666</v>
      </c>
      <c r="F4" s="3714"/>
      <c r="G4" s="3711" t="s">
        <v>1667</v>
      </c>
      <c r="H4" s="3712"/>
      <c r="I4" s="3711" t="s">
        <v>1668</v>
      </c>
      <c r="J4" s="3712"/>
      <c r="K4" s="1888" t="s">
        <v>1669</v>
      </c>
      <c r="L4" s="2709"/>
      <c r="M4" s="2710"/>
      <c r="N4" s="2710"/>
      <c r="O4" s="2710"/>
      <c r="P4" s="3715" t="s">
        <v>1670</v>
      </c>
      <c r="Q4" s="3716"/>
      <c r="R4" s="3698" t="s">
        <v>1666</v>
      </c>
      <c r="S4" s="3699"/>
      <c r="T4" s="3698" t="s">
        <v>1667</v>
      </c>
      <c r="U4" s="3699"/>
      <c r="V4" s="3723" t="s">
        <v>1668</v>
      </c>
      <c r="W4" s="3723"/>
      <c r="X4" s="1354"/>
      <c r="Y4" s="3698" t="s">
        <v>1670</v>
      </c>
      <c r="Z4" s="3699"/>
      <c r="AA4" s="3693" t="s">
        <v>1666</v>
      </c>
      <c r="AB4" s="3693" t="s">
        <v>1667</v>
      </c>
      <c r="AC4" s="3693" t="s">
        <v>1668</v>
      </c>
    </row>
    <row r="5" spans="1:29" ht="15">
      <c r="A5" s="358"/>
      <c r="B5" s="359"/>
      <c r="C5" s="3704" t="s">
        <v>1671</v>
      </c>
      <c r="D5" s="3705"/>
      <c r="E5" s="3702" t="s">
        <v>1672</v>
      </c>
      <c r="F5" s="3703"/>
      <c r="G5" s="3704" t="s">
        <v>1673</v>
      </c>
      <c r="H5" s="3705"/>
      <c r="I5" s="3704" t="s">
        <v>1674</v>
      </c>
      <c r="J5" s="3705"/>
      <c r="K5" s="1889"/>
      <c r="L5" s="2709"/>
      <c r="M5" s="2710"/>
      <c r="N5" s="2710"/>
      <c r="O5" s="2710"/>
      <c r="P5" s="3717"/>
      <c r="Q5" s="3718"/>
      <c r="R5" s="3700"/>
      <c r="S5" s="3701"/>
      <c r="T5" s="3700"/>
      <c r="U5" s="3701"/>
      <c r="V5" s="3723"/>
      <c r="W5" s="3723"/>
      <c r="X5" s="1354"/>
      <c r="Y5" s="3700"/>
      <c r="Z5" s="3701"/>
      <c r="AA5" s="3694"/>
      <c r="AB5" s="3694"/>
      <c r="AC5" s="3694"/>
    </row>
    <row r="6" spans="1:29" ht="15.75" thickBot="1">
      <c r="A6" s="360"/>
      <c r="B6" s="361"/>
      <c r="C6" s="3706" t="s">
        <v>1675</v>
      </c>
      <c r="D6" s="3707"/>
      <c r="E6" s="3708" t="s">
        <v>1675</v>
      </c>
      <c r="F6" s="3709"/>
      <c r="G6" s="3706" t="s">
        <v>1675</v>
      </c>
      <c r="H6" s="3707"/>
      <c r="I6" s="3706" t="s">
        <v>1675</v>
      </c>
      <c r="J6" s="3707"/>
      <c r="K6" s="1889" t="s">
        <v>1676</v>
      </c>
      <c r="L6" s="2709"/>
      <c r="M6" s="2710"/>
      <c r="N6" s="2710"/>
      <c r="O6" s="2710"/>
      <c r="P6" s="3719"/>
      <c r="Q6" s="3720"/>
      <c r="R6" s="3700"/>
      <c r="S6" s="3701"/>
      <c r="T6" s="3721"/>
      <c r="U6" s="3722"/>
      <c r="V6" s="3723"/>
      <c r="W6" s="3723"/>
      <c r="X6" s="1354"/>
      <c r="Y6" s="3721"/>
      <c r="Z6" s="3722"/>
      <c r="AA6" s="3695"/>
      <c r="AB6" s="3695"/>
      <c r="AC6" s="3695"/>
    </row>
    <row r="7" spans="1:29" s="108" customFormat="1" ht="15.75" thickBot="1">
      <c r="A7" s="362" t="s">
        <v>1677</v>
      </c>
      <c r="B7" s="363"/>
      <c r="C7" s="364">
        <f>'数据-取费表'!B2</f>
        <v>45135</v>
      </c>
      <c r="D7" s="365">
        <v>100</v>
      </c>
      <c r="E7" s="366"/>
      <c r="F7" s="367">
        <f>SUMIF(58:58,YEAR(E7)&amp;"-"&amp;MONTH(E7),59:59)</f>
        <v>0</v>
      </c>
      <c r="G7" s="366"/>
      <c r="H7" s="365">
        <f>SUMIF(58:58,YEAR(G7)&amp;"-"&amp;MONTH(G7),59:59)</f>
        <v>0</v>
      </c>
      <c r="I7" s="366"/>
      <c r="J7" s="365">
        <f>SUMIF(58:58,YEAR(I7)&amp;"-"&amp;MONTH(I7),59:59)</f>
        <v>0</v>
      </c>
      <c r="K7" s="1890"/>
      <c r="L7" s="2711"/>
      <c r="M7" s="2712"/>
      <c r="N7" s="2712"/>
      <c r="O7" s="2712"/>
      <c r="P7" s="3696" t="s">
        <v>1678</v>
      </c>
      <c r="Q7" s="3724"/>
      <c r="R7" s="700" t="s">
        <v>20</v>
      </c>
      <c r="S7" s="701">
        <f t="shared" ref="S7:S15" si="0">F7</f>
        <v>0</v>
      </c>
      <c r="T7" s="700" t="s">
        <v>20</v>
      </c>
      <c r="U7" s="701">
        <f t="shared" ref="U7:U15" si="1">H7</f>
        <v>0</v>
      </c>
      <c r="V7" s="700" t="s">
        <v>20</v>
      </c>
      <c r="W7" s="701">
        <f t="shared" ref="W7:W15" si="2">J7</f>
        <v>0</v>
      </c>
      <c r="X7" s="702"/>
      <c r="Y7" s="3696" t="s">
        <v>1678</v>
      </c>
      <c r="Z7" s="3697"/>
      <c r="AA7" s="703" t="e">
        <f>D7/F7</f>
        <v>#DIV/0!</v>
      </c>
      <c r="AB7" s="703" t="e">
        <f>D7/H7</f>
        <v>#DIV/0!</v>
      </c>
      <c r="AC7" s="703" t="e">
        <f>D7/J7</f>
        <v>#DIV/0!</v>
      </c>
    </row>
    <row r="8" spans="1:29" s="108" customFormat="1" ht="15.75" thickBot="1">
      <c r="A8" s="362" t="s">
        <v>1679</v>
      </c>
      <c r="B8" s="363"/>
      <c r="C8" s="368" t="s">
        <v>3391</v>
      </c>
      <c r="D8" s="365">
        <v>100</v>
      </c>
      <c r="E8" s="1891" t="s">
        <v>3403</v>
      </c>
      <c r="F8" s="367">
        <f>SUMIF(61:61,E8,62:62)-SUMIF(61:61,C8,62:62)+100</f>
        <v>102</v>
      </c>
      <c r="G8" s="1891" t="s">
        <v>3403</v>
      </c>
      <c r="H8" s="365">
        <f>SUMIF(61:61,G8,62:62)-SUMIF(61:61,C8,62:62)+100</f>
        <v>102</v>
      </c>
      <c r="I8" s="1891" t="s">
        <v>3403</v>
      </c>
      <c r="J8" s="365">
        <f>SUMIF(61:61,I8,62:62)-SUMIF(61:61,C8,62:62)+100</f>
        <v>102</v>
      </c>
      <c r="K8" s="1890"/>
      <c r="L8" s="2711"/>
      <c r="M8" s="2712"/>
      <c r="N8" s="2712"/>
      <c r="O8" s="2712"/>
      <c r="P8" s="3696" t="s">
        <v>1681</v>
      </c>
      <c r="Q8" s="3697"/>
      <c r="R8" s="700" t="s">
        <v>20</v>
      </c>
      <c r="S8" s="701">
        <f t="shared" si="0"/>
        <v>102</v>
      </c>
      <c r="T8" s="700" t="s">
        <v>20</v>
      </c>
      <c r="U8" s="701">
        <f t="shared" si="1"/>
        <v>102</v>
      </c>
      <c r="V8" s="700" t="s">
        <v>20</v>
      </c>
      <c r="W8" s="701">
        <f t="shared" si="2"/>
        <v>102</v>
      </c>
      <c r="X8" s="702"/>
      <c r="Y8" s="3696" t="s">
        <v>1681</v>
      </c>
      <c r="Z8" s="3697"/>
      <c r="AA8" s="703">
        <f t="shared" ref="AA8:AA19" si="3">D8/F8</f>
        <v>0.98039215686274506</v>
      </c>
      <c r="AB8" s="703">
        <f t="shared" ref="AB8:AB19" si="4">D8/H8</f>
        <v>0.98039215686274506</v>
      </c>
      <c r="AC8" s="703">
        <f t="shared" ref="AC8:AC19" si="5">D8/J8</f>
        <v>0.98039215686274506</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0"/>
      <c r="L9" s="2711"/>
      <c r="M9" s="2712"/>
      <c r="N9" s="2712"/>
      <c r="O9" s="2712"/>
      <c r="P9" s="3710" t="s">
        <v>1684</v>
      </c>
      <c r="Q9" s="1342" t="str">
        <f t="shared" ref="Q9:Q15" si="6">B9</f>
        <v>用途</v>
      </c>
      <c r="R9" s="700" t="s">
        <v>14</v>
      </c>
      <c r="S9" s="701">
        <f t="shared" si="0"/>
        <v>100</v>
      </c>
      <c r="T9" s="700" t="s">
        <v>14</v>
      </c>
      <c r="U9" s="701">
        <f t="shared" si="1"/>
        <v>100</v>
      </c>
      <c r="V9" s="700" t="s">
        <v>14</v>
      </c>
      <c r="W9" s="701">
        <f t="shared" si="2"/>
        <v>100</v>
      </c>
      <c r="X9" s="702"/>
      <c r="Y9" s="3621" t="s">
        <v>1685</v>
      </c>
      <c r="Z9" s="52" t="str">
        <f t="shared" ref="Z9:Z15" si="7">Q9</f>
        <v>用途</v>
      </c>
      <c r="AA9" s="703">
        <f t="shared" si="3"/>
        <v>1</v>
      </c>
      <c r="AB9" s="703">
        <f t="shared" si="4"/>
        <v>1</v>
      </c>
      <c r="AC9" s="703">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1890"/>
      <c r="L10" s="2713"/>
      <c r="M10" s="2714"/>
      <c r="N10" s="2714"/>
      <c r="O10" s="2714"/>
      <c r="P10" s="3710"/>
      <c r="Q10" s="1342"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5"/>
      <c r="M11" s="2710"/>
      <c r="N11" s="2710"/>
      <c r="O11" s="2710"/>
      <c r="P11" s="3710"/>
      <c r="Q11" s="1342" t="str">
        <f t="shared" si="6"/>
        <v>容积率</v>
      </c>
      <c r="R11" s="700" t="s">
        <v>18</v>
      </c>
      <c r="S11" s="701">
        <f t="shared" si="0"/>
        <v>100</v>
      </c>
      <c r="T11" s="700" t="s">
        <v>18</v>
      </c>
      <c r="U11" s="701">
        <f t="shared" si="1"/>
        <v>100</v>
      </c>
      <c r="V11" s="700" t="s">
        <v>18</v>
      </c>
      <c r="W11" s="701">
        <f t="shared" si="2"/>
        <v>100</v>
      </c>
      <c r="X11" s="702"/>
      <c r="Y11" s="3621"/>
      <c r="Z11" s="52" t="str">
        <f t="shared" si="7"/>
        <v>容积率</v>
      </c>
      <c r="AA11" s="703">
        <f t="shared" si="3"/>
        <v>1</v>
      </c>
      <c r="AB11" s="703">
        <f t="shared" si="4"/>
        <v>1</v>
      </c>
      <c r="AC11" s="703">
        <f t="shared" si="5"/>
        <v>1</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1"/>
      <c r="M12" s="2712"/>
      <c r="N12" s="2712"/>
      <c r="O12" s="2712"/>
      <c r="P12" s="3710"/>
      <c r="Q12" s="1342">
        <f t="shared" si="6"/>
        <v>111</v>
      </c>
      <c r="R12" s="700" t="s">
        <v>18</v>
      </c>
      <c r="S12" s="701">
        <f t="shared" si="0"/>
        <v>100</v>
      </c>
      <c r="T12" s="700" t="s">
        <v>18</v>
      </c>
      <c r="U12" s="701">
        <f t="shared" si="1"/>
        <v>100</v>
      </c>
      <c r="V12" s="700" t="s">
        <v>18</v>
      </c>
      <c r="W12" s="701">
        <f t="shared" si="2"/>
        <v>100</v>
      </c>
      <c r="X12" s="702"/>
      <c r="Y12" s="362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6"/>
      <c r="M13" s="2710"/>
      <c r="N13" s="2710"/>
      <c r="O13" s="2710"/>
      <c r="P13" s="3710"/>
      <c r="Q13" s="1342">
        <f t="shared" si="6"/>
        <v>111</v>
      </c>
      <c r="R13" s="700" t="s">
        <v>18</v>
      </c>
      <c r="S13" s="701">
        <f t="shared" si="0"/>
        <v>100</v>
      </c>
      <c r="T13" s="700" t="s">
        <v>18</v>
      </c>
      <c r="U13" s="701">
        <f t="shared" si="1"/>
        <v>100</v>
      </c>
      <c r="V13" s="700" t="s">
        <v>18</v>
      </c>
      <c r="W13" s="701">
        <f t="shared" si="2"/>
        <v>100</v>
      </c>
      <c r="X13" s="702"/>
      <c r="Y13" s="3621"/>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6"/>
      <c r="M14" s="2710"/>
      <c r="N14" s="2710"/>
      <c r="O14" s="2710"/>
      <c r="P14" s="3710"/>
      <c r="Q14" s="1342">
        <f t="shared" si="6"/>
        <v>111</v>
      </c>
      <c r="R14" s="700" t="s">
        <v>18</v>
      </c>
      <c r="S14" s="701">
        <f t="shared" si="0"/>
        <v>100</v>
      </c>
      <c r="T14" s="700" t="s">
        <v>18</v>
      </c>
      <c r="U14" s="701">
        <f t="shared" si="1"/>
        <v>100</v>
      </c>
      <c r="V14" s="700" t="s">
        <v>18</v>
      </c>
      <c r="W14" s="701">
        <f t="shared" si="2"/>
        <v>100</v>
      </c>
      <c r="X14" s="702"/>
      <c r="Y14" s="3621"/>
      <c r="Z14" s="52">
        <f t="shared" si="7"/>
        <v>111</v>
      </c>
      <c r="AA14" s="703">
        <f t="shared" si="3"/>
        <v>1</v>
      </c>
      <c r="AB14" s="703">
        <f t="shared" si="4"/>
        <v>1</v>
      </c>
      <c r="AC14" s="703">
        <f t="shared" si="5"/>
        <v>1</v>
      </c>
    </row>
    <row r="15" spans="1:29" ht="15">
      <c r="A15" s="391" t="s">
        <v>1688</v>
      </c>
      <c r="B15" s="61" t="s">
        <v>1255</v>
      </c>
      <c r="C15" s="1895" t="str">
        <f>估价对象房地状况!C3</f>
        <v>好</v>
      </c>
      <c r="D15" s="392">
        <v>100</v>
      </c>
      <c r="E15" s="395"/>
      <c r="F15" s="392">
        <f>SUMIF(76:76,E16,77:77)-SUMIF(76:76,C16,77:77)+100</f>
        <v>2</v>
      </c>
      <c r="G15" s="393"/>
      <c r="H15" s="392">
        <f>SUMIF(76:76,G16,77:77)-SUMIF(76:76,C16,77:77)+100</f>
        <v>2</v>
      </c>
      <c r="I15" s="393"/>
      <c r="J15" s="392">
        <f>SUMIF(76:76,I16,77:77)-SUMIF(76:76,C16,77:77)+100</f>
        <v>2</v>
      </c>
      <c r="K15" s="396">
        <v>2</v>
      </c>
      <c r="L15" s="2716"/>
      <c r="M15" s="2710"/>
      <c r="N15" s="2710"/>
      <c r="O15" s="2710"/>
      <c r="P15" s="3737" t="s">
        <v>1689</v>
      </c>
      <c r="Q15" s="1351" t="str">
        <f t="shared" si="6"/>
        <v>居住社区成熟度</v>
      </c>
      <c r="R15" s="704" t="s">
        <v>18</v>
      </c>
      <c r="S15" s="705">
        <f t="shared" si="0"/>
        <v>2</v>
      </c>
      <c r="T15" s="704" t="s">
        <v>18</v>
      </c>
      <c r="U15" s="705">
        <f t="shared" si="1"/>
        <v>2</v>
      </c>
      <c r="V15" s="704" t="s">
        <v>18</v>
      </c>
      <c r="W15" s="705">
        <f t="shared" si="2"/>
        <v>2</v>
      </c>
      <c r="X15" s="1354"/>
      <c r="Y15" s="3730" t="s">
        <v>1689</v>
      </c>
      <c r="Z15" s="1355" t="str">
        <f t="shared" si="7"/>
        <v>居住社区成熟度</v>
      </c>
      <c r="AA15" s="1352">
        <f t="shared" si="3"/>
        <v>50</v>
      </c>
      <c r="AB15" s="1352">
        <f t="shared" si="4"/>
        <v>50</v>
      </c>
      <c r="AC15" s="1352">
        <f t="shared" si="5"/>
        <v>50</v>
      </c>
    </row>
    <row r="16" spans="1:29" ht="15">
      <c r="A16" s="379"/>
      <c r="B16" s="397"/>
      <c r="C16" s="398" t="s">
        <v>3387</v>
      </c>
      <c r="D16" s="399"/>
      <c r="E16" s="1896"/>
      <c r="F16" s="399"/>
      <c r="G16" s="1897"/>
      <c r="H16" s="401"/>
      <c r="I16" s="1897"/>
      <c r="J16" s="399"/>
      <c r="K16" s="1898"/>
      <c r="L16" s="2716"/>
      <c r="M16" s="2710"/>
      <c r="N16" s="2710"/>
      <c r="O16" s="2710"/>
      <c r="P16" s="3738"/>
      <c r="Q16" s="1351"/>
      <c r="R16" s="704"/>
      <c r="S16" s="705"/>
      <c r="T16" s="704"/>
      <c r="U16" s="705"/>
      <c r="V16" s="704"/>
      <c r="W16" s="705"/>
      <c r="X16" s="1354"/>
      <c r="Y16" s="3731"/>
      <c r="Z16" s="1355"/>
      <c r="AA16" s="1352">
        <v>1</v>
      </c>
      <c r="AB16" s="1352">
        <v>1</v>
      </c>
      <c r="AC16" s="1352">
        <v>1</v>
      </c>
    </row>
    <row r="17" spans="1:29" ht="15">
      <c r="A17" s="379"/>
      <c r="B17" s="402" t="s">
        <v>1257</v>
      </c>
      <c r="C17" s="1899" t="str">
        <f>估价对象房地状况!C6</f>
        <v>较好</v>
      </c>
      <c r="D17" s="401">
        <v>100</v>
      </c>
      <c r="E17" s="405"/>
      <c r="F17" s="401">
        <f>SUMIF(78:78,E18,79:79)-SUMIF(78:78,C18,79:79)+100</f>
        <v>2</v>
      </c>
      <c r="G17" s="403"/>
      <c r="H17" s="406">
        <f>SUMIF(78:78,G18,79:79)-SUMIF(78:78,C18,79:79)+100</f>
        <v>2</v>
      </c>
      <c r="I17" s="403"/>
      <c r="J17" s="406">
        <f>SUMIF(78:78,I18,79:79)-SUMIF(78:78,C18,79:79)+100</f>
        <v>2</v>
      </c>
      <c r="K17" s="396">
        <v>2</v>
      </c>
      <c r="L17" s="2716"/>
      <c r="M17" s="2710"/>
      <c r="N17" s="2710"/>
      <c r="O17" s="2710"/>
      <c r="P17" s="3738"/>
      <c r="Q17" s="1351" t="str">
        <f>B17</f>
        <v>交通便捷度</v>
      </c>
      <c r="R17" s="704" t="s">
        <v>18</v>
      </c>
      <c r="S17" s="705">
        <f>F17</f>
        <v>2</v>
      </c>
      <c r="T17" s="704" t="s">
        <v>18</v>
      </c>
      <c r="U17" s="705">
        <f>H17</f>
        <v>2</v>
      </c>
      <c r="V17" s="704" t="s">
        <v>18</v>
      </c>
      <c r="W17" s="705">
        <f>J17</f>
        <v>2</v>
      </c>
      <c r="X17" s="1354"/>
      <c r="Y17" s="3731"/>
      <c r="Z17" s="1355" t="str">
        <f>Q17</f>
        <v>交通便捷度</v>
      </c>
      <c r="AA17" s="1352">
        <f t="shared" si="3"/>
        <v>50</v>
      </c>
      <c r="AB17" s="1352">
        <f t="shared" si="4"/>
        <v>50</v>
      </c>
      <c r="AC17" s="1352">
        <f t="shared" si="5"/>
        <v>50</v>
      </c>
    </row>
    <row r="18" spans="1:29" ht="15">
      <c r="A18" s="379"/>
      <c r="B18" s="407"/>
      <c r="C18" s="1900" t="s">
        <v>3387</v>
      </c>
      <c r="D18" s="401"/>
      <c r="E18" s="1901"/>
      <c r="F18" s="401"/>
      <c r="G18" s="1902"/>
      <c r="H18" s="399"/>
      <c r="I18" s="1902"/>
      <c r="J18" s="399"/>
      <c r="K18" s="1898"/>
      <c r="L18" s="2716"/>
      <c r="M18" s="2710"/>
      <c r="N18" s="2710"/>
      <c r="O18" s="2710"/>
      <c r="P18" s="3738"/>
      <c r="Q18" s="1351"/>
      <c r="R18" s="704"/>
      <c r="S18" s="705"/>
      <c r="T18" s="704"/>
      <c r="U18" s="705"/>
      <c r="V18" s="704"/>
      <c r="W18" s="705"/>
      <c r="X18" s="1354"/>
      <c r="Y18" s="3731"/>
      <c r="Z18" s="1355"/>
      <c r="AA18" s="1352">
        <v>1</v>
      </c>
      <c r="AB18" s="1352">
        <v>1</v>
      </c>
      <c r="AC18" s="1352">
        <v>1</v>
      </c>
    </row>
    <row r="19" spans="1:29" ht="15">
      <c r="A19" s="379"/>
      <c r="B19" s="402" t="s">
        <v>1256</v>
      </c>
      <c r="C19" s="1899" t="str">
        <f>估价对象房地状况!C7</f>
        <v>好</v>
      </c>
      <c r="D19" s="406">
        <v>100</v>
      </c>
      <c r="E19" s="410"/>
      <c r="F19" s="406">
        <f>SUMIF(80:80,E20,81:81)-SUMIF(80:80,C20,81:81)+100</f>
        <v>2</v>
      </c>
      <c r="G19" s="408"/>
      <c r="H19" s="401">
        <f>SUMIF(80:80,G20,81:81)-SUMIF(80:80,C20,81:81)+100</f>
        <v>2</v>
      </c>
      <c r="I19" s="408"/>
      <c r="J19" s="401">
        <f>SUMIF(80:80,I20,81:81)-SUMIF(80:80,C20,81:81)+100</f>
        <v>2</v>
      </c>
      <c r="K19" s="396">
        <v>2</v>
      </c>
      <c r="L19" s="2716"/>
      <c r="M19" s="2710"/>
      <c r="N19" s="2710"/>
      <c r="O19" s="2710"/>
      <c r="P19" s="3738"/>
      <c r="Q19" s="1351" t="str">
        <f>B19</f>
        <v>公共配套设施</v>
      </c>
      <c r="R19" s="704" t="s">
        <v>18</v>
      </c>
      <c r="S19" s="705">
        <f>F19</f>
        <v>2</v>
      </c>
      <c r="T19" s="704" t="s">
        <v>18</v>
      </c>
      <c r="U19" s="705">
        <f>H19</f>
        <v>2</v>
      </c>
      <c r="V19" s="704" t="s">
        <v>18</v>
      </c>
      <c r="W19" s="705">
        <f>J19</f>
        <v>2</v>
      </c>
      <c r="X19" s="1354"/>
      <c r="Y19" s="3731"/>
      <c r="Z19" s="1355" t="str">
        <f>Q19</f>
        <v>公共配套设施</v>
      </c>
      <c r="AA19" s="1352">
        <f t="shared" si="3"/>
        <v>50</v>
      </c>
      <c r="AB19" s="1352">
        <f t="shared" si="4"/>
        <v>50</v>
      </c>
      <c r="AC19" s="1352">
        <f t="shared" si="5"/>
        <v>50</v>
      </c>
    </row>
    <row r="20" spans="1:29" ht="15">
      <c r="A20" s="379"/>
      <c r="B20" s="407"/>
      <c r="C20" s="398" t="s">
        <v>3387</v>
      </c>
      <c r="D20" s="399"/>
      <c r="E20" s="1896"/>
      <c r="F20" s="399"/>
      <c r="G20" s="1897"/>
      <c r="H20" s="399"/>
      <c r="I20" s="1897"/>
      <c r="J20" s="399"/>
      <c r="K20" s="1898"/>
      <c r="L20" s="2716"/>
      <c r="M20" s="2710"/>
      <c r="N20" s="2710"/>
      <c r="O20" s="2710"/>
      <c r="P20" s="3738"/>
      <c r="Q20" s="1351"/>
      <c r="R20" s="704"/>
      <c r="S20" s="705"/>
      <c r="T20" s="704"/>
      <c r="U20" s="705"/>
      <c r="V20" s="704"/>
      <c r="W20" s="705"/>
      <c r="X20" s="1354"/>
      <c r="Y20" s="3731"/>
      <c r="Z20" s="1355"/>
      <c r="AA20" s="1352">
        <v>1</v>
      </c>
      <c r="AB20" s="1352">
        <v>1</v>
      </c>
      <c r="AC20" s="1352">
        <v>1</v>
      </c>
    </row>
    <row r="21" spans="1:29" ht="15">
      <c r="A21" s="379"/>
      <c r="B21" s="1130" t="s">
        <v>1258</v>
      </c>
      <c r="C21" s="1899" t="str">
        <f>估价对象房地状况!C8</f>
        <v>七通</v>
      </c>
      <c r="D21" s="401">
        <v>100</v>
      </c>
      <c r="E21" s="410"/>
      <c r="F21" s="406">
        <f>SUMIF(82:82,E22,83:83)-SUMIF(82:82,C22,83:83)+100</f>
        <v>0</v>
      </c>
      <c r="G21" s="408"/>
      <c r="H21" s="401">
        <f>SUMIF(82:82,G22,83:83)-SUMIF(82:82,C22,83:83)+100</f>
        <v>0</v>
      </c>
      <c r="I21" s="408"/>
      <c r="J21" s="401">
        <f>SUMIF(82:82,I22,83:83)-SUMIF(82:82,C22,83:83)+100</f>
        <v>0</v>
      </c>
      <c r="K21" s="396">
        <v>2</v>
      </c>
      <c r="L21" s="2716"/>
      <c r="M21" s="2710"/>
      <c r="N21" s="2710"/>
      <c r="O21" s="2710"/>
      <c r="P21" s="3738"/>
      <c r="Q21" s="1351" t="str">
        <f>B21</f>
        <v>基础设施水平</v>
      </c>
      <c r="R21" s="704" t="s">
        <v>14</v>
      </c>
      <c r="S21" s="705">
        <f>F21</f>
        <v>0</v>
      </c>
      <c r="T21" s="704" t="s">
        <v>14</v>
      </c>
      <c r="U21" s="705">
        <f>H21</f>
        <v>0</v>
      </c>
      <c r="V21" s="704" t="s">
        <v>14</v>
      </c>
      <c r="W21" s="705">
        <f>J21</f>
        <v>0</v>
      </c>
      <c r="X21" s="1354"/>
      <c r="Y21" s="3731"/>
      <c r="Z21" s="1355" t="str">
        <f>Q21</f>
        <v>基础设施水平</v>
      </c>
      <c r="AA21" s="1352" t="e">
        <f t="shared" ref="AA21" si="8">D21/F21</f>
        <v>#DIV/0!</v>
      </c>
      <c r="AB21" s="1352" t="e">
        <f t="shared" ref="AB21" si="9">D21/H21</f>
        <v>#DIV/0!</v>
      </c>
      <c r="AC21" s="1352" t="e">
        <f t="shared" ref="AC21" si="10">D21/J21</f>
        <v>#DIV/0!</v>
      </c>
    </row>
    <row r="22" spans="1:29" ht="15">
      <c r="A22" s="379"/>
      <c r="B22" s="1130"/>
      <c r="C22" s="1900" t="s">
        <v>3388</v>
      </c>
      <c r="D22" s="399"/>
      <c r="E22" s="398"/>
      <c r="F22" s="399"/>
      <c r="G22" s="1903"/>
      <c r="H22" s="399"/>
      <c r="I22" s="398"/>
      <c r="J22" s="399"/>
      <c r="K22" s="1904"/>
      <c r="L22" s="2716"/>
      <c r="M22" s="2710"/>
      <c r="N22" s="2710"/>
      <c r="O22" s="2710"/>
      <c r="P22" s="3738"/>
      <c r="Q22" s="1351"/>
      <c r="R22" s="704"/>
      <c r="S22" s="705"/>
      <c r="T22" s="704"/>
      <c r="U22" s="705"/>
      <c r="V22" s="704"/>
      <c r="W22" s="705"/>
      <c r="X22" s="1354"/>
      <c r="Y22" s="3731"/>
      <c r="Z22" s="1355"/>
      <c r="AA22" s="1352">
        <v>1</v>
      </c>
      <c r="AB22" s="1352">
        <v>1</v>
      </c>
      <c r="AC22" s="1352">
        <v>1</v>
      </c>
    </row>
    <row r="23" spans="1:29" ht="15">
      <c r="A23" s="379"/>
      <c r="B23" s="402" t="s">
        <v>1259</v>
      </c>
      <c r="C23" s="1899" t="str">
        <f>估价对象房地状况!C9</f>
        <v>较好</v>
      </c>
      <c r="D23" s="401">
        <v>100</v>
      </c>
      <c r="E23" s="405"/>
      <c r="F23" s="401">
        <f>SUMIF(84:84,E24,85:85)-SUMIF(84:84,C24,85:85)+100</f>
        <v>1</v>
      </c>
      <c r="G23" s="403"/>
      <c r="H23" s="401">
        <f>SUMIF(84:84,G24,85:85)-SUMIF(84:84,C24,85:85)+100</f>
        <v>1</v>
      </c>
      <c r="I23" s="403"/>
      <c r="J23" s="401">
        <f>SUMIF(84:84,I24,85:85)-SUMIF(84:84,C24,85:85)+100</f>
        <v>1</v>
      </c>
      <c r="K23" s="396">
        <v>1</v>
      </c>
      <c r="L23" s="2716"/>
      <c r="M23" s="2710"/>
      <c r="N23" s="2710"/>
      <c r="O23" s="2710"/>
      <c r="P23" s="3738"/>
      <c r="Q23" s="1351" t="str">
        <f>B23</f>
        <v>自然及人文环境</v>
      </c>
      <c r="R23" s="704" t="s">
        <v>18</v>
      </c>
      <c r="S23" s="705">
        <f>F23</f>
        <v>1</v>
      </c>
      <c r="T23" s="704" t="s">
        <v>18</v>
      </c>
      <c r="U23" s="705">
        <f>H23</f>
        <v>1</v>
      </c>
      <c r="V23" s="704" t="s">
        <v>18</v>
      </c>
      <c r="W23" s="705">
        <f>J23</f>
        <v>1</v>
      </c>
      <c r="X23" s="1354"/>
      <c r="Y23" s="3731"/>
      <c r="Z23" s="1355" t="str">
        <f>Q23</f>
        <v>自然及人文环境</v>
      </c>
      <c r="AA23" s="1352">
        <f>D23/F23</f>
        <v>100</v>
      </c>
      <c r="AB23" s="1352">
        <f>D23/H23</f>
        <v>100</v>
      </c>
      <c r="AC23" s="1352">
        <f>D23/J23</f>
        <v>100</v>
      </c>
    </row>
    <row r="24" spans="1:29" ht="15">
      <c r="A24" s="379"/>
      <c r="B24" s="407"/>
      <c r="C24" s="398" t="s">
        <v>3387</v>
      </c>
      <c r="D24" s="399"/>
      <c r="E24" s="1896"/>
      <c r="F24" s="399"/>
      <c r="G24" s="1897"/>
      <c r="H24" s="399"/>
      <c r="I24" s="1897"/>
      <c r="J24" s="399"/>
      <c r="K24" s="1898"/>
      <c r="L24" s="2716"/>
      <c r="M24" s="2710"/>
      <c r="N24" s="2710"/>
      <c r="O24" s="2710"/>
      <c r="P24" s="3738"/>
      <c r="Q24" s="1351"/>
      <c r="R24" s="704"/>
      <c r="S24" s="705"/>
      <c r="T24" s="704"/>
      <c r="U24" s="705"/>
      <c r="V24" s="704"/>
      <c r="W24" s="705"/>
      <c r="X24" s="1354"/>
      <c r="Y24" s="3731"/>
      <c r="Z24" s="1355"/>
      <c r="AA24" s="1352">
        <v>1</v>
      </c>
      <c r="AB24" s="1352">
        <v>1</v>
      </c>
      <c r="AC24" s="1352">
        <v>1</v>
      </c>
    </row>
    <row r="25" spans="1:29" ht="15">
      <c r="A25" s="379"/>
      <c r="B25" s="375" t="s">
        <v>1690</v>
      </c>
      <c r="C25" s="411"/>
      <c r="D25" s="386">
        <v>100</v>
      </c>
      <c r="E25" s="1905"/>
      <c r="F25" s="386">
        <f>SUMIF(86:86,E25,87:87)-SUMIF(86:86,C25,87:87)+100</f>
        <v>100</v>
      </c>
      <c r="G25" s="1906"/>
      <c r="H25" s="386">
        <f>SUMIF(86:86,G25,87:87)-SUMIF(86:86,C25,87:87)+100</f>
        <v>100</v>
      </c>
      <c r="I25" s="1906"/>
      <c r="J25" s="386">
        <f>SUMIF(86:86,I25,87:87)-SUMIF(86:86,C25,87:87)+100</f>
        <v>100</v>
      </c>
      <c r="K25" s="377">
        <v>2</v>
      </c>
      <c r="L25" s="2716"/>
      <c r="M25" s="2710"/>
      <c r="N25" s="2710"/>
      <c r="O25" s="2710"/>
      <c r="P25" s="3738"/>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31"/>
      <c r="Z25" s="1355" t="str">
        <f>Q25</f>
        <v>楼层-1</v>
      </c>
      <c r="AA25" s="1352">
        <f t="shared" ref="AA25:AA46" si="15">D25/F25</f>
        <v>1</v>
      </c>
      <c r="AB25" s="1352">
        <f t="shared" ref="AB25:AB46" si="16">D25/H25</f>
        <v>1</v>
      </c>
      <c r="AC25" s="1352">
        <f t="shared" ref="AC25:AC46" si="17">D25/J25</f>
        <v>1</v>
      </c>
    </row>
    <row r="26" spans="1:29" ht="15">
      <c r="A26" s="379"/>
      <c r="B26" s="375" t="s">
        <v>1691</v>
      </c>
      <c r="C26" s="411"/>
      <c r="D26" s="386">
        <v>100</v>
      </c>
      <c r="E26" s="1905"/>
      <c r="F26" s="386">
        <f>SUMIF(88:88,E26,89:89)-SUMIF(88:88,C26,89:89)+100</f>
        <v>100</v>
      </c>
      <c r="G26" s="1906"/>
      <c r="H26" s="386">
        <f>SUMIF(88:88,G26,89:89)-SUMIF(88:88,C26,89:89)+100</f>
        <v>100</v>
      </c>
      <c r="I26" s="1906"/>
      <c r="J26" s="386">
        <f>SUMIF(88:88,I26,89:89)-SUMIF(88:88,C26,89:89)+100</f>
        <v>100</v>
      </c>
      <c r="K26" s="377">
        <v>2</v>
      </c>
      <c r="L26" s="2716"/>
      <c r="M26" s="2710"/>
      <c r="N26" s="2710"/>
      <c r="O26" s="2710"/>
      <c r="P26" s="3738"/>
      <c r="Q26" s="1351" t="str">
        <f t="shared" si="11"/>
        <v>朝向</v>
      </c>
      <c r="R26" s="704" t="s">
        <v>18</v>
      </c>
      <c r="S26" s="705">
        <f t="shared" si="12"/>
        <v>100</v>
      </c>
      <c r="T26" s="704" t="s">
        <v>18</v>
      </c>
      <c r="U26" s="705">
        <f t="shared" si="13"/>
        <v>100</v>
      </c>
      <c r="V26" s="704" t="s">
        <v>18</v>
      </c>
      <c r="W26" s="705">
        <f t="shared" si="14"/>
        <v>100</v>
      </c>
      <c r="X26" s="1354"/>
      <c r="Y26" s="3731"/>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1"/>
      <c r="M27" s="2712"/>
      <c r="N27" s="2712"/>
      <c r="O27" s="2712"/>
      <c r="P27" s="3738"/>
      <c r="Q27" s="1342">
        <f t="shared" si="11"/>
        <v>111</v>
      </c>
      <c r="R27" s="700" t="s">
        <v>18</v>
      </c>
      <c r="S27" s="701">
        <f t="shared" si="12"/>
        <v>100</v>
      </c>
      <c r="T27" s="700" t="s">
        <v>18</v>
      </c>
      <c r="U27" s="701">
        <f t="shared" si="13"/>
        <v>100</v>
      </c>
      <c r="V27" s="700" t="s">
        <v>18</v>
      </c>
      <c r="W27" s="701">
        <f t="shared" si="14"/>
        <v>100</v>
      </c>
      <c r="X27" s="702"/>
      <c r="Y27" s="3731"/>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6"/>
      <c r="M28" s="2710"/>
      <c r="N28" s="2710"/>
      <c r="O28" s="2710"/>
      <c r="P28" s="3738"/>
      <c r="Q28" s="1351">
        <f t="shared" si="11"/>
        <v>111</v>
      </c>
      <c r="R28" s="704" t="s">
        <v>18</v>
      </c>
      <c r="S28" s="705">
        <f t="shared" si="12"/>
        <v>100</v>
      </c>
      <c r="T28" s="704" t="s">
        <v>18</v>
      </c>
      <c r="U28" s="705">
        <f t="shared" si="13"/>
        <v>100</v>
      </c>
      <c r="V28" s="704" t="s">
        <v>18</v>
      </c>
      <c r="W28" s="705">
        <f t="shared" si="14"/>
        <v>100</v>
      </c>
      <c r="X28" s="1354"/>
      <c r="Y28" s="3731"/>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6"/>
      <c r="M29" s="2710"/>
      <c r="N29" s="2710"/>
      <c r="O29" s="2710"/>
      <c r="P29" s="3738"/>
      <c r="Q29" s="1351">
        <f t="shared" si="11"/>
        <v>111</v>
      </c>
      <c r="R29" s="704" t="s">
        <v>18</v>
      </c>
      <c r="S29" s="705">
        <f t="shared" si="12"/>
        <v>100</v>
      </c>
      <c r="T29" s="704" t="s">
        <v>18</v>
      </c>
      <c r="U29" s="705">
        <f t="shared" si="13"/>
        <v>100</v>
      </c>
      <c r="V29" s="704" t="s">
        <v>18</v>
      </c>
      <c r="W29" s="705">
        <f t="shared" si="14"/>
        <v>100</v>
      </c>
      <c r="X29" s="1354"/>
      <c r="Y29" s="3731"/>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6"/>
      <c r="M30" s="2710"/>
      <c r="N30" s="2710"/>
      <c r="O30" s="2710"/>
      <c r="P30" s="3738"/>
      <c r="Q30" s="1351">
        <f t="shared" si="11"/>
        <v>111</v>
      </c>
      <c r="R30" s="704" t="s">
        <v>18</v>
      </c>
      <c r="S30" s="705">
        <f t="shared" si="12"/>
        <v>100</v>
      </c>
      <c r="T30" s="704" t="s">
        <v>18</v>
      </c>
      <c r="U30" s="705">
        <f t="shared" si="13"/>
        <v>100</v>
      </c>
      <c r="V30" s="704" t="s">
        <v>18</v>
      </c>
      <c r="W30" s="705">
        <f t="shared" si="14"/>
        <v>100</v>
      </c>
      <c r="X30" s="1354"/>
      <c r="Y30" s="3731"/>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6"/>
      <c r="M31" s="2710"/>
      <c r="N31" s="2710"/>
      <c r="O31" s="2710"/>
      <c r="P31" s="3738"/>
      <c r="Q31" s="1351">
        <f t="shared" si="11"/>
        <v>111</v>
      </c>
      <c r="R31" s="704" t="s">
        <v>18</v>
      </c>
      <c r="S31" s="705">
        <f t="shared" si="12"/>
        <v>100</v>
      </c>
      <c r="T31" s="704" t="s">
        <v>18</v>
      </c>
      <c r="U31" s="705">
        <f t="shared" si="13"/>
        <v>100</v>
      </c>
      <c r="V31" s="704" t="s">
        <v>18</v>
      </c>
      <c r="W31" s="705">
        <f t="shared" si="14"/>
        <v>100</v>
      </c>
      <c r="X31" s="1354"/>
      <c r="Y31" s="3731"/>
      <c r="Z31" s="1355">
        <f t="shared" si="18"/>
        <v>111</v>
      </c>
      <c r="AA31" s="1352">
        <f t="shared" si="15"/>
        <v>1</v>
      </c>
      <c r="AB31" s="1352">
        <f t="shared" si="16"/>
        <v>1</v>
      </c>
      <c r="AC31" s="1352">
        <f t="shared" si="17"/>
        <v>1</v>
      </c>
    </row>
    <row r="32" spans="1:29" ht="15">
      <c r="A32" s="391" t="s">
        <v>1692</v>
      </c>
      <c r="B32" s="63" t="s">
        <v>1693</v>
      </c>
      <c r="C32" s="1909"/>
      <c r="D32" s="418">
        <v>100</v>
      </c>
      <c r="E32" s="1909"/>
      <c r="F32" s="412">
        <f>SUMIF(100:100,E32,101:101)-SUMIF(100:100,C32,101:101)+100</f>
        <v>100</v>
      </c>
      <c r="G32" s="1909"/>
      <c r="H32" s="418">
        <f>SUMIF(100:100,G32,101:101)-SUMIF(100:100,C32,101:101)+100</f>
        <v>100</v>
      </c>
      <c r="I32" s="1909"/>
      <c r="J32" s="386">
        <f>SUMIF(100:100,I32,101:101)-SUMIF(100:100,C32,101:101)+100</f>
        <v>100</v>
      </c>
      <c r="K32" s="377">
        <v>2</v>
      </c>
      <c r="L32" s="2716"/>
      <c r="M32" s="2710"/>
      <c r="N32" s="2710"/>
      <c r="O32" s="2710"/>
      <c r="P32" s="3732" t="s">
        <v>1694</v>
      </c>
      <c r="Q32" s="1351" t="str">
        <f t="shared" si="11"/>
        <v>建筑类型</v>
      </c>
      <c r="R32" s="704" t="s">
        <v>18</v>
      </c>
      <c r="S32" s="705">
        <f t="shared" si="12"/>
        <v>100</v>
      </c>
      <c r="T32" s="704" t="s">
        <v>18</v>
      </c>
      <c r="U32" s="705">
        <f t="shared" si="13"/>
        <v>100</v>
      </c>
      <c r="V32" s="704" t="s">
        <v>18</v>
      </c>
      <c r="W32" s="705">
        <f t="shared" si="14"/>
        <v>100</v>
      </c>
      <c r="X32" s="1354"/>
      <c r="Y32" s="3735" t="s">
        <v>1694</v>
      </c>
      <c r="Z32" s="1355" t="str">
        <f t="shared" si="18"/>
        <v>建筑类型</v>
      </c>
      <c r="AA32" s="1352">
        <f t="shared" si="15"/>
        <v>1</v>
      </c>
      <c r="AB32" s="1352">
        <f t="shared" si="16"/>
        <v>1</v>
      </c>
      <c r="AC32" s="1352">
        <f t="shared" si="17"/>
        <v>1</v>
      </c>
    </row>
    <row r="33" spans="1:29" s="422" customFormat="1" ht="15">
      <c r="A33" s="419"/>
      <c r="B33" s="375" t="s">
        <v>1695</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1893"/>
      <c r="L33" s="2715"/>
      <c r="M33" s="2717"/>
      <c r="N33" s="2717"/>
      <c r="O33" s="2717"/>
      <c r="P33" s="3733"/>
      <c r="Q33" s="706" t="str">
        <f t="shared" si="11"/>
        <v>项目建筑规模</v>
      </c>
      <c r="R33" s="707" t="s">
        <v>18</v>
      </c>
      <c r="S33" s="708">
        <f t="shared" si="12"/>
        <v>100</v>
      </c>
      <c r="T33" s="707" t="s">
        <v>18</v>
      </c>
      <c r="U33" s="708">
        <f t="shared" si="13"/>
        <v>100</v>
      </c>
      <c r="V33" s="707" t="s">
        <v>18</v>
      </c>
      <c r="W33" s="708">
        <f t="shared" si="14"/>
        <v>100</v>
      </c>
      <c r="X33" s="709"/>
      <c r="Y33" s="3735"/>
      <c r="Z33" s="710" t="str">
        <f t="shared" si="18"/>
        <v>项目建筑规模</v>
      </c>
      <c r="AA33" s="1352">
        <f t="shared" si="15"/>
        <v>1</v>
      </c>
      <c r="AB33" s="1352">
        <f t="shared" si="16"/>
        <v>1</v>
      </c>
      <c r="AC33" s="1352">
        <f t="shared" si="17"/>
        <v>1</v>
      </c>
    </row>
    <row r="34" spans="1:29" ht="15">
      <c r="A34" s="423"/>
      <c r="B34" s="375" t="s">
        <v>1696</v>
      </c>
      <c r="C34" s="1910" t="s">
        <v>3401</v>
      </c>
      <c r="D34" s="386">
        <v>100</v>
      </c>
      <c r="E34" s="1910" t="s">
        <v>3401</v>
      </c>
      <c r="F34" s="412">
        <f>SUMIF(105:105,E34,106:106)-SUMIF(105:105,C34,106:106)+100</f>
        <v>100</v>
      </c>
      <c r="G34" s="1910" t="s">
        <v>3401</v>
      </c>
      <c r="H34" s="386">
        <f>SUMIF(105:105,G34,106:106)-SUMIF(105:105,C34,106:106)+100</f>
        <v>100</v>
      </c>
      <c r="I34" s="1910" t="s">
        <v>3401</v>
      </c>
      <c r="J34" s="386">
        <f>SUMIF(105:105,I34,106:106)-SUMIF(105:105,C34,106:106)+100</f>
        <v>100</v>
      </c>
      <c r="K34" s="377">
        <v>2</v>
      </c>
      <c r="L34" s="2716"/>
      <c r="M34" s="2710"/>
      <c r="N34" s="2710"/>
      <c r="O34" s="2710"/>
      <c r="P34" s="3733"/>
      <c r="Q34" s="1351" t="str">
        <f t="shared" si="11"/>
        <v>建筑结构</v>
      </c>
      <c r="R34" s="704" t="s">
        <v>18</v>
      </c>
      <c r="S34" s="705">
        <f t="shared" si="12"/>
        <v>100</v>
      </c>
      <c r="T34" s="704" t="s">
        <v>18</v>
      </c>
      <c r="U34" s="705">
        <f t="shared" si="13"/>
        <v>100</v>
      </c>
      <c r="V34" s="704" t="s">
        <v>18</v>
      </c>
      <c r="W34" s="705">
        <f t="shared" si="14"/>
        <v>100</v>
      </c>
      <c r="X34" s="1354"/>
      <c r="Y34" s="3735"/>
      <c r="Z34" s="1355" t="str">
        <f t="shared" si="18"/>
        <v>建筑结构</v>
      </c>
      <c r="AA34" s="1352">
        <f t="shared" si="15"/>
        <v>1</v>
      </c>
      <c r="AB34" s="1352">
        <f t="shared" si="16"/>
        <v>1</v>
      </c>
      <c r="AC34" s="1352">
        <f t="shared" si="17"/>
        <v>1</v>
      </c>
    </row>
    <row r="35" spans="1:29" ht="15">
      <c r="A35" s="423"/>
      <c r="B35" s="375" t="s">
        <v>1697</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377">
        <v>2</v>
      </c>
      <c r="L35" s="2716"/>
      <c r="M35" s="2710"/>
      <c r="N35" s="2710"/>
      <c r="O35" s="2710"/>
      <c r="P35" s="3733"/>
      <c r="Q35" s="1351" t="str">
        <f t="shared" si="11"/>
        <v>建筑品质</v>
      </c>
      <c r="R35" s="704" t="s">
        <v>18</v>
      </c>
      <c r="S35" s="705">
        <f t="shared" si="12"/>
        <v>100</v>
      </c>
      <c r="T35" s="704" t="s">
        <v>18</v>
      </c>
      <c r="U35" s="705">
        <f t="shared" si="13"/>
        <v>100</v>
      </c>
      <c r="V35" s="704" t="s">
        <v>18</v>
      </c>
      <c r="W35" s="705">
        <f t="shared" si="14"/>
        <v>100</v>
      </c>
      <c r="X35" s="1354"/>
      <c r="Y35" s="3735"/>
      <c r="Z35" s="1355" t="str">
        <f t="shared" si="18"/>
        <v>建筑品质</v>
      </c>
      <c r="AA35" s="1352">
        <f t="shared" si="15"/>
        <v>1</v>
      </c>
      <c r="AB35" s="1352">
        <f t="shared" si="16"/>
        <v>1</v>
      </c>
      <c r="AC35" s="1352">
        <f t="shared" si="17"/>
        <v>1</v>
      </c>
    </row>
    <row r="36" spans="1:29" ht="15">
      <c r="A36" s="423"/>
      <c r="B36" s="375" t="s">
        <v>1698</v>
      </c>
      <c r="C36" s="1905" t="s">
        <v>3447</v>
      </c>
      <c r="D36" s="386">
        <v>100</v>
      </c>
      <c r="E36" s="1905" t="s">
        <v>3447</v>
      </c>
      <c r="F36" s="412">
        <f>SUMIF(109:109,E36,110:110)-SUMIF(109:109,C36,110:110)+100</f>
        <v>100</v>
      </c>
      <c r="G36" s="1905" t="s">
        <v>3447</v>
      </c>
      <c r="H36" s="386">
        <f>SUMIF(109:109,G36,110:110)-SUMIF(109:109,C36,110:110)+100</f>
        <v>100</v>
      </c>
      <c r="I36" s="1905" t="s">
        <v>3447</v>
      </c>
      <c r="J36" s="386">
        <f>SUMIF(109:109,I36,110:110)-SUMIF(109:109,C36,110:110)+100</f>
        <v>100</v>
      </c>
      <c r="K36" s="377">
        <v>2</v>
      </c>
      <c r="L36" s="2716"/>
      <c r="M36" s="2710"/>
      <c r="N36" s="2710"/>
      <c r="O36" s="2710"/>
      <c r="P36" s="3733"/>
      <c r="Q36" s="1351" t="str">
        <f t="shared" si="11"/>
        <v>公共部分装修</v>
      </c>
      <c r="R36" s="704" t="s">
        <v>18</v>
      </c>
      <c r="S36" s="705">
        <f t="shared" si="12"/>
        <v>100</v>
      </c>
      <c r="T36" s="704" t="s">
        <v>18</v>
      </c>
      <c r="U36" s="705">
        <f t="shared" si="13"/>
        <v>100</v>
      </c>
      <c r="V36" s="704" t="s">
        <v>18</v>
      </c>
      <c r="W36" s="705">
        <f t="shared" si="14"/>
        <v>100</v>
      </c>
      <c r="X36" s="1354"/>
      <c r="Y36" s="3735"/>
      <c r="Z36" s="1355" t="str">
        <f t="shared" si="18"/>
        <v>公共部分装修</v>
      </c>
      <c r="AA36" s="1352">
        <f t="shared" si="15"/>
        <v>1</v>
      </c>
      <c r="AB36" s="1352">
        <f t="shared" si="16"/>
        <v>1</v>
      </c>
      <c r="AC36" s="1352">
        <f t="shared" si="17"/>
        <v>1</v>
      </c>
    </row>
    <row r="37" spans="1:29" s="108" customFormat="1" ht="15">
      <c r="A37" s="424"/>
      <c r="B37" s="375" t="s">
        <v>1699</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1"/>
      <c r="M37" s="2712"/>
      <c r="N37" s="2712"/>
      <c r="O37" s="2712"/>
      <c r="P37" s="3733"/>
      <c r="Q37" s="1342" t="str">
        <f t="shared" si="11"/>
        <v>成新度</v>
      </c>
      <c r="R37" s="700" t="s">
        <v>18</v>
      </c>
      <c r="S37" s="701" t="e">
        <f t="shared" si="12"/>
        <v>#N/A</v>
      </c>
      <c r="T37" s="700" t="s">
        <v>18</v>
      </c>
      <c r="U37" s="701" t="e">
        <f t="shared" si="13"/>
        <v>#N/A</v>
      </c>
      <c r="V37" s="700" t="s">
        <v>18</v>
      </c>
      <c r="W37" s="701" t="e">
        <f t="shared" si="14"/>
        <v>#N/A</v>
      </c>
      <c r="X37" s="702"/>
      <c r="Y37" s="3735"/>
      <c r="Z37" s="52" t="str">
        <f t="shared" si="18"/>
        <v>成新度</v>
      </c>
      <c r="AA37" s="703" t="e">
        <f t="shared" si="15"/>
        <v>#N/A</v>
      </c>
      <c r="AB37" s="703" t="e">
        <f t="shared" si="16"/>
        <v>#N/A</v>
      </c>
      <c r="AC37" s="703" t="e">
        <f t="shared" si="17"/>
        <v>#N/A</v>
      </c>
    </row>
    <row r="38" spans="1:29" ht="15">
      <c r="A38" s="423"/>
      <c r="B38" s="375" t="s">
        <v>1700</v>
      </c>
      <c r="C38" s="1905" t="s">
        <v>3448</v>
      </c>
      <c r="D38" s="386">
        <v>100</v>
      </c>
      <c r="E38" s="1905" t="s">
        <v>3448</v>
      </c>
      <c r="F38" s="412">
        <f>SUMIF(114:114,E38,115:115)-SUMIF(114:114,C38,115:115)+100</f>
        <v>100</v>
      </c>
      <c r="G38" s="1905" t="s">
        <v>3448</v>
      </c>
      <c r="H38" s="386">
        <f>SUMIF(114:114,G38,115:115)-SUMIF(114:114,C38,115:115)+100</f>
        <v>100</v>
      </c>
      <c r="I38" s="1905" t="s">
        <v>3448</v>
      </c>
      <c r="J38" s="386">
        <f>SUMIF(114:114,I38,115:115)-SUMIF(114:114,C38,115:115)+100</f>
        <v>100</v>
      </c>
      <c r="K38" s="377">
        <v>2</v>
      </c>
      <c r="L38" s="2716"/>
      <c r="M38" s="2710"/>
      <c r="N38" s="2710"/>
      <c r="O38" s="2710"/>
      <c r="P38" s="3733" t="s">
        <v>1694</v>
      </c>
      <c r="Q38" s="1351" t="str">
        <f t="shared" si="11"/>
        <v>物业管理</v>
      </c>
      <c r="R38" s="704" t="s">
        <v>18</v>
      </c>
      <c r="S38" s="705">
        <f t="shared" si="12"/>
        <v>100</v>
      </c>
      <c r="T38" s="704" t="s">
        <v>18</v>
      </c>
      <c r="U38" s="705">
        <f t="shared" si="13"/>
        <v>100</v>
      </c>
      <c r="V38" s="704" t="s">
        <v>18</v>
      </c>
      <c r="W38" s="705">
        <f t="shared" si="14"/>
        <v>100</v>
      </c>
      <c r="X38" s="1354"/>
      <c r="Y38" s="3735" t="s">
        <v>1694</v>
      </c>
      <c r="Z38" s="1355" t="str">
        <f t="shared" si="18"/>
        <v>物业管理</v>
      </c>
      <c r="AA38" s="1352">
        <f t="shared" si="15"/>
        <v>1</v>
      </c>
      <c r="AB38" s="1352">
        <f t="shared" si="16"/>
        <v>1</v>
      </c>
      <c r="AC38" s="1352">
        <f t="shared" si="17"/>
        <v>1</v>
      </c>
    </row>
    <row r="39" spans="1:29" ht="15">
      <c r="A39" s="423"/>
      <c r="B39" s="375" t="s">
        <v>1701</v>
      </c>
      <c r="C39" s="1905" t="s">
        <v>3388</v>
      </c>
      <c r="D39" s="386">
        <v>100</v>
      </c>
      <c r="E39" s="1905" t="s">
        <v>3388</v>
      </c>
      <c r="F39" s="412">
        <f>SUMIF(116:116,E39,117:117)-SUMIF(116:116,C39,117:117)+100</f>
        <v>100</v>
      </c>
      <c r="G39" s="1905" t="s">
        <v>3388</v>
      </c>
      <c r="H39" s="386">
        <f>SUMIF(116:116,G39,117:117)-SUMIF(116:116,C39,117:117)+100</f>
        <v>100</v>
      </c>
      <c r="I39" s="1905" t="s">
        <v>3388</v>
      </c>
      <c r="J39" s="386">
        <f>SUMIF(116:116,I39,117:117)-SUMIF(116:116,C39,117:117)+100</f>
        <v>100</v>
      </c>
      <c r="K39" s="377">
        <v>1</v>
      </c>
      <c r="L39" s="2716"/>
      <c r="M39" s="2710"/>
      <c r="N39" s="2710"/>
      <c r="O39" s="2710"/>
      <c r="P39" s="3733"/>
      <c r="Q39" s="1351" t="str">
        <f t="shared" si="11"/>
        <v>市政基础设施</v>
      </c>
      <c r="R39" s="704" t="s">
        <v>18</v>
      </c>
      <c r="S39" s="705">
        <f t="shared" si="12"/>
        <v>100</v>
      </c>
      <c r="T39" s="704" t="s">
        <v>18</v>
      </c>
      <c r="U39" s="705">
        <f t="shared" si="13"/>
        <v>100</v>
      </c>
      <c r="V39" s="704" t="s">
        <v>18</v>
      </c>
      <c r="W39" s="705">
        <f t="shared" si="14"/>
        <v>100</v>
      </c>
      <c r="X39" s="1354"/>
      <c r="Y39" s="3735"/>
      <c r="Z39" s="1355" t="str">
        <f t="shared" si="18"/>
        <v>市政基础设施</v>
      </c>
      <c r="AA39" s="1352">
        <f t="shared" si="15"/>
        <v>1</v>
      </c>
      <c r="AB39" s="1352">
        <f t="shared" si="16"/>
        <v>1</v>
      </c>
      <c r="AC39" s="1352">
        <f t="shared" si="17"/>
        <v>1</v>
      </c>
    </row>
    <row r="40" spans="1:29" ht="15">
      <c r="A40" s="423"/>
      <c r="B40" s="375" t="s">
        <v>1702</v>
      </c>
      <c r="C40" s="1905"/>
      <c r="D40" s="386">
        <v>100</v>
      </c>
      <c r="E40" s="1905"/>
      <c r="F40" s="412">
        <f>SUMIF(118:118,E40,119:119)-SUMIF(118:118,C40,119:119)+100</f>
        <v>100</v>
      </c>
      <c r="G40" s="1905"/>
      <c r="H40" s="386">
        <f>SUMIF(118:118,G40,119:119)-SUMIF(118:118,C40,119:119)+100</f>
        <v>100</v>
      </c>
      <c r="I40" s="1905"/>
      <c r="J40" s="386">
        <f>SUMIF(118:118,I40,119:119)-SUMIF(118:118,C40,119:119)+100</f>
        <v>100</v>
      </c>
      <c r="K40" s="377">
        <v>2</v>
      </c>
      <c r="L40" s="2716"/>
      <c r="M40" s="2710"/>
      <c r="N40" s="2710"/>
      <c r="O40" s="2710"/>
      <c r="P40" s="3733"/>
      <c r="Q40" s="1351" t="str">
        <f t="shared" si="11"/>
        <v>房型</v>
      </c>
      <c r="R40" s="704" t="s">
        <v>18</v>
      </c>
      <c r="S40" s="705">
        <f t="shared" si="12"/>
        <v>100</v>
      </c>
      <c r="T40" s="704" t="s">
        <v>18</v>
      </c>
      <c r="U40" s="705">
        <f t="shared" si="13"/>
        <v>100</v>
      </c>
      <c r="V40" s="704" t="s">
        <v>18</v>
      </c>
      <c r="W40" s="705">
        <f t="shared" si="14"/>
        <v>100</v>
      </c>
      <c r="X40" s="1354"/>
      <c r="Y40" s="3735"/>
      <c r="Z40" s="1355" t="str">
        <f t="shared" si="18"/>
        <v>房型</v>
      </c>
      <c r="AA40" s="1352">
        <f t="shared" si="15"/>
        <v>1</v>
      </c>
      <c r="AB40" s="1352">
        <f t="shared" si="16"/>
        <v>1</v>
      </c>
      <c r="AC40" s="1352">
        <f t="shared" si="17"/>
        <v>1</v>
      </c>
    </row>
    <row r="41" spans="1:29" s="422" customFormat="1" ht="28.5">
      <c r="A41" s="419"/>
      <c r="B41" s="375" t="s">
        <v>1703</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3"/>
      <c r="L41" s="2715"/>
      <c r="M41" s="2717"/>
      <c r="N41" s="2717"/>
      <c r="O41" s="2717"/>
      <c r="P41" s="3733"/>
      <c r="Q41" s="706" t="str">
        <f t="shared" si="11"/>
        <v>单套/主力户型建筑面积</v>
      </c>
      <c r="R41" s="707" t="s">
        <v>18</v>
      </c>
      <c r="S41" s="708">
        <f t="shared" si="12"/>
        <v>100</v>
      </c>
      <c r="T41" s="707" t="s">
        <v>18</v>
      </c>
      <c r="U41" s="708">
        <f t="shared" si="13"/>
        <v>100</v>
      </c>
      <c r="V41" s="707" t="s">
        <v>18</v>
      </c>
      <c r="W41" s="708">
        <f t="shared" si="14"/>
        <v>100</v>
      </c>
      <c r="X41" s="709"/>
      <c r="Y41" s="3735"/>
      <c r="Z41" s="710" t="str">
        <f t="shared" si="18"/>
        <v>单套/主力户型建筑面积</v>
      </c>
      <c r="AA41" s="1352">
        <f t="shared" si="15"/>
        <v>1</v>
      </c>
      <c r="AB41" s="1352">
        <f t="shared" si="16"/>
        <v>1</v>
      </c>
      <c r="AC41" s="1352">
        <f t="shared" si="17"/>
        <v>1</v>
      </c>
    </row>
    <row r="42" spans="1:29" ht="15">
      <c r="A42" s="423"/>
      <c r="B42" s="375" t="s">
        <v>1704</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377">
        <v>2</v>
      </c>
      <c r="L42" s="2716"/>
      <c r="M42" s="2710"/>
      <c r="N42" s="2710"/>
      <c r="O42" s="2710"/>
      <c r="P42" s="3733"/>
      <c r="Q42" s="1351" t="str">
        <f t="shared" si="11"/>
        <v>内部装修</v>
      </c>
      <c r="R42" s="704" t="s">
        <v>18</v>
      </c>
      <c r="S42" s="705">
        <f t="shared" si="12"/>
        <v>100</v>
      </c>
      <c r="T42" s="704" t="s">
        <v>18</v>
      </c>
      <c r="U42" s="705">
        <f t="shared" si="13"/>
        <v>100</v>
      </c>
      <c r="V42" s="704" t="s">
        <v>18</v>
      </c>
      <c r="W42" s="705">
        <f t="shared" si="14"/>
        <v>100</v>
      </c>
      <c r="X42" s="1354"/>
      <c r="Y42" s="3735"/>
      <c r="Z42" s="1355" t="str">
        <f t="shared" si="18"/>
        <v>内部装修</v>
      </c>
      <c r="AA42" s="1352">
        <f t="shared" si="15"/>
        <v>1</v>
      </c>
      <c r="AB42" s="1352">
        <f t="shared" si="16"/>
        <v>1</v>
      </c>
      <c r="AC42" s="1352">
        <f t="shared" si="17"/>
        <v>1</v>
      </c>
    </row>
    <row r="43" spans="1:29" ht="15">
      <c r="A43" s="423"/>
      <c r="B43" s="375" t="s">
        <v>1705</v>
      </c>
      <c r="C43" s="1905" t="s">
        <v>3387</v>
      </c>
      <c r="D43" s="386">
        <v>100</v>
      </c>
      <c r="E43" s="1905" t="s">
        <v>3387</v>
      </c>
      <c r="F43" s="412">
        <f>SUMIF(124:124,E43,125:125)-SUMIF(124:124,C43,125:125)+100</f>
        <v>100</v>
      </c>
      <c r="G43" s="1905" t="s">
        <v>3387</v>
      </c>
      <c r="H43" s="386">
        <f>SUMIF(124:124,G43,125:125)-SUMIF(124:124,C43,125:125)+100</f>
        <v>100</v>
      </c>
      <c r="I43" s="1905" t="s">
        <v>3387</v>
      </c>
      <c r="J43" s="386">
        <f>SUMIF(124:124,I43,125:125)-SUMIF(124:124,C43,125:125)+100</f>
        <v>100</v>
      </c>
      <c r="K43" s="377">
        <v>2</v>
      </c>
      <c r="L43" s="2716"/>
      <c r="M43" s="2710"/>
      <c r="N43" s="2710"/>
      <c r="O43" s="2710"/>
      <c r="P43" s="3733"/>
      <c r="Q43" s="1351" t="str">
        <f t="shared" si="11"/>
        <v>内部装修维护情况</v>
      </c>
      <c r="R43" s="704" t="s">
        <v>18</v>
      </c>
      <c r="S43" s="705">
        <f t="shared" si="12"/>
        <v>100</v>
      </c>
      <c r="T43" s="704" t="s">
        <v>18</v>
      </c>
      <c r="U43" s="705">
        <f t="shared" si="13"/>
        <v>100</v>
      </c>
      <c r="V43" s="704" t="s">
        <v>18</v>
      </c>
      <c r="W43" s="705">
        <f t="shared" si="14"/>
        <v>100</v>
      </c>
      <c r="X43" s="1354"/>
      <c r="Y43" s="3735"/>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1"/>
      <c r="M44" s="2712"/>
      <c r="N44" s="2712"/>
      <c r="O44" s="2712"/>
      <c r="P44" s="3733"/>
      <c r="Q44" s="1342">
        <f t="shared" si="11"/>
        <v>111</v>
      </c>
      <c r="R44" s="700" t="s">
        <v>18</v>
      </c>
      <c r="S44" s="701">
        <f t="shared" si="12"/>
        <v>100</v>
      </c>
      <c r="T44" s="700" t="s">
        <v>18</v>
      </c>
      <c r="U44" s="701">
        <f t="shared" si="13"/>
        <v>100</v>
      </c>
      <c r="V44" s="700" t="s">
        <v>18</v>
      </c>
      <c r="W44" s="701">
        <f t="shared" si="14"/>
        <v>100</v>
      </c>
      <c r="X44" s="702"/>
      <c r="Y44" s="3735"/>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6"/>
      <c r="M45" s="2710"/>
      <c r="N45" s="2710"/>
      <c r="O45" s="2710"/>
      <c r="P45" s="3733"/>
      <c r="Q45" s="1351">
        <f t="shared" si="11"/>
        <v>111</v>
      </c>
      <c r="R45" s="704" t="s">
        <v>18</v>
      </c>
      <c r="S45" s="705">
        <f t="shared" si="12"/>
        <v>100</v>
      </c>
      <c r="T45" s="704" t="s">
        <v>18</v>
      </c>
      <c r="U45" s="705">
        <f t="shared" si="13"/>
        <v>100</v>
      </c>
      <c r="V45" s="704" t="s">
        <v>18</v>
      </c>
      <c r="W45" s="705">
        <f t="shared" si="14"/>
        <v>100</v>
      </c>
      <c r="X45" s="1354"/>
      <c r="Y45" s="3735"/>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6"/>
      <c r="M46" s="2710"/>
      <c r="N46" s="2710"/>
      <c r="O46" s="2710"/>
      <c r="P46" s="3734"/>
      <c r="Q46" s="1351">
        <f t="shared" si="11"/>
        <v>111</v>
      </c>
      <c r="R46" s="704" t="s">
        <v>17</v>
      </c>
      <c r="S46" s="705">
        <f t="shared" si="12"/>
        <v>100</v>
      </c>
      <c r="T46" s="704" t="s">
        <v>17</v>
      </c>
      <c r="U46" s="705">
        <f t="shared" si="13"/>
        <v>100</v>
      </c>
      <c r="V46" s="704" t="s">
        <v>17</v>
      </c>
      <c r="W46" s="705">
        <f t="shared" si="14"/>
        <v>100</v>
      </c>
      <c r="X46" s="1354"/>
      <c r="Y46" s="3736"/>
      <c r="Z46" s="1355">
        <f t="shared" si="18"/>
        <v>111</v>
      </c>
      <c r="AA46" s="1352">
        <f t="shared" si="15"/>
        <v>1</v>
      </c>
      <c r="AB46" s="1352">
        <f t="shared" si="16"/>
        <v>1</v>
      </c>
      <c r="AC46" s="1352">
        <f t="shared" si="17"/>
        <v>1</v>
      </c>
    </row>
    <row r="47" spans="1:29" ht="15">
      <c r="A47" s="430" t="s">
        <v>1706</v>
      </c>
      <c r="B47" s="431"/>
      <c r="C47" s="1153" t="s">
        <v>16</v>
      </c>
      <c r="D47" s="1154"/>
      <c r="E47" s="1155"/>
      <c r="F47" s="1156"/>
      <c r="G47" s="1157"/>
      <c r="H47" s="1158"/>
      <c r="I47" s="1155"/>
      <c r="J47" s="1158"/>
      <c r="K47" s="1911"/>
      <c r="L47" s="2718"/>
      <c r="M47" s="2719"/>
      <c r="N47" s="2710"/>
      <c r="O47" s="2719"/>
      <c r="P47" s="3728" t="str">
        <f>A47</f>
        <v>成交单价（元/平方米）</v>
      </c>
      <c r="Q47" s="3728"/>
      <c r="R47" s="3729">
        <f>E47</f>
        <v>0</v>
      </c>
      <c r="S47" s="3729"/>
      <c r="T47" s="3729">
        <f>G47</f>
        <v>0</v>
      </c>
      <c r="U47" s="3729"/>
      <c r="V47" s="3729">
        <f>I47</f>
        <v>0</v>
      </c>
      <c r="W47" s="3729"/>
      <c r="X47" s="689"/>
      <c r="Y47" s="711"/>
      <c r="Z47" s="689"/>
      <c r="AA47" s="689"/>
      <c r="AB47" s="689"/>
      <c r="AC47" s="689"/>
    </row>
    <row r="48" spans="1:29" ht="15.75" thickBot="1">
      <c r="A48" s="437" t="s">
        <v>1707</v>
      </c>
      <c r="B48" s="438"/>
      <c r="C48" s="1159" t="e">
        <f>R49</f>
        <v>#DIV/0!</v>
      </c>
      <c r="D48" s="2314" t="s">
        <v>2136</v>
      </c>
      <c r="E48" s="1160" t="e">
        <f>R48</f>
        <v>#DIV/0!</v>
      </c>
      <c r="F48" s="2315"/>
      <c r="G48" s="1159" t="e">
        <f>T48</f>
        <v>#DIV/0!</v>
      </c>
      <c r="H48" s="2315"/>
      <c r="I48" s="1160" t="e">
        <f>V48</f>
        <v>#DIV/0!</v>
      </c>
      <c r="J48" s="2315"/>
      <c r="K48" s="2316">
        <f>F48+H48+J48</f>
        <v>0</v>
      </c>
      <c r="L48" s="2718"/>
      <c r="M48" s="2719"/>
      <c r="N48" s="2719"/>
      <c r="O48" s="2719"/>
      <c r="P48" s="3728" t="str">
        <f>A48</f>
        <v>比较价值（元/平方米）</v>
      </c>
      <c r="Q48" s="3728"/>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89"/>
      <c r="Y48" s="689"/>
      <c r="Z48" s="689"/>
      <c r="AA48" s="689"/>
      <c r="AB48" s="689"/>
      <c r="AC48" s="689"/>
    </row>
    <row r="49" spans="1:29" ht="15.75" thickBot="1">
      <c r="A49" s="441" t="s">
        <v>1708</v>
      </c>
      <c r="B49" s="442"/>
      <c r="C49" s="1161" t="e">
        <f>R49</f>
        <v>#DIV/0!</v>
      </c>
      <c r="D49" s="1162"/>
      <c r="E49" s="1162"/>
      <c r="F49" s="1162"/>
      <c r="G49" s="1162"/>
      <c r="H49" s="1162"/>
      <c r="I49" s="1162"/>
      <c r="J49" s="1162"/>
      <c r="K49" s="1912"/>
      <c r="L49" s="2718"/>
      <c r="M49" s="2719"/>
      <c r="N49" s="2719"/>
      <c r="O49" s="2719"/>
      <c r="P49" s="3725" t="str">
        <f>A49</f>
        <v>估价对象XX用房的比较价值（楼面单价，元/平方米）</v>
      </c>
      <c r="Q49" s="3726"/>
      <c r="R49" s="3727" t="e">
        <f>IF(F1="售价",ROUND(IF(D48="简单平均",AVERAGE(R48:V48),R48*F48+T48*H48+V48*J48),0),ROUND(IF(D48="简单平均",AVERAGE(R48:V48),R48*F48+T48*H48+V48*J48),1))</f>
        <v>#DIV/0!</v>
      </c>
      <c r="S49" s="3727"/>
      <c r="T49" s="3727"/>
      <c r="U49" s="3727"/>
      <c r="V49" s="3727"/>
      <c r="W49" s="3727"/>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4"/>
    </row>
    <row r="55" spans="1:29" s="451" customFormat="1">
      <c r="A55" s="2722"/>
      <c r="B55" s="2725"/>
      <c r="C55" s="2726"/>
      <c r="D55" s="2722"/>
      <c r="E55" s="2722"/>
      <c r="F55" s="2722"/>
      <c r="G55" s="2722"/>
      <c r="H55" s="2722"/>
      <c r="I55" s="2722"/>
      <c r="J55" s="2722"/>
      <c r="K55" s="2727"/>
      <c r="L55" s="2721"/>
      <c r="M55" s="2722"/>
      <c r="N55" s="2722"/>
      <c r="O55" s="2722"/>
      <c r="P55" s="1914"/>
    </row>
    <row r="56" spans="1:29">
      <c r="A56" s="2719"/>
      <c r="B56" s="2725"/>
      <c r="C56" s="2726"/>
      <c r="D56" s="2719"/>
      <c r="E56" s="2719"/>
      <c r="F56" s="2719"/>
      <c r="G56" s="2719"/>
      <c r="H56" s="2719"/>
      <c r="I56" s="2719"/>
      <c r="J56" s="2719"/>
      <c r="K56" s="2724"/>
      <c r="L56" s="2720"/>
      <c r="M56" s="2719"/>
      <c r="N56" s="2719"/>
      <c r="O56" s="2719"/>
    </row>
    <row r="57" spans="1:29" ht="21.75" thickBot="1">
      <c r="A57" s="693" t="s">
        <v>1712</v>
      </c>
      <c r="B57" s="689"/>
      <c r="C57" s="694"/>
      <c r="D57" s="694"/>
      <c r="E57" s="694"/>
      <c r="F57" s="695"/>
      <c r="G57" s="695"/>
      <c r="H57" s="694"/>
      <c r="I57" s="694"/>
      <c r="J57" s="694"/>
      <c r="K57" s="940"/>
      <c r="L57" s="941"/>
      <c r="M57" s="939"/>
      <c r="N57" s="939"/>
      <c r="O57" s="939"/>
      <c r="P57" s="1915"/>
      <c r="Q57" s="453"/>
    </row>
    <row r="58" spans="1:29" s="457" customFormat="1" ht="15">
      <c r="A58" s="454" t="s">
        <v>1713</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8" customFormat="1" ht="15">
      <c r="A59" s="458"/>
      <c r="B59" s="1916"/>
      <c r="C59" s="1182">
        <v>100</v>
      </c>
      <c r="D59" s="1182">
        <v>100</v>
      </c>
      <c r="E59" s="1182">
        <v>100</v>
      </c>
      <c r="F59" s="1182">
        <v>100</v>
      </c>
      <c r="G59" s="1182">
        <v>100</v>
      </c>
      <c r="H59" s="1182">
        <v>100</v>
      </c>
      <c r="I59" s="1182">
        <v>100</v>
      </c>
      <c r="J59" s="1182">
        <v>100</v>
      </c>
      <c r="K59" s="1182">
        <v>100</v>
      </c>
      <c r="L59" s="1182">
        <v>100</v>
      </c>
      <c r="M59" s="1182">
        <v>100</v>
      </c>
      <c r="N59" s="461"/>
      <c r="O59" s="462"/>
      <c r="P59" s="1917"/>
    </row>
    <row r="60" spans="1:29" s="108" customFormat="1" ht="15.75" thickBot="1">
      <c r="A60" s="464" t="s">
        <v>1714</v>
      </c>
      <c r="B60" s="465"/>
      <c r="C60" s="466"/>
      <c r="D60" s="467"/>
      <c r="E60" s="467"/>
      <c r="F60" s="467"/>
      <c r="G60" s="467"/>
      <c r="H60" s="467"/>
      <c r="I60" s="467"/>
      <c r="J60" s="467"/>
      <c r="K60" s="467"/>
      <c r="L60" s="467"/>
      <c r="M60" s="468"/>
      <c r="N60" s="467"/>
      <c r="O60" s="468"/>
      <c r="P60" s="1917"/>
      <c r="Q60" s="453"/>
    </row>
    <row r="61" spans="1:29" s="108" customFormat="1" ht="15">
      <c r="A61" s="470" t="s">
        <v>1715</v>
      </c>
      <c r="B61" s="459"/>
      <c r="C61" s="471" t="s">
        <v>1716</v>
      </c>
      <c r="D61" s="472" t="s">
        <v>3403</v>
      </c>
      <c r="E61" s="472"/>
      <c r="F61" s="472"/>
      <c r="G61" s="472"/>
      <c r="H61" s="472"/>
      <c r="I61" s="472"/>
      <c r="J61" s="472"/>
      <c r="K61" s="472"/>
      <c r="L61" s="473"/>
      <c r="M61" s="474"/>
      <c r="N61" s="931"/>
      <c r="O61" s="931"/>
      <c r="P61" s="1918"/>
      <c r="Q61" s="453"/>
    </row>
    <row r="62" spans="1:29" s="108" customFormat="1" ht="15.75" thickBot="1">
      <c r="A62" s="470"/>
      <c r="B62" s="459"/>
      <c r="C62" s="460">
        <v>100</v>
      </c>
      <c r="D62" s="461">
        <v>102</v>
      </c>
      <c r="E62" s="461"/>
      <c r="F62" s="461"/>
      <c r="G62" s="461"/>
      <c r="H62" s="461"/>
      <c r="I62" s="461"/>
      <c r="J62" s="461"/>
      <c r="K62" s="461"/>
      <c r="L62" s="461"/>
      <c r="M62" s="463"/>
      <c r="N62" s="931"/>
      <c r="O62" s="931"/>
      <c r="P62" s="1917"/>
      <c r="Q62" s="453"/>
    </row>
    <row r="63" spans="1:29">
      <c r="A63" s="476" t="s">
        <v>1717</v>
      </c>
      <c r="B63" s="477" t="s">
        <v>1683</v>
      </c>
      <c r="C63" s="478">
        <f>C9</f>
        <v>0</v>
      </c>
      <c r="D63" s="479"/>
      <c r="E63" s="479"/>
      <c r="F63" s="479"/>
      <c r="G63" s="479"/>
      <c r="H63" s="479"/>
      <c r="I63" s="479"/>
      <c r="J63" s="479"/>
      <c r="K63" s="480"/>
      <c r="L63" s="481"/>
      <c r="M63" s="482"/>
      <c r="N63" s="932"/>
      <c r="O63" s="932"/>
      <c r="P63" s="1919"/>
      <c r="Q63" s="453"/>
    </row>
    <row r="64" spans="1:29" ht="15.75" thickBot="1">
      <c r="A64" s="483"/>
      <c r="B64" s="484"/>
      <c r="C64" s="485">
        <v>100</v>
      </c>
      <c r="D64" s="485"/>
      <c r="E64" s="485"/>
      <c r="F64" s="485"/>
      <c r="G64" s="485"/>
      <c r="H64" s="485"/>
      <c r="I64" s="485"/>
      <c r="J64" s="485"/>
      <c r="K64" s="485"/>
      <c r="L64" s="485"/>
      <c r="M64" s="486"/>
      <c r="N64" s="933"/>
      <c r="O64" s="933"/>
      <c r="P64" s="1919"/>
      <c r="Q64" s="453"/>
    </row>
    <row r="65" spans="1:17" ht="27.75" thickTop="1">
      <c r="A65" s="483"/>
      <c r="B65" s="487" t="s">
        <v>1686</v>
      </c>
      <c r="C65" s="532" t="s">
        <v>3404</v>
      </c>
      <c r="D65" s="532" t="s">
        <v>3405</v>
      </c>
      <c r="E65" s="532" t="s">
        <v>3406</v>
      </c>
      <c r="F65" s="532" t="s">
        <v>3407</v>
      </c>
      <c r="G65" s="532" t="s">
        <v>3408</v>
      </c>
      <c r="H65" s="532" t="s">
        <v>3409</v>
      </c>
      <c r="I65" s="532" t="s">
        <v>3410</v>
      </c>
      <c r="J65" s="532"/>
      <c r="K65" s="532"/>
      <c r="L65" s="532"/>
      <c r="M65" s="532"/>
      <c r="N65" s="933"/>
      <c r="O65" s="933"/>
      <c r="P65" s="1919"/>
      <c r="Q65" s="453"/>
    </row>
    <row r="66" spans="1:17" ht="15.75" thickBot="1">
      <c r="A66" s="483"/>
      <c r="B66" s="492"/>
      <c r="C66" s="485">
        <v>100</v>
      </c>
      <c r="D66" s="485">
        <v>98</v>
      </c>
      <c r="E66" s="485">
        <v>96</v>
      </c>
      <c r="F66" s="485">
        <v>94</v>
      </c>
      <c r="G66" s="485">
        <v>92</v>
      </c>
      <c r="H66" s="485">
        <v>90</v>
      </c>
      <c r="I66" s="485">
        <v>88</v>
      </c>
      <c r="J66" s="485"/>
      <c r="K66" s="485"/>
      <c r="L66" s="485"/>
      <c r="M66" s="486"/>
      <c r="N66" s="933"/>
      <c r="O66" s="933"/>
      <c r="P66" s="1919"/>
      <c r="Q66" s="453"/>
    </row>
    <row r="67" spans="1:17" ht="15.75" thickTop="1">
      <c r="A67" s="483"/>
      <c r="B67" s="495" t="s">
        <v>1687</v>
      </c>
      <c r="C67" s="496" t="str">
        <f>C68&amp;"（含）"&amp;"-"&amp;D68</f>
        <v>0（含）-0.5</v>
      </c>
      <c r="D67" s="496" t="str">
        <f t="shared" ref="D67:L67" si="20">D68&amp;"（含）"&amp;"-"&amp;E68</f>
        <v>0.5（含）-1</v>
      </c>
      <c r="E67" s="496" t="str">
        <f t="shared" si="20"/>
        <v>1（含）-1.5</v>
      </c>
      <c r="F67" s="496" t="str">
        <f t="shared" si="20"/>
        <v>1.5（含）-2</v>
      </c>
      <c r="G67" s="496" t="str">
        <f t="shared" si="20"/>
        <v>2（含）-2.5</v>
      </c>
      <c r="H67" s="496" t="str">
        <f t="shared" si="20"/>
        <v>2.5（含）-3</v>
      </c>
      <c r="I67" s="496" t="str">
        <f t="shared" si="20"/>
        <v>3（含）-</v>
      </c>
      <c r="J67" s="496" t="str">
        <f t="shared" si="20"/>
        <v>（含）-</v>
      </c>
      <c r="K67" s="496" t="str">
        <f>K68&amp;"（含）"&amp;"-"&amp;L68</f>
        <v>（含）-</v>
      </c>
      <c r="L67" s="496" t="str">
        <f t="shared" si="20"/>
        <v>（含）-</v>
      </c>
      <c r="M67" s="399" t="str">
        <f>M68&amp;"（含）"&amp;"-"&amp;P68</f>
        <v>（含）-</v>
      </c>
      <c r="N67" s="933"/>
      <c r="O67" s="933"/>
      <c r="P67" s="1919"/>
      <c r="Q67" s="453"/>
    </row>
    <row r="68" spans="1:17" ht="15">
      <c r="A68" s="483"/>
      <c r="B68" s="497"/>
      <c r="C68" s="498">
        <v>0</v>
      </c>
      <c r="D68" s="498">
        <v>0.5</v>
      </c>
      <c r="E68" s="498">
        <v>1</v>
      </c>
      <c r="F68" s="498">
        <v>1.5</v>
      </c>
      <c r="G68" s="498">
        <v>2</v>
      </c>
      <c r="H68" s="498">
        <v>2.5</v>
      </c>
      <c r="I68" s="498">
        <v>3</v>
      </c>
      <c r="J68" s="498"/>
      <c r="K68" s="499"/>
      <c r="L68" s="500"/>
      <c r="M68" s="501"/>
      <c r="N68" s="932"/>
      <c r="O68" s="932"/>
      <c r="P68" s="1919"/>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3"/>
      <c r="O69" s="933"/>
      <c r="P69" s="1919"/>
      <c r="Q69" s="453"/>
    </row>
    <row r="70" spans="1:17" s="422" customFormat="1" ht="15.75" thickTop="1">
      <c r="A70" s="502"/>
      <c r="B70" s="487">
        <f>B12</f>
        <v>111</v>
      </c>
      <c r="C70" s="503" t="s">
        <v>3381</v>
      </c>
      <c r="D70" s="503" t="s">
        <v>3373</v>
      </c>
      <c r="E70" s="503"/>
      <c r="F70" s="503"/>
      <c r="G70" s="503"/>
      <c r="H70" s="504"/>
      <c r="I70" s="504"/>
      <c r="J70" s="504"/>
      <c r="K70" s="504"/>
      <c r="L70" s="505"/>
      <c r="M70" s="506"/>
      <c r="N70" s="934"/>
      <c r="O70" s="934"/>
      <c r="P70" s="1920"/>
      <c r="Q70" s="508"/>
    </row>
    <row r="71" spans="1:17" s="422" customFormat="1" ht="15.75" thickBot="1">
      <c r="A71" s="502"/>
      <c r="B71" s="492"/>
      <c r="C71" s="509">
        <v>95</v>
      </c>
      <c r="D71" s="485">
        <v>100</v>
      </c>
      <c r="E71" s="485"/>
      <c r="F71" s="485"/>
      <c r="G71" s="485"/>
      <c r="H71" s="485"/>
      <c r="I71" s="485"/>
      <c r="J71" s="485"/>
      <c r="K71" s="485"/>
      <c r="L71" s="485"/>
      <c r="M71" s="486"/>
      <c r="N71" s="933"/>
      <c r="O71" s="933"/>
      <c r="P71" s="1920"/>
      <c r="Q71" s="508"/>
    </row>
    <row r="72" spans="1:17" s="422" customFormat="1" ht="15.75" thickTop="1">
      <c r="A72" s="502"/>
      <c r="B72" s="487">
        <f>B13</f>
        <v>111</v>
      </c>
      <c r="C72" s="503"/>
      <c r="D72" s="503"/>
      <c r="E72" s="503"/>
      <c r="F72" s="503"/>
      <c r="G72" s="503"/>
      <c r="H72" s="504"/>
      <c r="I72" s="504"/>
      <c r="J72" s="504"/>
      <c r="K72" s="504"/>
      <c r="L72" s="505"/>
      <c r="M72" s="506"/>
      <c r="N72" s="934"/>
      <c r="O72" s="934"/>
      <c r="P72" s="1921"/>
      <c r="Q72" s="510"/>
    </row>
    <row r="73" spans="1:17" s="422" customFormat="1" ht="15.75" thickBot="1">
      <c r="A73" s="502"/>
      <c r="B73" s="492"/>
      <c r="C73" s="509"/>
      <c r="D73" s="509"/>
      <c r="E73" s="509"/>
      <c r="F73" s="509"/>
      <c r="G73" s="509"/>
      <c r="H73" s="511"/>
      <c r="I73" s="511"/>
      <c r="J73" s="511"/>
      <c r="K73" s="511"/>
      <c r="L73" s="511"/>
      <c r="M73" s="512"/>
      <c r="N73" s="934"/>
      <c r="O73" s="934"/>
      <c r="P73" s="1920"/>
      <c r="Q73" s="508"/>
    </row>
    <row r="74" spans="1:17" s="422" customFormat="1" ht="15.75" thickTop="1">
      <c r="A74" s="502"/>
      <c r="B74" s="495">
        <f>B14</f>
        <v>111</v>
      </c>
      <c r="C74" s="503"/>
      <c r="D74" s="503"/>
      <c r="E74" s="503"/>
      <c r="F74" s="503"/>
      <c r="G74" s="472"/>
      <c r="H74" s="513"/>
      <c r="I74" s="513"/>
      <c r="J74" s="513"/>
      <c r="K74" s="513"/>
      <c r="L74" s="514"/>
      <c r="M74" s="515"/>
      <c r="N74" s="934"/>
      <c r="O74" s="934"/>
      <c r="P74" s="1922"/>
      <c r="Q74" s="508"/>
    </row>
    <row r="75" spans="1:17" s="422" customFormat="1" ht="15.75" thickBot="1">
      <c r="A75" s="517"/>
      <c r="B75" s="518"/>
      <c r="C75" s="519"/>
      <c r="D75" s="519"/>
      <c r="E75" s="519"/>
      <c r="F75" s="519"/>
      <c r="G75" s="519"/>
      <c r="H75" s="520"/>
      <c r="I75" s="520"/>
      <c r="J75" s="520"/>
      <c r="K75" s="520"/>
      <c r="L75" s="520"/>
      <c r="M75" s="521"/>
      <c r="N75" s="934"/>
      <c r="O75" s="934"/>
      <c r="P75" s="1920"/>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3"/>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9"/>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19"/>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9"/>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19"/>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9"/>
      <c r="Q81" s="453"/>
    </row>
    <row r="82" spans="1:17" ht="15.75" thickTop="1">
      <c r="A82" s="483"/>
      <c r="B82" s="495" t="s">
        <v>1258</v>
      </c>
      <c r="C82" s="488" t="s">
        <v>1726</v>
      </c>
      <c r="D82" s="488" t="s">
        <v>1727</v>
      </c>
      <c r="E82" s="488" t="s">
        <v>1728</v>
      </c>
      <c r="F82" s="488" t="s">
        <v>1729</v>
      </c>
      <c r="G82" s="488" t="s">
        <v>1730</v>
      </c>
      <c r="H82" s="488"/>
      <c r="I82" s="488"/>
      <c r="J82" s="488"/>
      <c r="K82" s="488"/>
      <c r="L82" s="488"/>
      <c r="M82" s="1128"/>
      <c r="N82" s="933"/>
      <c r="O82" s="933"/>
      <c r="P82" s="1919"/>
      <c r="Q82" s="453"/>
    </row>
    <row r="83" spans="1:17" ht="15.75" thickBot="1">
      <c r="A83" s="483"/>
      <c r="B83" s="495"/>
      <c r="C83" s="607">
        <v>100</v>
      </c>
      <c r="D83" s="607">
        <f>C83-$K21</f>
        <v>98</v>
      </c>
      <c r="E83" s="607">
        <f t="shared" ref="E83:G83" si="22">D83-$K21</f>
        <v>96</v>
      </c>
      <c r="F83" s="607">
        <f t="shared" si="22"/>
        <v>94</v>
      </c>
      <c r="G83" s="607">
        <f t="shared" si="22"/>
        <v>92</v>
      </c>
      <c r="H83" s="607"/>
      <c r="I83" s="607"/>
      <c r="J83" s="607"/>
      <c r="K83" s="607"/>
      <c r="L83" s="607"/>
      <c r="M83" s="401"/>
      <c r="N83" s="933"/>
      <c r="O83" s="933"/>
      <c r="P83" s="1919"/>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19"/>
      <c r="Q84" s="453"/>
    </row>
    <row r="85" spans="1:17" ht="15.75" thickBot="1">
      <c r="A85" s="483"/>
      <c r="B85" s="492"/>
      <c r="C85" s="493">
        <v>100</v>
      </c>
      <c r="D85" s="493">
        <f>C85-$K23</f>
        <v>99</v>
      </c>
      <c r="E85" s="493">
        <f>D85-$K23</f>
        <v>98</v>
      </c>
      <c r="F85" s="493">
        <f>E85-$K23</f>
        <v>97</v>
      </c>
      <c r="G85" s="493">
        <f>F85-$K23</f>
        <v>96</v>
      </c>
      <c r="H85" s="493"/>
      <c r="I85" s="493"/>
      <c r="J85" s="493"/>
      <c r="K85" s="493"/>
      <c r="L85" s="493"/>
      <c r="M85" s="494"/>
      <c r="N85" s="933"/>
      <c r="O85" s="933"/>
      <c r="P85" s="1919"/>
      <c r="Q85" s="453"/>
    </row>
    <row r="86" spans="1:17" s="108" customFormat="1" ht="15.75" thickTop="1">
      <c r="A86" s="528"/>
      <c r="B86" s="487" t="s">
        <v>1732</v>
      </c>
      <c r="C86" s="503" t="s">
        <v>3411</v>
      </c>
      <c r="D86" s="503" t="s">
        <v>3412</v>
      </c>
      <c r="E86" s="503" t="s">
        <v>3413</v>
      </c>
      <c r="F86" s="503"/>
      <c r="G86" s="503"/>
      <c r="H86" s="503"/>
      <c r="I86" s="503"/>
      <c r="J86" s="503"/>
      <c r="K86" s="503"/>
      <c r="L86" s="529"/>
      <c r="M86" s="530"/>
      <c r="N86" s="931"/>
      <c r="O86" s="931"/>
      <c r="P86" s="1919"/>
      <c r="Q86" s="453"/>
    </row>
    <row r="87" spans="1:17" s="108" customFormat="1" ht="15.75"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3"/>
      <c r="O87" s="933"/>
      <c r="P87" s="1919"/>
      <c r="Q87" s="453"/>
    </row>
    <row r="88" spans="1:17" s="108" customFormat="1" ht="15.75" thickTop="1">
      <c r="A88" s="528"/>
      <c r="B88" s="487" t="s">
        <v>1733</v>
      </c>
      <c r="C88" s="503" t="s">
        <v>3414</v>
      </c>
      <c r="D88" s="503" t="s">
        <v>3415</v>
      </c>
      <c r="E88" s="503" t="s">
        <v>3416</v>
      </c>
      <c r="F88" s="1924" t="s">
        <v>3417</v>
      </c>
      <c r="G88" s="503" t="s">
        <v>3418</v>
      </c>
      <c r="H88" s="503" t="s">
        <v>3419</v>
      </c>
      <c r="I88" s="503" t="s">
        <v>3420</v>
      </c>
      <c r="J88" s="503" t="s">
        <v>3421</v>
      </c>
      <c r="K88" s="503" t="s">
        <v>3422</v>
      </c>
      <c r="L88" s="503" t="s">
        <v>3423</v>
      </c>
      <c r="M88" s="530"/>
      <c r="N88" s="931"/>
      <c r="O88" s="931"/>
      <c r="P88" s="1919"/>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3"/>
      <c r="O89" s="933"/>
      <c r="P89" s="1919"/>
      <c r="Q89" s="453"/>
    </row>
    <row r="90" spans="1:17" s="422" customFormat="1" ht="15.75" thickTop="1">
      <c r="A90" s="502"/>
      <c r="B90" s="487">
        <f>B27</f>
        <v>111</v>
      </c>
      <c r="C90" s="503"/>
      <c r="D90" s="503"/>
      <c r="E90" s="503"/>
      <c r="F90" s="503"/>
      <c r="G90" s="503"/>
      <c r="H90" s="504"/>
      <c r="I90" s="504"/>
      <c r="J90" s="504"/>
      <c r="K90" s="504"/>
      <c r="L90" s="505"/>
      <c r="M90" s="506"/>
      <c r="N90" s="934"/>
      <c r="O90" s="934"/>
      <c r="P90" s="1920"/>
      <c r="Q90" s="508"/>
    </row>
    <row r="91" spans="1:17" s="422" customFormat="1" ht="15.75" thickBot="1">
      <c r="A91" s="502"/>
      <c r="B91" s="492"/>
      <c r="C91" s="509"/>
      <c r="D91" s="509"/>
      <c r="E91" s="509"/>
      <c r="F91" s="509"/>
      <c r="G91" s="509"/>
      <c r="H91" s="511"/>
      <c r="I91" s="511"/>
      <c r="J91" s="511"/>
      <c r="K91" s="511"/>
      <c r="L91" s="511"/>
      <c r="M91" s="512"/>
      <c r="N91" s="934"/>
      <c r="O91" s="934"/>
      <c r="P91" s="1920"/>
      <c r="Q91" s="508"/>
    </row>
    <row r="92" spans="1:17" ht="15.75" thickTop="1">
      <c r="A92" s="483"/>
      <c r="B92" s="487">
        <f>B28</f>
        <v>111</v>
      </c>
      <c r="C92" s="503"/>
      <c r="D92" s="503"/>
      <c r="E92" s="503"/>
      <c r="F92" s="503"/>
      <c r="G92" s="532"/>
      <c r="H92" s="532"/>
      <c r="I92" s="532"/>
      <c r="J92" s="532"/>
      <c r="K92" s="533"/>
      <c r="L92" s="534"/>
      <c r="M92" s="535"/>
      <c r="N92" s="932"/>
      <c r="O92" s="932"/>
      <c r="P92" s="1919"/>
      <c r="Q92" s="453"/>
    </row>
    <row r="93" spans="1:17" ht="15.75" thickBot="1">
      <c r="A93" s="483"/>
      <c r="B93" s="492"/>
      <c r="C93" s="509"/>
      <c r="D93" s="485"/>
      <c r="E93" s="485"/>
      <c r="F93" s="485"/>
      <c r="G93" s="485"/>
      <c r="H93" s="485"/>
      <c r="I93" s="485"/>
      <c r="J93" s="485"/>
      <c r="K93" s="485"/>
      <c r="L93" s="485"/>
      <c r="M93" s="486"/>
      <c r="N93" s="933"/>
      <c r="O93" s="933"/>
      <c r="P93" s="1919"/>
      <c r="Q93" s="453"/>
    </row>
    <row r="94" spans="1:17" ht="15.75" thickTop="1">
      <c r="A94" s="483"/>
      <c r="B94" s="487">
        <f>B29</f>
        <v>111</v>
      </c>
      <c r="C94" s="503"/>
      <c r="D94" s="503"/>
      <c r="E94" s="503"/>
      <c r="F94" s="503"/>
      <c r="G94" s="532"/>
      <c r="H94" s="532"/>
      <c r="I94" s="532"/>
      <c r="J94" s="532"/>
      <c r="K94" s="533"/>
      <c r="L94" s="534"/>
      <c r="M94" s="535"/>
      <c r="N94" s="932"/>
      <c r="O94" s="932"/>
      <c r="P94" s="1919"/>
      <c r="Q94" s="453"/>
    </row>
    <row r="95" spans="1:17" ht="15.75" thickBot="1">
      <c r="A95" s="483"/>
      <c r="B95" s="492"/>
      <c r="C95" s="509"/>
      <c r="D95" s="509"/>
      <c r="E95" s="509"/>
      <c r="F95" s="509"/>
      <c r="G95" s="485"/>
      <c r="H95" s="485"/>
      <c r="I95" s="485"/>
      <c r="J95" s="485"/>
      <c r="K95" s="485"/>
      <c r="L95" s="485"/>
      <c r="M95" s="486"/>
      <c r="N95" s="933"/>
      <c r="O95" s="933"/>
      <c r="P95" s="1919"/>
      <c r="Q95" s="453"/>
    </row>
    <row r="96" spans="1:17" ht="15.75" thickTop="1">
      <c r="A96" s="483"/>
      <c r="B96" s="487">
        <f>B30</f>
        <v>111</v>
      </c>
      <c r="C96" s="503"/>
      <c r="D96" s="503"/>
      <c r="E96" s="503"/>
      <c r="F96" s="503"/>
      <c r="G96" s="532"/>
      <c r="H96" s="532"/>
      <c r="I96" s="532"/>
      <c r="J96" s="532"/>
      <c r="K96" s="533"/>
      <c r="L96" s="534"/>
      <c r="M96" s="535"/>
      <c r="N96" s="932"/>
      <c r="O96" s="932"/>
      <c r="P96" s="1919"/>
      <c r="Q96" s="453"/>
    </row>
    <row r="97" spans="1:17" ht="15.75" thickBot="1">
      <c r="A97" s="483"/>
      <c r="B97" s="492"/>
      <c r="C97" s="519"/>
      <c r="D97" s="519"/>
      <c r="E97" s="519"/>
      <c r="F97" s="519"/>
      <c r="G97" s="485"/>
      <c r="H97" s="485"/>
      <c r="I97" s="485"/>
      <c r="J97" s="485"/>
      <c r="K97" s="485"/>
      <c r="L97" s="485"/>
      <c r="M97" s="486"/>
      <c r="N97" s="933"/>
      <c r="O97" s="933"/>
      <c r="P97" s="1919"/>
      <c r="Q97" s="453"/>
    </row>
    <row r="98" spans="1:17" ht="15.75" thickTop="1">
      <c r="A98" s="483"/>
      <c r="B98" s="495">
        <f>B31</f>
        <v>111</v>
      </c>
      <c r="C98" s="536"/>
      <c r="D98" s="536"/>
      <c r="E98" s="536"/>
      <c r="F98" s="536"/>
      <c r="G98" s="536"/>
      <c r="H98" s="536"/>
      <c r="I98" s="536"/>
      <c r="J98" s="536"/>
      <c r="K98" s="537"/>
      <c r="L98" s="538"/>
      <c r="M98" s="539"/>
      <c r="N98" s="932"/>
      <c r="O98" s="932"/>
      <c r="P98" s="1919"/>
      <c r="Q98" s="453"/>
    </row>
    <row r="99" spans="1:17" ht="15.75" thickBot="1">
      <c r="A99" s="1925"/>
      <c r="B99" s="518"/>
      <c r="C99" s="540"/>
      <c r="D99" s="540"/>
      <c r="E99" s="540"/>
      <c r="F99" s="540"/>
      <c r="G99" s="540"/>
      <c r="H99" s="540"/>
      <c r="I99" s="540"/>
      <c r="J99" s="540"/>
      <c r="K99" s="540"/>
      <c r="L99" s="540"/>
      <c r="M99" s="541"/>
      <c r="N99" s="933"/>
      <c r="O99" s="933"/>
      <c r="P99" s="1919"/>
      <c r="Q99" s="453"/>
    </row>
    <row r="100" spans="1:17">
      <c r="A100" s="476" t="s">
        <v>1692</v>
      </c>
      <c r="B100" s="477" t="s">
        <v>1734</v>
      </c>
      <c r="C100" s="479" t="s">
        <v>3424</v>
      </c>
      <c r="D100" s="479" t="s">
        <v>3425</v>
      </c>
      <c r="E100" s="479" t="s">
        <v>3426</v>
      </c>
      <c r="F100" s="479" t="s">
        <v>3427</v>
      </c>
      <c r="G100" s="479" t="s">
        <v>3428</v>
      </c>
      <c r="H100" s="479" t="s">
        <v>3429</v>
      </c>
      <c r="I100" s="479" t="s">
        <v>3430</v>
      </c>
      <c r="J100" s="479"/>
      <c r="K100" s="480"/>
      <c r="L100" s="481"/>
      <c r="M100" s="482"/>
      <c r="N100" s="932"/>
      <c r="O100" s="932"/>
      <c r="P100" s="1919"/>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9"/>
      <c r="Q101" s="453"/>
    </row>
    <row r="102" spans="1:17" ht="29.25" thickTop="1">
      <c r="A102" s="483"/>
      <c r="B102" s="487" t="s">
        <v>1735</v>
      </c>
      <c r="C102" s="527" t="str">
        <f>C103&amp;"(含)"&amp;"-"&amp;D103</f>
        <v>0(含)-10000</v>
      </c>
      <c r="D102" s="527" t="str">
        <f t="shared" ref="D102:L102" si="26">D103&amp;"(含)"&amp;"-"&amp;E103</f>
        <v>10000(含)-20000</v>
      </c>
      <c r="E102" s="527" t="str">
        <f t="shared" si="26"/>
        <v>20000(含)-40000</v>
      </c>
      <c r="F102" s="527" t="str">
        <f t="shared" si="26"/>
        <v>40000(含)-100000</v>
      </c>
      <c r="G102" s="527" t="str">
        <f t="shared" si="26"/>
        <v>100000(含)-200000</v>
      </c>
      <c r="H102" s="527" t="str">
        <f t="shared" si="26"/>
        <v>200000(含)-</v>
      </c>
      <c r="I102" s="527" t="str">
        <f t="shared" si="26"/>
        <v>(含)-</v>
      </c>
      <c r="J102" s="527" t="str">
        <f t="shared" si="26"/>
        <v>(含)-</v>
      </c>
      <c r="K102" s="527" t="str">
        <f>K103&amp;"(含)"&amp;"-"&amp;L103</f>
        <v>(含)-</v>
      </c>
      <c r="L102" s="527" t="str">
        <f t="shared" si="26"/>
        <v>(含)-</v>
      </c>
      <c r="M102" s="527" t="str">
        <f>M103&amp;"(含)"&amp;"-"&amp;P103</f>
        <v>(含)-</v>
      </c>
      <c r="N102" s="931"/>
      <c r="O102" s="931"/>
      <c r="P102" s="1919"/>
      <c r="Q102" s="453"/>
    </row>
    <row r="103" spans="1:17" s="422" customFormat="1">
      <c r="A103" s="542"/>
      <c r="B103" s="543"/>
      <c r="C103" s="544">
        <v>0</v>
      </c>
      <c r="D103" s="544">
        <v>10000</v>
      </c>
      <c r="E103" s="544">
        <v>20000</v>
      </c>
      <c r="F103" s="544">
        <v>40000</v>
      </c>
      <c r="G103" s="544">
        <v>100000</v>
      </c>
      <c r="H103" s="544">
        <v>200000</v>
      </c>
      <c r="I103" s="544"/>
      <c r="J103" s="545"/>
      <c r="K103" s="545"/>
      <c r="L103" s="546"/>
      <c r="M103" s="547"/>
      <c r="N103" s="934"/>
      <c r="O103" s="934"/>
      <c r="P103" s="1920"/>
      <c r="Q103" s="508"/>
    </row>
    <row r="104" spans="1:17" s="422" customFormat="1" ht="15.75" thickBot="1">
      <c r="A104" s="502"/>
      <c r="B104" s="492"/>
      <c r="C104" s="509">
        <v>100</v>
      </c>
      <c r="D104" s="485">
        <f>C104+2</f>
        <v>102</v>
      </c>
      <c r="E104" s="485">
        <f>D104+2</f>
        <v>104</v>
      </c>
      <c r="F104" s="485">
        <f>E104+2</f>
        <v>106</v>
      </c>
      <c r="G104" s="485">
        <f>F104+2</f>
        <v>108</v>
      </c>
      <c r="H104" s="485"/>
      <c r="I104" s="485"/>
      <c r="J104" s="485"/>
      <c r="K104" s="485"/>
      <c r="L104" s="485"/>
      <c r="M104" s="485"/>
      <c r="N104" s="933"/>
      <c r="O104" s="933"/>
      <c r="P104" s="1920"/>
      <c r="Q104" s="508"/>
    </row>
    <row r="105" spans="1:17" ht="15" thickTop="1">
      <c r="A105" s="548"/>
      <c r="B105" s="487" t="s">
        <v>1736</v>
      </c>
      <c r="C105" s="3446" t="s">
        <v>3431</v>
      </c>
      <c r="D105" s="503"/>
      <c r="E105" s="532"/>
      <c r="F105" s="532"/>
      <c r="G105" s="532"/>
      <c r="H105" s="532"/>
      <c r="I105" s="532"/>
      <c r="J105" s="532"/>
      <c r="K105" s="533"/>
      <c r="L105" s="534"/>
      <c r="M105" s="535"/>
      <c r="N105" s="932"/>
      <c r="O105" s="932"/>
      <c r="P105" s="1919"/>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9"/>
      <c r="Q106" s="453"/>
    </row>
    <row r="107" spans="1:17" ht="15" thickTop="1">
      <c r="A107" s="548"/>
      <c r="B107" s="487" t="s">
        <v>1737</v>
      </c>
      <c r="C107" s="3447" t="s">
        <v>3436</v>
      </c>
      <c r="D107" s="3447" t="s">
        <v>3437</v>
      </c>
      <c r="E107" s="3447" t="s">
        <v>3438</v>
      </c>
      <c r="F107" s="532"/>
      <c r="G107" s="532"/>
      <c r="H107" s="532"/>
      <c r="I107" s="532"/>
      <c r="J107" s="532"/>
      <c r="K107" s="533"/>
      <c r="L107" s="534"/>
      <c r="M107" s="535"/>
      <c r="N107" s="932"/>
      <c r="O107" s="932"/>
      <c r="P107" s="1919"/>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3"/>
      <c r="O108" s="933"/>
      <c r="P108" s="1919"/>
      <c r="Q108" s="453"/>
    </row>
    <row r="109" spans="1:17" ht="15" thickTop="1">
      <c r="A109" s="548"/>
      <c r="B109" s="487" t="s">
        <v>1738</v>
      </c>
      <c r="C109" s="3446" t="s">
        <v>3432</v>
      </c>
      <c r="D109" s="3446" t="s">
        <v>3433</v>
      </c>
      <c r="E109" s="3446" t="s">
        <v>3434</v>
      </c>
      <c r="F109" s="3447" t="s">
        <v>3435</v>
      </c>
      <c r="G109" s="532"/>
      <c r="H109" s="532"/>
      <c r="I109" s="532"/>
      <c r="J109" s="532"/>
      <c r="K109" s="533"/>
      <c r="L109" s="534"/>
      <c r="M109" s="535"/>
      <c r="N109" s="932"/>
      <c r="O109" s="932"/>
      <c r="P109" s="1919"/>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9"/>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0"/>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4"/>
      <c r="O113" s="934"/>
      <c r="P113" s="1920"/>
      <c r="Q113" s="508"/>
    </row>
    <row r="114" spans="1:17" ht="15" thickTop="1">
      <c r="A114" s="548"/>
      <c r="B114" s="487" t="s">
        <v>1739</v>
      </c>
      <c r="C114" s="3446" t="s">
        <v>3439</v>
      </c>
      <c r="D114" s="3446" t="s">
        <v>3440</v>
      </c>
      <c r="E114" s="532"/>
      <c r="F114" s="532"/>
      <c r="G114" s="532"/>
      <c r="H114" s="532"/>
      <c r="I114" s="532"/>
      <c r="J114" s="532"/>
      <c r="K114" s="533"/>
      <c r="L114" s="534"/>
      <c r="M114" s="535"/>
      <c r="N114" s="932"/>
      <c r="O114" s="932"/>
      <c r="P114" s="1919"/>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3"/>
      <c r="O115" s="933"/>
      <c r="P115" s="1919"/>
      <c r="Q115" s="453"/>
    </row>
    <row r="116" spans="1:17" ht="15" thickTop="1">
      <c r="A116" s="548"/>
      <c r="B116" s="487" t="s">
        <v>1740</v>
      </c>
      <c r="C116" s="503" t="str">
        <f>C82</f>
        <v>七通</v>
      </c>
      <c r="D116" s="503" t="str">
        <f>D82</f>
        <v>六通</v>
      </c>
      <c r="E116" s="503" t="str">
        <f>E82</f>
        <v>五通</v>
      </c>
      <c r="F116" s="503" t="str">
        <f>F82</f>
        <v>四通</v>
      </c>
      <c r="G116" s="503" t="str">
        <f>G82</f>
        <v>三通</v>
      </c>
      <c r="H116" s="532"/>
      <c r="I116" s="532"/>
      <c r="J116" s="532"/>
      <c r="K116" s="533"/>
      <c r="L116" s="534"/>
      <c r="M116" s="535"/>
      <c r="N116" s="932"/>
      <c r="O116" s="932"/>
      <c r="P116" s="1919"/>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9"/>
      <c r="Q117" s="453"/>
    </row>
    <row r="118" spans="1:17" ht="15" thickTop="1">
      <c r="A118" s="548"/>
      <c r="B118" s="487" t="s">
        <v>1741</v>
      </c>
      <c r="C118" s="3447" t="s">
        <v>3441</v>
      </c>
      <c r="D118" s="3447" t="s">
        <v>3442</v>
      </c>
      <c r="E118" s="3447" t="s">
        <v>3443</v>
      </c>
      <c r="F118" s="3447" t="s">
        <v>3444</v>
      </c>
      <c r="G118" s="3447" t="s">
        <v>3445</v>
      </c>
      <c r="H118" s="3447" t="s">
        <v>3446</v>
      </c>
      <c r="I118" s="532"/>
      <c r="J118" s="532"/>
      <c r="K118" s="533"/>
      <c r="L118" s="534"/>
      <c r="M118" s="535"/>
      <c r="N118" s="932"/>
      <c r="O118" s="932"/>
      <c r="P118" s="1919"/>
      <c r="Q118" s="453"/>
    </row>
    <row r="119" spans="1:17" ht="15.75" thickBot="1">
      <c r="A119" s="483"/>
      <c r="B119" s="492"/>
      <c r="C119" s="493">
        <v>100</v>
      </c>
      <c r="D119" s="493">
        <f t="shared" ref="D119:M119" si="31">C119-$K40</f>
        <v>98</v>
      </c>
      <c r="E119" s="493">
        <f t="shared" si="31"/>
        <v>96</v>
      </c>
      <c r="F119" s="493">
        <f t="shared" si="31"/>
        <v>94</v>
      </c>
      <c r="G119" s="493">
        <f t="shared" si="31"/>
        <v>92</v>
      </c>
      <c r="H119" s="493">
        <f t="shared" si="31"/>
        <v>90</v>
      </c>
      <c r="I119" s="493">
        <f t="shared" si="31"/>
        <v>88</v>
      </c>
      <c r="J119" s="493">
        <f t="shared" si="31"/>
        <v>86</v>
      </c>
      <c r="K119" s="493">
        <f t="shared" si="31"/>
        <v>84</v>
      </c>
      <c r="L119" s="493">
        <f t="shared" si="31"/>
        <v>82</v>
      </c>
      <c r="M119" s="493">
        <f t="shared" si="31"/>
        <v>80</v>
      </c>
      <c r="N119" s="933"/>
      <c r="O119" s="933"/>
      <c r="P119" s="1919"/>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20"/>
      <c r="Q120" s="508"/>
    </row>
    <row r="121" spans="1:17" s="422" customFormat="1" ht="15.75" thickBot="1">
      <c r="A121" s="502"/>
      <c r="B121" s="484"/>
      <c r="C121" s="509"/>
      <c r="D121" s="485"/>
      <c r="E121" s="485"/>
      <c r="F121" s="485"/>
      <c r="G121" s="485"/>
      <c r="H121" s="485"/>
      <c r="I121" s="485"/>
      <c r="J121" s="485"/>
      <c r="K121" s="485"/>
      <c r="L121" s="485"/>
      <c r="M121" s="485"/>
      <c r="N121" s="934"/>
      <c r="O121" s="934"/>
      <c r="P121" s="1920"/>
      <c r="Q121" s="508"/>
    </row>
    <row r="122" spans="1:17" ht="15" thickTop="1">
      <c r="A122" s="548"/>
      <c r="B122" s="487" t="s">
        <v>1742</v>
      </c>
      <c r="C122" s="503" t="str">
        <f>C109</f>
        <v>精装修</v>
      </c>
      <c r="D122" s="503" t="str">
        <f>D109</f>
        <v>普通装修</v>
      </c>
      <c r="E122" s="503" t="str">
        <f>E109</f>
        <v>简单装修</v>
      </c>
      <c r="F122" s="503" t="str">
        <f>F109</f>
        <v>毛坯</v>
      </c>
      <c r="G122" s="532"/>
      <c r="H122" s="532"/>
      <c r="I122" s="532"/>
      <c r="J122" s="532"/>
      <c r="K122" s="533"/>
      <c r="L122" s="534"/>
      <c r="M122" s="535"/>
      <c r="N122" s="932"/>
      <c r="O122" s="932"/>
      <c r="P122" s="1919"/>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3"/>
      <c r="O123" s="933"/>
      <c r="P123" s="1919"/>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20"/>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9"/>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0"/>
      <c r="Q126" s="508"/>
    </row>
    <row r="127" spans="1:17" s="422" customFormat="1" ht="15.75" thickBot="1">
      <c r="A127" s="502"/>
      <c r="B127" s="492"/>
      <c r="C127" s="509"/>
      <c r="D127" s="485"/>
      <c r="E127" s="485"/>
      <c r="F127" s="485"/>
      <c r="G127" s="509"/>
      <c r="H127" s="511"/>
      <c r="I127" s="511"/>
      <c r="J127" s="511"/>
      <c r="K127" s="511"/>
      <c r="L127" s="511"/>
      <c r="M127" s="512"/>
      <c r="N127" s="934"/>
      <c r="O127" s="934"/>
      <c r="P127" s="1920"/>
      <c r="Q127" s="508"/>
    </row>
    <row r="128" spans="1:17" ht="15" thickTop="1">
      <c r="A128" s="548"/>
      <c r="B128" s="487">
        <f>B45</f>
        <v>111</v>
      </c>
      <c r="C128" s="503"/>
      <c r="D128" s="503"/>
      <c r="E128" s="503"/>
      <c r="F128" s="503"/>
      <c r="G128" s="532"/>
      <c r="H128" s="532"/>
      <c r="I128" s="532"/>
      <c r="J128" s="532"/>
      <c r="K128" s="533"/>
      <c r="L128" s="534"/>
      <c r="M128" s="535"/>
      <c r="N128" s="932"/>
      <c r="O128" s="932"/>
      <c r="P128" s="1919"/>
      <c r="Q128" s="453"/>
    </row>
    <row r="129" spans="1:17" ht="15.75" thickBot="1">
      <c r="A129" s="483"/>
      <c r="B129" s="492"/>
      <c r="C129" s="509"/>
      <c r="D129" s="509"/>
      <c r="E129" s="509"/>
      <c r="F129" s="509"/>
      <c r="G129" s="485"/>
      <c r="H129" s="485"/>
      <c r="I129" s="485"/>
      <c r="J129" s="485"/>
      <c r="K129" s="485"/>
      <c r="L129" s="485"/>
      <c r="M129" s="486"/>
      <c r="N129" s="933"/>
      <c r="O129" s="933"/>
      <c r="P129" s="1919"/>
      <c r="Q129" s="453"/>
    </row>
    <row r="130" spans="1:17" ht="15" thickTop="1">
      <c r="A130" s="548"/>
      <c r="B130" s="495">
        <f>B46</f>
        <v>111</v>
      </c>
      <c r="C130" s="503"/>
      <c r="D130" s="503"/>
      <c r="E130" s="503"/>
      <c r="F130" s="503"/>
      <c r="G130" s="536"/>
      <c r="H130" s="536"/>
      <c r="I130" s="536"/>
      <c r="J130" s="536"/>
      <c r="K130" s="472"/>
      <c r="L130" s="473"/>
      <c r="M130" s="539"/>
      <c r="N130" s="932"/>
      <c r="O130" s="932"/>
      <c r="P130" s="1919"/>
      <c r="Q130" s="453"/>
    </row>
    <row r="131" spans="1:17" ht="15.75" thickBot="1">
      <c r="A131" s="1925"/>
      <c r="B131" s="518"/>
      <c r="C131" s="519"/>
      <c r="D131" s="519"/>
      <c r="E131" s="519"/>
      <c r="F131" s="519"/>
      <c r="G131" s="540"/>
      <c r="H131" s="540"/>
      <c r="I131" s="540"/>
      <c r="J131" s="540"/>
      <c r="K131" s="540"/>
      <c r="L131" s="540"/>
      <c r="M131" s="541"/>
      <c r="N131" s="933"/>
      <c r="O131" s="933"/>
      <c r="P131" s="1919"/>
      <c r="Q131" s="453"/>
    </row>
    <row r="136" spans="1:17" ht="15" thickBot="1">
      <c r="B136" s="1926" t="s">
        <v>1744</v>
      </c>
    </row>
    <row r="137" spans="1:17" ht="15">
      <c r="B137" s="1927" t="s">
        <v>1745</v>
      </c>
      <c r="C137" s="1928"/>
      <c r="D137" s="1928"/>
      <c r="E137" s="1928"/>
      <c r="F137" s="1928"/>
      <c r="G137" s="1929"/>
      <c r="H137" s="1930"/>
      <c r="I137" s="1931" t="s">
        <v>1746</v>
      </c>
      <c r="J137" s="1928"/>
      <c r="K137" s="1932"/>
    </row>
    <row r="138" spans="1:17" ht="15">
      <c r="B138" s="1933"/>
      <c r="C138" s="137" t="s">
        <v>1747</v>
      </c>
      <c r="D138" s="137" t="s">
        <v>1748</v>
      </c>
      <c r="E138" s="1934" t="s">
        <v>1749</v>
      </c>
      <c r="F138" s="1935" t="s">
        <v>1750</v>
      </c>
      <c r="G138" s="137" t="s">
        <v>1748</v>
      </c>
      <c r="H138" s="138" t="s">
        <v>1749</v>
      </c>
      <c r="I138" s="1936"/>
      <c r="J138" s="137" t="s">
        <v>1751</v>
      </c>
      <c r="K138" s="138" t="s">
        <v>1752</v>
      </c>
    </row>
    <row r="139" spans="1:17" ht="15">
      <c r="B139" s="866">
        <v>6</v>
      </c>
      <c r="C139" s="867">
        <v>96</v>
      </c>
      <c r="D139" s="1937" t="s">
        <v>1753</v>
      </c>
      <c r="E139" s="868">
        <v>100</v>
      </c>
      <c r="F139" s="869">
        <v>102.5</v>
      </c>
      <c r="G139" s="1937" t="s">
        <v>1753</v>
      </c>
      <c r="H139" s="870">
        <v>105</v>
      </c>
      <c r="I139" s="1938" t="s">
        <v>1754</v>
      </c>
      <c r="J139" s="867">
        <v>20</v>
      </c>
      <c r="K139" s="871">
        <f>C145/(J139-2)</f>
        <v>4.0555555555555553E-3</v>
      </c>
    </row>
    <row r="140" spans="1:17" ht="15">
      <c r="B140" s="872">
        <v>5</v>
      </c>
      <c r="C140" s="873">
        <v>100</v>
      </c>
      <c r="D140" s="873"/>
      <c r="E140" s="874"/>
      <c r="F140" s="875">
        <v>102</v>
      </c>
      <c r="G140" s="873"/>
      <c r="H140" s="876"/>
      <c r="I140" s="1939" t="s">
        <v>1755</v>
      </c>
      <c r="J140" s="271">
        <f>ROUNDUP((J139-1)/2,0)</f>
        <v>10</v>
      </c>
      <c r="K140" s="877">
        <v>100</v>
      </c>
    </row>
    <row r="141" spans="1:17" ht="15">
      <c r="B141" s="872">
        <v>4</v>
      </c>
      <c r="C141" s="873">
        <v>102</v>
      </c>
      <c r="D141" s="873"/>
      <c r="E141" s="874"/>
      <c r="F141" s="875">
        <v>101.5</v>
      </c>
      <c r="G141" s="873"/>
      <c r="H141" s="876"/>
      <c r="I141" s="1939" t="s">
        <v>1756</v>
      </c>
      <c r="J141" s="271">
        <v>1</v>
      </c>
      <c r="K141" s="878">
        <f>ROUND(100+(J141-J140)*K139*100,1)</f>
        <v>96.4</v>
      </c>
    </row>
    <row r="142" spans="1:17" ht="15">
      <c r="B142" s="872">
        <v>3</v>
      </c>
      <c r="C142" s="873">
        <v>103</v>
      </c>
      <c r="D142" s="873"/>
      <c r="E142" s="874"/>
      <c r="F142" s="875">
        <v>101</v>
      </c>
      <c r="G142" s="873"/>
      <c r="H142" s="876"/>
      <c r="I142" s="1939" t="s">
        <v>1757</v>
      </c>
      <c r="J142" s="271">
        <f>J139</f>
        <v>20</v>
      </c>
      <c r="K142" s="879">
        <v>95</v>
      </c>
    </row>
    <row r="143" spans="1:17" ht="15">
      <c r="B143" s="872">
        <v>2</v>
      </c>
      <c r="C143" s="873">
        <v>100</v>
      </c>
      <c r="D143" s="873"/>
      <c r="E143" s="874"/>
      <c r="F143" s="875">
        <v>100.5</v>
      </c>
      <c r="G143" s="873"/>
      <c r="H143" s="876"/>
      <c r="I143" s="1939" t="s">
        <v>1758</v>
      </c>
      <c r="J143" s="873">
        <v>15</v>
      </c>
      <c r="K143" s="878">
        <f>ROUND(100+(J143-J140)*K139*100,1)</f>
        <v>102</v>
      </c>
    </row>
    <row r="144" spans="1:17" ht="15">
      <c r="B144" s="872">
        <v>1</v>
      </c>
      <c r="C144" s="873">
        <v>98</v>
      </c>
      <c r="D144" s="1940" t="s">
        <v>1759</v>
      </c>
      <c r="E144" s="874">
        <v>102</v>
      </c>
      <c r="F144" s="880">
        <v>100</v>
      </c>
      <c r="G144" s="1940" t="s">
        <v>1759</v>
      </c>
      <c r="H144" s="876">
        <v>105</v>
      </c>
      <c r="I144" s="1939" t="s">
        <v>1758</v>
      </c>
      <c r="J144" s="873">
        <v>18</v>
      </c>
      <c r="K144" s="878">
        <f>ROUND(100+(J144-J140)*K139*100,1)</f>
        <v>103.2</v>
      </c>
    </row>
    <row r="145" spans="2:11" ht="15.75" thickBot="1">
      <c r="B145" s="1941" t="s">
        <v>1760</v>
      </c>
      <c r="C145" s="881">
        <f>ROUND(MAX(C139:C144)/MIN(C139:C144)-1,3)</f>
        <v>7.2999999999999995E-2</v>
      </c>
      <c r="D145" s="882"/>
      <c r="E145" s="882"/>
      <c r="F145" s="1942" t="s">
        <v>1761</v>
      </c>
      <c r="G145" s="1943"/>
      <c r="H145" s="1944"/>
      <c r="I145" s="1945" t="s">
        <v>1758</v>
      </c>
      <c r="J145" s="883">
        <v>8</v>
      </c>
      <c r="K145" s="884">
        <f>ROUND(100+(J145-J140)*K139*100,1)</f>
        <v>99.2</v>
      </c>
    </row>
    <row r="147" spans="2:11">
      <c r="B147" s="1926" t="s">
        <v>1762</v>
      </c>
    </row>
    <row r="148" spans="2:11">
      <c r="B148" s="1926"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K44" sqref="K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1764</v>
      </c>
      <c r="C1" s="1237" t="s">
        <v>1660</v>
      </c>
      <c r="D1" s="1224"/>
      <c r="E1" s="3420" t="s">
        <v>3486</v>
      </c>
      <c r="F1" s="1878" t="s">
        <v>3487</v>
      </c>
      <c r="G1" s="1234" t="s">
        <v>1765</v>
      </c>
      <c r="H1" s="1233"/>
      <c r="I1" s="1233"/>
      <c r="J1" s="1233"/>
      <c r="K1" s="1235"/>
      <c r="L1" s="1236"/>
      <c r="M1" s="1237"/>
      <c r="N1" s="1237"/>
      <c r="O1" s="1237"/>
      <c r="P1" s="1946"/>
      <c r="Q1" s="1947"/>
      <c r="R1" s="1947"/>
      <c r="S1" s="1947"/>
      <c r="T1" s="1947"/>
      <c r="U1" s="1947"/>
      <c r="V1" s="1947"/>
      <c r="W1" s="1947"/>
      <c r="X1" s="1947"/>
      <c r="Y1" s="1947"/>
      <c r="Z1" s="1947"/>
      <c r="AA1" s="1947"/>
      <c r="AB1" s="1947"/>
      <c r="AC1" s="1948"/>
    </row>
    <row r="2" spans="1:29" s="352" customFormat="1" ht="28.5" customHeight="1" thickTop="1">
      <c r="A2" s="1220" t="s">
        <v>1460</v>
      </c>
      <c r="B2" s="1163" t="e">
        <f>IF(E1="项目模式",IF(C2="——",ROUND(C49*D3/10000,0),ROUND(C49*D3/10000,0)-D2),IF(E1="单套模式",IF(C2="——",ROUND(C49*D3/10000,4),ROUND(C49*D3/10000,4)-D2)))</f>
        <v>#DIV/0!</v>
      </c>
      <c r="C2" s="1880" t="s">
        <v>43</v>
      </c>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28"/>
      <c r="M2" s="2729"/>
      <c r="N2" s="2729"/>
      <c r="O2" s="2729"/>
      <c r="P2" s="1949"/>
      <c r="Q2" s="911"/>
      <c r="R2" s="911"/>
      <c r="S2" s="911"/>
      <c r="T2" s="911"/>
      <c r="U2" s="911"/>
      <c r="V2" s="911"/>
      <c r="W2" s="911"/>
      <c r="X2" s="911"/>
      <c r="Y2" s="911"/>
      <c r="Z2" s="911"/>
      <c r="AA2" s="911"/>
      <c r="AB2" s="911"/>
      <c r="AC2" s="1950"/>
    </row>
    <row r="3" spans="1:29" s="352" customFormat="1" ht="28.5" customHeight="1" thickBot="1">
      <c r="A3" s="203" t="s">
        <v>1462</v>
      </c>
      <c r="B3" s="558" t="e">
        <f>IF(C2="——",C49,ROUND(B2*10000/D3,0))</f>
        <v>#DIV/0!</v>
      </c>
      <c r="C3" s="354" t="s">
        <v>1766</v>
      </c>
      <c r="D3" s="353">
        <f>IF(D1="",'数据-汇总表'!E3,SUMIF('数据-汇总表'!$C19:$C33,D1,'数据-汇总表'!$E19:$E33))</f>
        <v>120.57</v>
      </c>
      <c r="E3" s="1951"/>
      <c r="F3" s="908"/>
      <c r="G3" s="907"/>
      <c r="H3" s="907"/>
      <c r="I3" s="907"/>
      <c r="J3" s="907"/>
      <c r="K3" s="909"/>
      <c r="L3" s="2728"/>
      <c r="M3" s="2729"/>
      <c r="N3" s="2729"/>
      <c r="O3" s="2729"/>
      <c r="P3" s="1949"/>
      <c r="Q3" s="911"/>
      <c r="R3" s="911"/>
      <c r="S3" s="911"/>
      <c r="T3" s="911"/>
      <c r="U3" s="911"/>
      <c r="V3" s="911"/>
      <c r="W3" s="911"/>
      <c r="X3" s="911"/>
      <c r="Y3" s="911"/>
      <c r="Z3" s="911"/>
      <c r="AA3" s="911"/>
      <c r="AB3" s="911"/>
      <c r="AC3" s="1951"/>
    </row>
    <row r="4" spans="1:29" ht="15">
      <c r="A4" s="355" t="s">
        <v>1767</v>
      </c>
      <c r="B4" s="356"/>
      <c r="C4" s="3711" t="s">
        <v>1768</v>
      </c>
      <c r="D4" s="3712"/>
      <c r="E4" s="3713" t="s">
        <v>1769</v>
      </c>
      <c r="F4" s="3714"/>
      <c r="G4" s="3711" t="s">
        <v>1770</v>
      </c>
      <c r="H4" s="3712"/>
      <c r="I4" s="3711" t="s">
        <v>1771</v>
      </c>
      <c r="J4" s="3712"/>
      <c r="K4" s="559" t="s">
        <v>1772</v>
      </c>
      <c r="L4" s="2709"/>
      <c r="M4" s="2710"/>
      <c r="N4" s="2710"/>
      <c r="O4" s="2710"/>
      <c r="P4" s="3715" t="s">
        <v>1773</v>
      </c>
      <c r="Q4" s="3716"/>
      <c r="R4" s="3698" t="s">
        <v>1769</v>
      </c>
      <c r="S4" s="3699"/>
      <c r="T4" s="3698" t="s">
        <v>1770</v>
      </c>
      <c r="U4" s="3699"/>
      <c r="V4" s="3723" t="s">
        <v>1771</v>
      </c>
      <c r="W4" s="3723"/>
      <c r="X4" s="1354"/>
      <c r="Y4" s="3698" t="s">
        <v>1773</v>
      </c>
      <c r="Z4" s="3699"/>
      <c r="AA4" s="3693" t="s">
        <v>1769</v>
      </c>
      <c r="AB4" s="3723" t="s">
        <v>1770</v>
      </c>
      <c r="AC4" s="3693" t="s">
        <v>1771</v>
      </c>
    </row>
    <row r="5" spans="1:29" ht="15">
      <c r="A5" s="358"/>
      <c r="B5" s="359"/>
      <c r="C5" s="3704" t="s">
        <v>1671</v>
      </c>
      <c r="D5" s="3705"/>
      <c r="E5" s="3702" t="s">
        <v>1672</v>
      </c>
      <c r="F5" s="3703"/>
      <c r="G5" s="3704" t="s">
        <v>1673</v>
      </c>
      <c r="H5" s="3705"/>
      <c r="I5" s="3704" t="s">
        <v>1674</v>
      </c>
      <c r="J5" s="3705"/>
      <c r="K5" s="559"/>
      <c r="L5" s="2709"/>
      <c r="M5" s="2710"/>
      <c r="N5" s="2710"/>
      <c r="O5" s="2710"/>
      <c r="P5" s="3717"/>
      <c r="Q5" s="3718"/>
      <c r="R5" s="3700"/>
      <c r="S5" s="3701"/>
      <c r="T5" s="3700"/>
      <c r="U5" s="3701"/>
      <c r="V5" s="3723"/>
      <c r="W5" s="3723"/>
      <c r="X5" s="1354"/>
      <c r="Y5" s="3700"/>
      <c r="Z5" s="3701"/>
      <c r="AA5" s="3694"/>
      <c r="AB5" s="3723"/>
      <c r="AC5" s="3694"/>
    </row>
    <row r="6" spans="1:29" ht="15.75" thickBot="1">
      <c r="A6" s="360"/>
      <c r="B6" s="361"/>
      <c r="C6" s="3706" t="s">
        <v>1675</v>
      </c>
      <c r="D6" s="3707"/>
      <c r="E6" s="3708" t="s">
        <v>1675</v>
      </c>
      <c r="F6" s="3709"/>
      <c r="G6" s="3706" t="s">
        <v>1675</v>
      </c>
      <c r="H6" s="3707"/>
      <c r="I6" s="3706" t="s">
        <v>1675</v>
      </c>
      <c r="J6" s="3707"/>
      <c r="K6" s="559" t="s">
        <v>1676</v>
      </c>
      <c r="L6" s="2709"/>
      <c r="M6" s="2710"/>
      <c r="N6" s="2710"/>
      <c r="O6" s="2710"/>
      <c r="P6" s="3719"/>
      <c r="Q6" s="3720"/>
      <c r="R6" s="3700"/>
      <c r="S6" s="3701"/>
      <c r="T6" s="3721"/>
      <c r="U6" s="3722"/>
      <c r="V6" s="3723"/>
      <c r="W6" s="3723"/>
      <c r="X6" s="1354"/>
      <c r="Y6" s="3721"/>
      <c r="Z6" s="3722"/>
      <c r="AA6" s="3695"/>
      <c r="AB6" s="3723"/>
      <c r="AC6" s="3695"/>
    </row>
    <row r="7" spans="1:29" s="108" customFormat="1" ht="15.75" thickBot="1">
      <c r="A7" s="362" t="s">
        <v>1677</v>
      </c>
      <c r="B7" s="363"/>
      <c r="C7" s="364">
        <f>'数据-取费表'!B2</f>
        <v>45135</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96" t="s">
        <v>1678</v>
      </c>
      <c r="Q7" s="3724"/>
      <c r="R7" s="700" t="s">
        <v>14</v>
      </c>
      <c r="S7" s="701">
        <f t="shared" ref="S7:S15" si="0">F7</f>
        <v>0</v>
      </c>
      <c r="T7" s="700" t="s">
        <v>14</v>
      </c>
      <c r="U7" s="701">
        <f t="shared" ref="U7:U15" si="1">H7</f>
        <v>0</v>
      </c>
      <c r="V7" s="700" t="s">
        <v>14</v>
      </c>
      <c r="W7" s="701">
        <f t="shared" ref="W7:W15" si="2">J7</f>
        <v>0</v>
      </c>
      <c r="X7" s="702"/>
      <c r="Y7" s="3696" t="s">
        <v>1678</v>
      </c>
      <c r="Z7" s="3697"/>
      <c r="AA7" s="703" t="e">
        <f>D7/F7</f>
        <v>#DIV/0!</v>
      </c>
      <c r="AB7" s="703" t="e">
        <f>D7/H7</f>
        <v>#DIV/0!</v>
      </c>
      <c r="AC7" s="703" t="e">
        <f>D7/J7</f>
        <v>#DIV/0!</v>
      </c>
    </row>
    <row r="8" spans="1:29" s="108" customFormat="1" ht="15.75" thickBot="1">
      <c r="A8" s="362" t="s">
        <v>1679</v>
      </c>
      <c r="B8" s="363"/>
      <c r="C8" s="368" t="s">
        <v>3391</v>
      </c>
      <c r="D8" s="365">
        <v>100</v>
      </c>
      <c r="E8" s="368" t="s">
        <v>3403</v>
      </c>
      <c r="F8" s="367">
        <f>SUMIF(61:61,E8,62:62)-SUMIF(61:61,C8,62:62)+100</f>
        <v>102</v>
      </c>
      <c r="G8" s="368" t="s">
        <v>3403</v>
      </c>
      <c r="H8" s="365">
        <f>SUMIF(61:61,G8,62:62)-SUMIF(61:61,C8,62:62)+100</f>
        <v>102</v>
      </c>
      <c r="I8" s="368" t="s">
        <v>3403</v>
      </c>
      <c r="J8" s="365">
        <f>SUMIF(61:61,I8,62:62)-SUMIF(61:61,C8,62:62)+100</f>
        <v>102</v>
      </c>
      <c r="K8" s="560"/>
      <c r="L8" s="2711"/>
      <c r="M8" s="2712"/>
      <c r="N8" s="2712"/>
      <c r="O8" s="2712"/>
      <c r="P8" s="3696" t="s">
        <v>1681</v>
      </c>
      <c r="Q8" s="3697"/>
      <c r="R8" s="700" t="s">
        <v>14</v>
      </c>
      <c r="S8" s="701">
        <f t="shared" si="0"/>
        <v>102</v>
      </c>
      <c r="T8" s="700" t="s">
        <v>14</v>
      </c>
      <c r="U8" s="701">
        <f t="shared" si="1"/>
        <v>102</v>
      </c>
      <c r="V8" s="700" t="s">
        <v>14</v>
      </c>
      <c r="W8" s="701">
        <f t="shared" si="2"/>
        <v>102</v>
      </c>
      <c r="X8" s="702"/>
      <c r="Y8" s="3696" t="s">
        <v>1681</v>
      </c>
      <c r="Z8" s="3697"/>
      <c r="AA8" s="703">
        <f t="shared" ref="AA8:AA46" si="3">D8/F8</f>
        <v>0.98039215686274506</v>
      </c>
      <c r="AB8" s="703">
        <f t="shared" ref="AB8:AB46" si="4">D8/H8</f>
        <v>0.98039215686274506</v>
      </c>
      <c r="AC8" s="703">
        <f t="shared" ref="AC8:AC46" si="5">D8/J8</f>
        <v>0.98039215686274506</v>
      </c>
    </row>
    <row r="9" spans="1:29" s="108" customFormat="1">
      <c r="A9" s="369" t="s">
        <v>1682</v>
      </c>
      <c r="B9" s="63" t="s">
        <v>1683</v>
      </c>
      <c r="C9" s="3453" t="s">
        <v>3484</v>
      </c>
      <c r="D9" s="126">
        <v>100</v>
      </c>
      <c r="E9" s="371" t="s">
        <v>673</v>
      </c>
      <c r="F9" s="372">
        <f>SUMIF(63:63,E9,64:64)-SUMIF(63:63,C9,64:64)+100</f>
        <v>100</v>
      </c>
      <c r="G9" s="371" t="s">
        <v>673</v>
      </c>
      <c r="H9" s="126">
        <f>SUMIF(63:63,G9,64:64)-SUMIF(63:63,C9,64:64)+100</f>
        <v>100</v>
      </c>
      <c r="I9" s="371" t="s">
        <v>673</v>
      </c>
      <c r="J9" s="126">
        <f>SUMIF(63:63,I9,64:64)-SUMIF(63:63,C9,64:64)+100</f>
        <v>100</v>
      </c>
      <c r="K9" s="560"/>
      <c r="L9" s="2711"/>
      <c r="M9" s="2712"/>
      <c r="N9" s="2712"/>
      <c r="O9" s="2712"/>
      <c r="P9" s="3710" t="s">
        <v>1684</v>
      </c>
      <c r="Q9" s="1342" t="str">
        <f t="shared" ref="Q9:Q15" si="6">B9</f>
        <v>用途</v>
      </c>
      <c r="R9" s="700" t="s">
        <v>14</v>
      </c>
      <c r="S9" s="701">
        <f t="shared" si="0"/>
        <v>100</v>
      </c>
      <c r="T9" s="700" t="s">
        <v>14</v>
      </c>
      <c r="U9" s="701">
        <f t="shared" si="1"/>
        <v>100</v>
      </c>
      <c r="V9" s="700" t="s">
        <v>14</v>
      </c>
      <c r="W9" s="701">
        <f t="shared" si="2"/>
        <v>100</v>
      </c>
      <c r="X9" s="702"/>
      <c r="Y9" s="3621" t="s">
        <v>1685</v>
      </c>
      <c r="Z9" s="52" t="str">
        <f t="shared" ref="Z9:Z15" si="7">Q9</f>
        <v>用途</v>
      </c>
      <c r="AA9" s="703">
        <f t="shared" si="3"/>
        <v>1</v>
      </c>
      <c r="AB9" s="703">
        <f t="shared" si="4"/>
        <v>1</v>
      </c>
      <c r="AC9" s="703">
        <f t="shared" si="5"/>
        <v>1</v>
      </c>
    </row>
    <row r="10" spans="1:29" s="378" customFormat="1" ht="27">
      <c r="A10" s="374"/>
      <c r="B10" s="375" t="s">
        <v>1686</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710"/>
      <c r="Q10" s="1342"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5"/>
      <c r="M11" s="2710"/>
      <c r="N11" s="2710"/>
      <c r="O11" s="2710"/>
      <c r="P11" s="3710"/>
      <c r="Q11" s="1342" t="str">
        <f t="shared" si="6"/>
        <v>容积率</v>
      </c>
      <c r="R11" s="700" t="s">
        <v>14</v>
      </c>
      <c r="S11" s="701">
        <f t="shared" si="0"/>
        <v>100</v>
      </c>
      <c r="T11" s="700" t="s">
        <v>14</v>
      </c>
      <c r="U11" s="701">
        <f t="shared" si="1"/>
        <v>100</v>
      </c>
      <c r="V11" s="700" t="s">
        <v>14</v>
      </c>
      <c r="W11" s="701">
        <f t="shared" si="2"/>
        <v>100</v>
      </c>
      <c r="X11" s="702"/>
      <c r="Y11" s="3621"/>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10"/>
      <c r="Q12" s="1342">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10"/>
      <c r="Q13" s="1342">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10"/>
      <c r="Q14" s="1342">
        <f t="shared" si="6"/>
        <v>111</v>
      </c>
      <c r="R14" s="700" t="s">
        <v>14</v>
      </c>
      <c r="S14" s="701">
        <f t="shared" si="0"/>
        <v>100</v>
      </c>
      <c r="T14" s="700" t="s">
        <v>14</v>
      </c>
      <c r="U14" s="701">
        <f t="shared" si="1"/>
        <v>100</v>
      </c>
      <c r="V14" s="700" t="s">
        <v>14</v>
      </c>
      <c r="W14" s="701">
        <f t="shared" si="2"/>
        <v>100</v>
      </c>
      <c r="X14" s="702"/>
      <c r="Y14" s="3621"/>
      <c r="Z14" s="52">
        <f t="shared" si="7"/>
        <v>111</v>
      </c>
      <c r="AA14" s="703">
        <f t="shared" si="3"/>
        <v>1</v>
      </c>
      <c r="AB14" s="703">
        <f t="shared" si="4"/>
        <v>1</v>
      </c>
      <c r="AC14" s="703">
        <f t="shared" si="5"/>
        <v>1</v>
      </c>
    </row>
    <row r="15" spans="1:29" ht="15">
      <c r="A15" s="391" t="s">
        <v>1688</v>
      </c>
      <c r="B15" s="61" t="s">
        <v>1775</v>
      </c>
      <c r="C15" s="1895" t="str">
        <f>估价对象房地状况!C4</f>
        <v>好</v>
      </c>
      <c r="D15" s="392">
        <v>100</v>
      </c>
      <c r="E15" s="393"/>
      <c r="F15" s="394">
        <f>SUMIF(76:76,E16,77:77)-SUMIF(76:76,C16,77:77)+100</f>
        <v>100</v>
      </c>
      <c r="G15" s="395"/>
      <c r="H15" s="392">
        <f>SUMIF(76:76,G16,77:77)-SUMIF(76:76,C16,77:77)+100</f>
        <v>100</v>
      </c>
      <c r="I15" s="393"/>
      <c r="J15" s="392">
        <f>SUMIF(76:76,I16,77:77)-SUMIF(76:76,C16,77:77)+100</f>
        <v>100</v>
      </c>
      <c r="K15" s="563">
        <v>2</v>
      </c>
      <c r="L15" s="2716"/>
      <c r="M15" s="2710"/>
      <c r="N15" s="2710"/>
      <c r="O15" s="2710"/>
      <c r="P15" s="3737" t="s">
        <v>1689</v>
      </c>
      <c r="Q15" s="1351" t="str">
        <f t="shared" si="6"/>
        <v>商业繁华度</v>
      </c>
      <c r="R15" s="704" t="s">
        <v>14</v>
      </c>
      <c r="S15" s="705">
        <f t="shared" si="0"/>
        <v>100</v>
      </c>
      <c r="T15" s="704" t="s">
        <v>14</v>
      </c>
      <c r="U15" s="705">
        <f t="shared" si="1"/>
        <v>100</v>
      </c>
      <c r="V15" s="704" t="s">
        <v>14</v>
      </c>
      <c r="W15" s="705">
        <f t="shared" si="2"/>
        <v>100</v>
      </c>
      <c r="X15" s="1354"/>
      <c r="Y15" s="3730" t="s">
        <v>1689</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6"/>
      <c r="M16" s="2710"/>
      <c r="N16" s="2710"/>
      <c r="O16" s="2710"/>
      <c r="P16" s="3738"/>
      <c r="Q16" s="1351"/>
      <c r="R16" s="704"/>
      <c r="S16" s="705"/>
      <c r="T16" s="704"/>
      <c r="U16" s="705"/>
      <c r="V16" s="704"/>
      <c r="W16" s="705"/>
      <c r="X16" s="1354"/>
      <c r="Y16" s="3731"/>
      <c r="Z16" s="1355"/>
      <c r="AA16" s="1352">
        <v>1</v>
      </c>
      <c r="AB16" s="1352">
        <v>1</v>
      </c>
      <c r="AC16" s="1352">
        <v>1</v>
      </c>
    </row>
    <row r="17" spans="1:29" ht="15">
      <c r="A17" s="379"/>
      <c r="B17" s="402" t="s">
        <v>1257</v>
      </c>
      <c r="C17" s="1899"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v>2</v>
      </c>
      <c r="L17" s="2716"/>
      <c r="M17" s="2710"/>
      <c r="N17" s="2710"/>
      <c r="O17" s="2710"/>
      <c r="P17" s="3738"/>
      <c r="Q17" s="1351" t="str">
        <f>B17</f>
        <v>交通便捷度</v>
      </c>
      <c r="R17" s="704" t="s">
        <v>14</v>
      </c>
      <c r="S17" s="705">
        <f>F17</f>
        <v>100</v>
      </c>
      <c r="T17" s="704" t="s">
        <v>14</v>
      </c>
      <c r="U17" s="705">
        <f>H17</f>
        <v>100</v>
      </c>
      <c r="V17" s="704" t="s">
        <v>14</v>
      </c>
      <c r="W17" s="705">
        <f>J17</f>
        <v>100</v>
      </c>
      <c r="X17" s="1354"/>
      <c r="Y17" s="373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6"/>
      <c r="M18" s="2710"/>
      <c r="N18" s="2710"/>
      <c r="O18" s="2710"/>
      <c r="P18" s="3738"/>
      <c r="Q18" s="1351"/>
      <c r="R18" s="704"/>
      <c r="S18" s="705"/>
      <c r="T18" s="704"/>
      <c r="U18" s="705"/>
      <c r="V18" s="704"/>
      <c r="W18" s="705"/>
      <c r="X18" s="1354"/>
      <c r="Y18" s="3731"/>
      <c r="Z18" s="1355"/>
      <c r="AA18" s="1352">
        <v>1</v>
      </c>
      <c r="AB18" s="1352">
        <v>1</v>
      </c>
      <c r="AC18" s="1352">
        <v>1</v>
      </c>
    </row>
    <row r="19" spans="1:29" ht="15">
      <c r="A19" s="379"/>
      <c r="B19" s="402" t="s">
        <v>1776</v>
      </c>
      <c r="C19" s="1899" t="str">
        <f>估价对象房地状况!C7</f>
        <v>好</v>
      </c>
      <c r="D19" s="406">
        <v>100</v>
      </c>
      <c r="E19" s="408"/>
      <c r="F19" s="409">
        <f>SUMIF(80:80,E20,81:81)-SUMIF(80:80,C20,81:81)+100</f>
        <v>100</v>
      </c>
      <c r="G19" s="410"/>
      <c r="H19" s="401">
        <f>SUMIF(80:80,G20,81:81)-SUMIF(80:80,C20,81:81)+100</f>
        <v>100</v>
      </c>
      <c r="I19" s="408"/>
      <c r="J19" s="401">
        <f>SUMIF(80:80,I20,81:81)-SUMIF(80:80,C20,81:81)+100</f>
        <v>100</v>
      </c>
      <c r="K19" s="563">
        <v>2</v>
      </c>
      <c r="L19" s="2716"/>
      <c r="M19" s="2710"/>
      <c r="N19" s="2710"/>
      <c r="O19" s="2710"/>
      <c r="P19" s="3738"/>
      <c r="Q19" s="1351" t="str">
        <f>B19</f>
        <v>公共配套设施</v>
      </c>
      <c r="R19" s="704" t="s">
        <v>14</v>
      </c>
      <c r="S19" s="705">
        <f>F19</f>
        <v>100</v>
      </c>
      <c r="T19" s="704" t="s">
        <v>14</v>
      </c>
      <c r="U19" s="705">
        <f>H19</f>
        <v>100</v>
      </c>
      <c r="V19" s="704" t="s">
        <v>14</v>
      </c>
      <c r="W19" s="705">
        <f>J19</f>
        <v>100</v>
      </c>
      <c r="X19" s="1354"/>
      <c r="Y19" s="373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6"/>
      <c r="M20" s="2710"/>
      <c r="N20" s="2710"/>
      <c r="O20" s="2710"/>
      <c r="P20" s="3738"/>
      <c r="Q20" s="1351"/>
      <c r="R20" s="704"/>
      <c r="S20" s="705"/>
      <c r="T20" s="704"/>
      <c r="U20" s="705"/>
      <c r="V20" s="704"/>
      <c r="W20" s="705"/>
      <c r="X20" s="1354"/>
      <c r="Y20" s="3731"/>
      <c r="Z20" s="1355"/>
      <c r="AA20" s="1352">
        <v>1</v>
      </c>
      <c r="AB20" s="1352">
        <v>1</v>
      </c>
      <c r="AC20" s="1352">
        <v>1</v>
      </c>
    </row>
    <row r="21" spans="1:29" ht="15">
      <c r="A21" s="379"/>
      <c r="B21" s="1130" t="s">
        <v>1777</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16"/>
      <c r="M21" s="2710"/>
      <c r="N21" s="2710"/>
      <c r="O21" s="2710"/>
      <c r="P21" s="3738"/>
      <c r="Q21" s="1351" t="str">
        <f>B21</f>
        <v>基础设施水平</v>
      </c>
      <c r="R21" s="704" t="s">
        <v>14</v>
      </c>
      <c r="S21" s="705">
        <f>F21</f>
        <v>100</v>
      </c>
      <c r="T21" s="704" t="s">
        <v>14</v>
      </c>
      <c r="U21" s="705">
        <f>H21</f>
        <v>100</v>
      </c>
      <c r="V21" s="704" t="s">
        <v>14</v>
      </c>
      <c r="W21" s="705">
        <f>J21</f>
        <v>100</v>
      </c>
      <c r="X21" s="1354"/>
      <c r="Y21" s="373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16"/>
      <c r="M22" s="2710"/>
      <c r="N22" s="2710"/>
      <c r="O22" s="2710"/>
      <c r="P22" s="3738"/>
      <c r="Q22" s="1351"/>
      <c r="R22" s="704"/>
      <c r="S22" s="705"/>
      <c r="T22" s="704"/>
      <c r="U22" s="705"/>
      <c r="V22" s="704"/>
      <c r="W22" s="705"/>
      <c r="X22" s="1354"/>
      <c r="Y22" s="3731"/>
      <c r="Z22" s="1355"/>
      <c r="AA22" s="1352">
        <v>1</v>
      </c>
      <c r="AB22" s="1352">
        <v>1</v>
      </c>
      <c r="AC22" s="1352">
        <v>1</v>
      </c>
    </row>
    <row r="23" spans="1:29" ht="15">
      <c r="A23" s="379"/>
      <c r="B23" s="402" t="s">
        <v>1259</v>
      </c>
      <c r="C23" s="1952"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v>2</v>
      </c>
      <c r="L23" s="2716"/>
      <c r="M23" s="2710"/>
      <c r="N23" s="2710"/>
      <c r="O23" s="2710"/>
      <c r="P23" s="3738"/>
      <c r="Q23" s="1351" t="str">
        <f>B23</f>
        <v>自然及人文环境</v>
      </c>
      <c r="R23" s="704" t="s">
        <v>14</v>
      </c>
      <c r="S23" s="705">
        <f>F23</f>
        <v>100</v>
      </c>
      <c r="T23" s="704" t="s">
        <v>14</v>
      </c>
      <c r="U23" s="705">
        <f>H23</f>
        <v>100</v>
      </c>
      <c r="V23" s="704" t="s">
        <v>14</v>
      </c>
      <c r="W23" s="705">
        <f>J23</f>
        <v>100</v>
      </c>
      <c r="X23" s="1354"/>
      <c r="Y23" s="3731"/>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6"/>
      <c r="M24" s="2710"/>
      <c r="N24" s="2710"/>
      <c r="O24" s="2710"/>
      <c r="P24" s="3738"/>
      <c r="Q24" s="1351"/>
      <c r="R24" s="704"/>
      <c r="S24" s="705"/>
      <c r="T24" s="704"/>
      <c r="U24" s="705"/>
      <c r="V24" s="704"/>
      <c r="W24" s="705"/>
      <c r="X24" s="1354"/>
      <c r="Y24" s="3731"/>
      <c r="Z24" s="1355"/>
      <c r="AA24" s="1352">
        <v>1</v>
      </c>
      <c r="AB24" s="1352">
        <v>1</v>
      </c>
      <c r="AC24" s="1352">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v>2</v>
      </c>
      <c r="L25" s="2716"/>
      <c r="M25" s="2710"/>
      <c r="N25" s="2710"/>
      <c r="O25" s="2710"/>
      <c r="P25" s="3738"/>
      <c r="Q25" s="1351" t="str">
        <f t="shared" ref="Q25:Q46" si="11">B25</f>
        <v>临街状况</v>
      </c>
      <c r="R25" s="704" t="s">
        <v>14</v>
      </c>
      <c r="S25" s="705">
        <f>F25</f>
        <v>100</v>
      </c>
      <c r="T25" s="704" t="s">
        <v>14</v>
      </c>
      <c r="U25" s="705">
        <f>H25</f>
        <v>100</v>
      </c>
      <c r="V25" s="704" t="s">
        <v>14</v>
      </c>
      <c r="W25" s="705">
        <f>J25</f>
        <v>100</v>
      </c>
      <c r="X25" s="1354"/>
      <c r="Y25" s="3731"/>
      <c r="Z25" s="1355" t="str">
        <f>Q25</f>
        <v>临街状况</v>
      </c>
      <c r="AA25" s="1352">
        <f t="shared" si="3"/>
        <v>1</v>
      </c>
      <c r="AB25" s="1352">
        <f t="shared" si="4"/>
        <v>1</v>
      </c>
      <c r="AC25" s="1352">
        <f t="shared" si="5"/>
        <v>1</v>
      </c>
    </row>
    <row r="26" spans="1:29" ht="15">
      <c r="A26" s="379"/>
      <c r="B26" s="1132" t="s">
        <v>1779</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38"/>
      <c r="Q26" s="1351" t="str">
        <f t="shared" si="11"/>
        <v>平面位置/可视性</v>
      </c>
      <c r="R26" s="704" t="s">
        <v>14</v>
      </c>
      <c r="S26" s="705">
        <f>F26</f>
        <v>100</v>
      </c>
      <c r="T26" s="704" t="s">
        <v>14</v>
      </c>
      <c r="U26" s="705">
        <f>H26</f>
        <v>100</v>
      </c>
      <c r="V26" s="704" t="s">
        <v>14</v>
      </c>
      <c r="W26" s="705">
        <f>J26</f>
        <v>100</v>
      </c>
      <c r="X26" s="1354"/>
      <c r="Y26" s="3731"/>
      <c r="Z26" s="1355" t="str">
        <f>Q26</f>
        <v>平面位置/可视性</v>
      </c>
      <c r="AA26" s="1352">
        <f t="shared" si="3"/>
        <v>1</v>
      </c>
      <c r="AB26" s="1352">
        <f t="shared" si="4"/>
        <v>1</v>
      </c>
      <c r="AC26" s="1352">
        <f t="shared" si="5"/>
        <v>1</v>
      </c>
    </row>
    <row r="27" spans="1:29" s="108" customFormat="1" ht="15">
      <c r="A27" s="382"/>
      <c r="B27" s="402" t="s">
        <v>1780</v>
      </c>
      <c r="C27" s="1953"/>
      <c r="D27" s="413">
        <v>100</v>
      </c>
      <c r="E27" s="1953"/>
      <c r="F27" s="415">
        <f>SUMIF(90:90,E27,91:91)-SUMIF(90:90,C27,91:91)+100</f>
        <v>100</v>
      </c>
      <c r="G27" s="1953"/>
      <c r="H27" s="413">
        <f>SUMIF(90:90,G27,91:91)-SUMIF(90:90,C27,91:91)+100</f>
        <v>100</v>
      </c>
      <c r="I27" s="1953"/>
      <c r="J27" s="413">
        <f>SUMIF(90:90,I27,91:91)-SUMIF(90:90,C27,91:91)+100</f>
        <v>100</v>
      </c>
      <c r="K27" s="561">
        <v>2</v>
      </c>
      <c r="L27" s="2711"/>
      <c r="M27" s="2712"/>
      <c r="N27" s="2712"/>
      <c r="O27" s="2712"/>
      <c r="P27" s="3738"/>
      <c r="Q27" s="1342" t="str">
        <f t="shared" si="11"/>
        <v>人流量</v>
      </c>
      <c r="R27" s="700" t="s">
        <v>14</v>
      </c>
      <c r="S27" s="701">
        <f>F27</f>
        <v>100</v>
      </c>
      <c r="T27" s="700" t="s">
        <v>14</v>
      </c>
      <c r="U27" s="701">
        <f>H27</f>
        <v>100</v>
      </c>
      <c r="V27" s="700" t="s">
        <v>14</v>
      </c>
      <c r="W27" s="701">
        <f>J27</f>
        <v>100</v>
      </c>
      <c r="X27" s="702"/>
      <c r="Y27" s="3731"/>
      <c r="Z27" s="52" t="str">
        <f>Q27</f>
        <v>人流量</v>
      </c>
      <c r="AA27" s="1352">
        <f>D27/F27</f>
        <v>1</v>
      </c>
      <c r="AB27" s="1352">
        <f>D27/H27</f>
        <v>1</v>
      </c>
      <c r="AC27" s="1352">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38"/>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31"/>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38"/>
      <c r="Q29" s="1351">
        <f t="shared" si="11"/>
        <v>111</v>
      </c>
      <c r="R29" s="704" t="s">
        <v>14</v>
      </c>
      <c r="S29" s="705">
        <f t="shared" si="12"/>
        <v>100</v>
      </c>
      <c r="T29" s="704" t="s">
        <v>14</v>
      </c>
      <c r="U29" s="705">
        <f t="shared" si="13"/>
        <v>100</v>
      </c>
      <c r="V29" s="704" t="s">
        <v>14</v>
      </c>
      <c r="W29" s="705">
        <f t="shared" si="14"/>
        <v>100</v>
      </c>
      <c r="X29" s="1354"/>
      <c r="Y29" s="3731"/>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38"/>
      <c r="Q30" s="1351">
        <f t="shared" si="11"/>
        <v>111</v>
      </c>
      <c r="R30" s="704" t="s">
        <v>14</v>
      </c>
      <c r="S30" s="705">
        <f t="shared" si="12"/>
        <v>100</v>
      </c>
      <c r="T30" s="704" t="s">
        <v>14</v>
      </c>
      <c r="U30" s="705">
        <f t="shared" si="13"/>
        <v>100</v>
      </c>
      <c r="V30" s="704" t="s">
        <v>14</v>
      </c>
      <c r="W30" s="705">
        <f t="shared" si="14"/>
        <v>100</v>
      </c>
      <c r="X30" s="1354"/>
      <c r="Y30" s="3731"/>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38"/>
      <c r="Q31" s="1351">
        <f t="shared" si="11"/>
        <v>111</v>
      </c>
      <c r="R31" s="704" t="s">
        <v>14</v>
      </c>
      <c r="S31" s="705">
        <f t="shared" si="12"/>
        <v>100</v>
      </c>
      <c r="T31" s="704" t="s">
        <v>14</v>
      </c>
      <c r="U31" s="705">
        <f t="shared" si="13"/>
        <v>100</v>
      </c>
      <c r="V31" s="704" t="s">
        <v>14</v>
      </c>
      <c r="W31" s="705">
        <f t="shared" si="14"/>
        <v>100</v>
      </c>
      <c r="X31" s="1354"/>
      <c r="Y31" s="3731"/>
      <c r="Z31" s="1355">
        <f t="shared" si="15"/>
        <v>111</v>
      </c>
      <c r="AA31" s="1352">
        <f t="shared" si="3"/>
        <v>1</v>
      </c>
      <c r="AB31" s="1352">
        <f t="shared" si="4"/>
        <v>1</v>
      </c>
      <c r="AC31" s="1352">
        <f t="shared" si="5"/>
        <v>1</v>
      </c>
    </row>
    <row r="32" spans="1:29" ht="15">
      <c r="A32" s="391" t="s">
        <v>1692</v>
      </c>
      <c r="B32" s="63" t="s">
        <v>1782</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v>2</v>
      </c>
      <c r="L32" s="2716"/>
      <c r="M32" s="2710"/>
      <c r="N32" s="2710"/>
      <c r="O32" s="2710"/>
      <c r="P32" s="3732" t="s">
        <v>1694</v>
      </c>
      <c r="Q32" s="1351" t="str">
        <f t="shared" si="11"/>
        <v>商业类型</v>
      </c>
      <c r="R32" s="704" t="s">
        <v>14</v>
      </c>
      <c r="S32" s="705">
        <f t="shared" si="12"/>
        <v>100</v>
      </c>
      <c r="T32" s="704" t="s">
        <v>14</v>
      </c>
      <c r="U32" s="705">
        <f t="shared" si="13"/>
        <v>100</v>
      </c>
      <c r="V32" s="704" t="s">
        <v>14</v>
      </c>
      <c r="W32" s="705">
        <f t="shared" si="14"/>
        <v>100</v>
      </c>
      <c r="X32" s="1354"/>
      <c r="Y32" s="3735" t="s">
        <v>1694</v>
      </c>
      <c r="Z32" s="1355" t="str">
        <f t="shared" si="15"/>
        <v>商业类型</v>
      </c>
      <c r="AA32" s="1352">
        <f t="shared" si="3"/>
        <v>1</v>
      </c>
      <c r="AB32" s="1352">
        <f t="shared" si="4"/>
        <v>1</v>
      </c>
      <c r="AC32" s="1352">
        <f t="shared" si="5"/>
        <v>1</v>
      </c>
    </row>
    <row r="33" spans="1:29" s="422" customFormat="1" ht="15">
      <c r="A33" s="419"/>
      <c r="B33" s="375" t="s">
        <v>1695</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15"/>
      <c r="M33" s="2717"/>
      <c r="N33" s="2717"/>
      <c r="O33" s="2717"/>
      <c r="P33" s="3733"/>
      <c r="Q33" s="706" t="str">
        <f t="shared" si="11"/>
        <v>项目建筑规模</v>
      </c>
      <c r="R33" s="707" t="s">
        <v>14</v>
      </c>
      <c r="S33" s="708">
        <f t="shared" si="12"/>
        <v>100</v>
      </c>
      <c r="T33" s="707" t="s">
        <v>14</v>
      </c>
      <c r="U33" s="708">
        <f t="shared" si="13"/>
        <v>100</v>
      </c>
      <c r="V33" s="707" t="s">
        <v>14</v>
      </c>
      <c r="W33" s="708">
        <f t="shared" si="14"/>
        <v>100</v>
      </c>
      <c r="X33" s="709"/>
      <c r="Y33" s="3735"/>
      <c r="Z33" s="710" t="str">
        <f t="shared" si="15"/>
        <v>项目建筑规模</v>
      </c>
      <c r="AA33" s="1352">
        <f t="shared" si="3"/>
        <v>1</v>
      </c>
      <c r="AB33" s="1352">
        <f t="shared" si="4"/>
        <v>1</v>
      </c>
      <c r="AC33" s="1352">
        <f t="shared" si="5"/>
        <v>1</v>
      </c>
    </row>
    <row r="34" spans="1:29" ht="15">
      <c r="A34" s="423"/>
      <c r="B34" s="375" t="s">
        <v>1696</v>
      </c>
      <c r="C34" s="1910" t="s">
        <v>3401</v>
      </c>
      <c r="D34" s="386">
        <v>100</v>
      </c>
      <c r="E34" s="1910" t="s">
        <v>3401</v>
      </c>
      <c r="F34" s="412">
        <f>SUMIF(105:105,E34,106:106)-SUMIF(105:105,C34,106:106)+100</f>
        <v>100</v>
      </c>
      <c r="G34" s="1910" t="s">
        <v>3401</v>
      </c>
      <c r="H34" s="386">
        <f>SUMIF(105:105,G34,106:106)-SUMIF(105:105,C34,106:106)+100</f>
        <v>100</v>
      </c>
      <c r="I34" s="1910" t="s">
        <v>3401</v>
      </c>
      <c r="J34" s="386">
        <f>SUMIF(105:105,I34,106:106)-SUMIF(105:105,C34,106:106)+100</f>
        <v>100</v>
      </c>
      <c r="K34" s="561">
        <v>2</v>
      </c>
      <c r="L34" s="2716"/>
      <c r="M34" s="2710"/>
      <c r="N34" s="2710"/>
      <c r="O34" s="2710"/>
      <c r="P34" s="3733"/>
      <c r="Q34" s="1351" t="str">
        <f t="shared" si="11"/>
        <v>建筑结构</v>
      </c>
      <c r="R34" s="704" t="s">
        <v>14</v>
      </c>
      <c r="S34" s="705">
        <f t="shared" si="12"/>
        <v>100</v>
      </c>
      <c r="T34" s="704" t="s">
        <v>14</v>
      </c>
      <c r="U34" s="705">
        <f t="shared" si="13"/>
        <v>100</v>
      </c>
      <c r="V34" s="704" t="s">
        <v>14</v>
      </c>
      <c r="W34" s="705">
        <f t="shared" si="14"/>
        <v>100</v>
      </c>
      <c r="X34" s="1354"/>
      <c r="Y34" s="3735"/>
      <c r="Z34" s="1355" t="str">
        <f t="shared" si="15"/>
        <v>建筑结构</v>
      </c>
      <c r="AA34" s="1352">
        <f t="shared" si="3"/>
        <v>1</v>
      </c>
      <c r="AB34" s="1352">
        <f t="shared" si="4"/>
        <v>1</v>
      </c>
      <c r="AC34" s="1352">
        <f t="shared" si="5"/>
        <v>1</v>
      </c>
    </row>
    <row r="35" spans="1:29" ht="15">
      <c r="A35" s="423"/>
      <c r="B35" s="375" t="s">
        <v>1783</v>
      </c>
      <c r="C35" s="1905" t="s">
        <v>3447</v>
      </c>
      <c r="D35" s="386">
        <v>100</v>
      </c>
      <c r="E35" s="1905" t="s">
        <v>3447</v>
      </c>
      <c r="F35" s="412">
        <f>SUMIF(107:107,E35,108:108)-SUMIF(107:107,C35,108:108)+100</f>
        <v>100</v>
      </c>
      <c r="G35" s="1905" t="s">
        <v>3447</v>
      </c>
      <c r="H35" s="386">
        <f>SUMIF(107:107,G35,108:108)-SUMIF(107:107,C35,108:108)+100</f>
        <v>100</v>
      </c>
      <c r="I35" s="1905" t="s">
        <v>3447</v>
      </c>
      <c r="J35" s="386">
        <f>SUMIF(107:107,I35,108:108)-SUMIF(107:107,C35,108:108)+100</f>
        <v>100</v>
      </c>
      <c r="K35" s="561">
        <v>2</v>
      </c>
      <c r="L35" s="2716"/>
      <c r="M35" s="2710"/>
      <c r="N35" s="2710"/>
      <c r="O35" s="2710"/>
      <c r="P35" s="3733"/>
      <c r="Q35" s="1351" t="str">
        <f t="shared" si="11"/>
        <v>公共部分装修</v>
      </c>
      <c r="R35" s="704" t="s">
        <v>14</v>
      </c>
      <c r="S35" s="705">
        <f t="shared" si="12"/>
        <v>100</v>
      </c>
      <c r="T35" s="704" t="s">
        <v>14</v>
      </c>
      <c r="U35" s="705">
        <f t="shared" si="13"/>
        <v>100</v>
      </c>
      <c r="V35" s="704" t="s">
        <v>14</v>
      </c>
      <c r="W35" s="705">
        <f t="shared" si="14"/>
        <v>100</v>
      </c>
      <c r="X35" s="1354"/>
      <c r="Y35" s="3735"/>
      <c r="Z35" s="1355" t="str">
        <f t="shared" si="15"/>
        <v>公共部分装修</v>
      </c>
      <c r="AA35" s="1352">
        <f t="shared" si="3"/>
        <v>1</v>
      </c>
      <c r="AB35" s="1352">
        <f t="shared" si="4"/>
        <v>1</v>
      </c>
      <c r="AC35" s="1352">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v>1</v>
      </c>
      <c r="L36" s="2716"/>
      <c r="M36" s="2710"/>
      <c r="N36" s="2710"/>
      <c r="O36" s="2710"/>
      <c r="P36" s="3733"/>
      <c r="Q36" s="1351" t="str">
        <f t="shared" si="11"/>
        <v>成新度</v>
      </c>
      <c r="R36" s="704" t="s">
        <v>14</v>
      </c>
      <c r="S36" s="705" t="e">
        <f t="shared" si="12"/>
        <v>#N/A</v>
      </c>
      <c r="T36" s="704" t="s">
        <v>14</v>
      </c>
      <c r="U36" s="705" t="e">
        <f t="shared" si="13"/>
        <v>#N/A</v>
      </c>
      <c r="V36" s="704" t="s">
        <v>14</v>
      </c>
      <c r="W36" s="705" t="e">
        <f t="shared" si="14"/>
        <v>#N/A</v>
      </c>
      <c r="X36" s="1354"/>
      <c r="Y36" s="3735"/>
      <c r="Z36" s="1355" t="str">
        <f t="shared" si="15"/>
        <v>成新度</v>
      </c>
      <c r="AA36" s="1352" t="e">
        <f t="shared" si="3"/>
        <v>#N/A</v>
      </c>
      <c r="AB36" s="1352" t="e">
        <f t="shared" si="4"/>
        <v>#N/A</v>
      </c>
      <c r="AC36" s="1352" t="e">
        <f t="shared" si="5"/>
        <v>#N/A</v>
      </c>
    </row>
    <row r="37" spans="1:29" s="108" customFormat="1" ht="15">
      <c r="A37" s="424"/>
      <c r="B37" s="375" t="s">
        <v>1785</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v>1</v>
      </c>
      <c r="L37" s="2711"/>
      <c r="M37" s="2712"/>
      <c r="N37" s="2712"/>
      <c r="O37" s="2712"/>
      <c r="P37" s="3733"/>
      <c r="Q37" s="1342" t="str">
        <f t="shared" si="11"/>
        <v>市政基础设施</v>
      </c>
      <c r="R37" s="700" t="s">
        <v>14</v>
      </c>
      <c r="S37" s="701">
        <f t="shared" si="12"/>
        <v>100</v>
      </c>
      <c r="T37" s="700" t="s">
        <v>14</v>
      </c>
      <c r="U37" s="701">
        <f t="shared" si="13"/>
        <v>100</v>
      </c>
      <c r="V37" s="700" t="s">
        <v>14</v>
      </c>
      <c r="W37" s="701">
        <f t="shared" si="14"/>
        <v>100</v>
      </c>
      <c r="X37" s="702"/>
      <c r="Y37" s="3735"/>
      <c r="Z37" s="52" t="str">
        <f t="shared" si="15"/>
        <v>市政基础设施</v>
      </c>
      <c r="AA37" s="703">
        <f t="shared" si="3"/>
        <v>1</v>
      </c>
      <c r="AB37" s="703">
        <f t="shared" si="4"/>
        <v>1</v>
      </c>
      <c r="AC37" s="703">
        <f t="shared" si="5"/>
        <v>1</v>
      </c>
    </row>
    <row r="38" spans="1:29" ht="15">
      <c r="A38" s="423"/>
      <c r="B38" s="375" t="s">
        <v>1786</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v>2</v>
      </c>
      <c r="L38" s="2716"/>
      <c r="M38" s="2710"/>
      <c r="N38" s="2710"/>
      <c r="O38" s="2710"/>
      <c r="P38" s="3733" t="s">
        <v>1694</v>
      </c>
      <c r="Q38" s="1351" t="str">
        <f t="shared" si="11"/>
        <v>业态</v>
      </c>
      <c r="R38" s="704" t="s">
        <v>14</v>
      </c>
      <c r="S38" s="705">
        <f t="shared" si="12"/>
        <v>100</v>
      </c>
      <c r="T38" s="704" t="s">
        <v>14</v>
      </c>
      <c r="U38" s="705">
        <f t="shared" si="13"/>
        <v>100</v>
      </c>
      <c r="V38" s="704" t="s">
        <v>14</v>
      </c>
      <c r="W38" s="705">
        <f t="shared" si="14"/>
        <v>100</v>
      </c>
      <c r="X38" s="1354"/>
      <c r="Y38" s="3735" t="s">
        <v>1694</v>
      </c>
      <c r="Z38" s="1355" t="str">
        <f t="shared" si="15"/>
        <v>业态</v>
      </c>
      <c r="AA38" s="1352">
        <f t="shared" si="3"/>
        <v>1</v>
      </c>
      <c r="AB38" s="1352">
        <f t="shared" si="4"/>
        <v>1</v>
      </c>
      <c r="AC38" s="1352">
        <f t="shared" si="5"/>
        <v>1</v>
      </c>
    </row>
    <row r="39" spans="1:29" ht="15">
      <c r="A39" s="423"/>
      <c r="B39" s="375" t="s">
        <v>1787</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v>2</v>
      </c>
      <c r="L39" s="2716"/>
      <c r="M39" s="2710"/>
      <c r="N39" s="2710"/>
      <c r="O39" s="2710"/>
      <c r="P39" s="3733"/>
      <c r="Q39" s="1351" t="str">
        <f t="shared" si="11"/>
        <v>层高</v>
      </c>
      <c r="R39" s="704" t="s">
        <v>14</v>
      </c>
      <c r="S39" s="705">
        <f t="shared" si="12"/>
        <v>100</v>
      </c>
      <c r="T39" s="704" t="s">
        <v>14</v>
      </c>
      <c r="U39" s="705">
        <f t="shared" si="13"/>
        <v>100</v>
      </c>
      <c r="V39" s="704" t="s">
        <v>14</v>
      </c>
      <c r="W39" s="705">
        <f t="shared" si="14"/>
        <v>100</v>
      </c>
      <c r="X39" s="1354"/>
      <c r="Y39" s="3735"/>
      <c r="Z39" s="1355" t="str">
        <f t="shared" si="15"/>
        <v>层高</v>
      </c>
      <c r="AA39" s="1352">
        <f t="shared" si="3"/>
        <v>1</v>
      </c>
      <c r="AB39" s="1352">
        <f t="shared" si="4"/>
        <v>1</v>
      </c>
      <c r="AC39" s="1352">
        <f t="shared" si="5"/>
        <v>1</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6"/>
      <c r="M40" s="2710"/>
      <c r="N40" s="2710"/>
      <c r="O40" s="2710"/>
      <c r="P40" s="3733"/>
      <c r="Q40" s="1351" t="str">
        <f t="shared" si="11"/>
        <v>单套建筑面积</v>
      </c>
      <c r="R40" s="704" t="s">
        <v>14</v>
      </c>
      <c r="S40" s="705">
        <f t="shared" si="12"/>
        <v>100</v>
      </c>
      <c r="T40" s="704" t="s">
        <v>14</v>
      </c>
      <c r="U40" s="705">
        <f t="shared" si="13"/>
        <v>100</v>
      </c>
      <c r="V40" s="704" t="s">
        <v>14</v>
      </c>
      <c r="W40" s="705">
        <f t="shared" si="14"/>
        <v>100</v>
      </c>
      <c r="X40" s="1354"/>
      <c r="Y40" s="3735"/>
      <c r="Z40" s="1355" t="str">
        <f t="shared" si="15"/>
        <v>单套建筑面积</v>
      </c>
      <c r="AA40" s="1352">
        <f t="shared" si="3"/>
        <v>1</v>
      </c>
      <c r="AB40" s="1352">
        <f t="shared" si="4"/>
        <v>1</v>
      </c>
      <c r="AC40" s="1352">
        <f t="shared" si="5"/>
        <v>1</v>
      </c>
    </row>
    <row r="41" spans="1:29" s="422" customFormat="1" ht="15">
      <c r="A41" s="419"/>
      <c r="B41" s="1353" t="s">
        <v>1789</v>
      </c>
      <c r="C41" s="565" t="s">
        <v>3485</v>
      </c>
      <c r="D41" s="386">
        <v>100</v>
      </c>
      <c r="E41" s="565" t="s">
        <v>3485</v>
      </c>
      <c r="F41" s="412">
        <f>SUMIF(120:120,E41,121:121)-SUMIF(120:120,C41,121:121)+100</f>
        <v>100</v>
      </c>
      <c r="G41" s="565" t="s">
        <v>3485</v>
      </c>
      <c r="H41" s="386">
        <f>SUMIF(120:120,G41,121:121)-SUMIF(120:120,C41,121:121)+100</f>
        <v>100</v>
      </c>
      <c r="I41" s="565" t="s">
        <v>3485</v>
      </c>
      <c r="J41" s="386">
        <f>SUMIF(120:120,I41,121:121)-SUMIF(120:120,C41,121:121)+100</f>
        <v>100</v>
      </c>
      <c r="K41" s="561">
        <v>2</v>
      </c>
      <c r="L41" s="2715"/>
      <c r="M41" s="2717"/>
      <c r="N41" s="2717"/>
      <c r="O41" s="2717"/>
      <c r="P41" s="3733"/>
      <c r="Q41" s="706" t="str">
        <f t="shared" si="11"/>
        <v>进深比</v>
      </c>
      <c r="R41" s="707" t="s">
        <v>14</v>
      </c>
      <c r="S41" s="708">
        <f t="shared" si="12"/>
        <v>100</v>
      </c>
      <c r="T41" s="707" t="s">
        <v>14</v>
      </c>
      <c r="U41" s="708">
        <f t="shared" si="13"/>
        <v>100</v>
      </c>
      <c r="V41" s="707" t="s">
        <v>14</v>
      </c>
      <c r="W41" s="708">
        <f t="shared" si="14"/>
        <v>100</v>
      </c>
      <c r="X41" s="709"/>
      <c r="Y41" s="3735"/>
      <c r="Z41" s="710" t="str">
        <f t="shared" si="15"/>
        <v>进深比</v>
      </c>
      <c r="AA41" s="1352">
        <f t="shared" si="3"/>
        <v>1</v>
      </c>
      <c r="AB41" s="1352">
        <f t="shared" si="4"/>
        <v>1</v>
      </c>
      <c r="AC41" s="1352">
        <f t="shared" si="5"/>
        <v>1</v>
      </c>
    </row>
    <row r="42" spans="1:29" ht="15">
      <c r="A42" s="423"/>
      <c r="B42" s="375" t="s">
        <v>1790</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v>2</v>
      </c>
      <c r="L42" s="2716"/>
      <c r="M42" s="2710"/>
      <c r="N42" s="2710"/>
      <c r="O42" s="2710"/>
      <c r="P42" s="3733"/>
      <c r="Q42" s="1351" t="str">
        <f t="shared" si="11"/>
        <v>内部装修</v>
      </c>
      <c r="R42" s="704" t="s">
        <v>14</v>
      </c>
      <c r="S42" s="705">
        <f t="shared" si="12"/>
        <v>100</v>
      </c>
      <c r="T42" s="704" t="s">
        <v>14</v>
      </c>
      <c r="U42" s="705">
        <f t="shared" si="13"/>
        <v>100</v>
      </c>
      <c r="V42" s="704" t="s">
        <v>14</v>
      </c>
      <c r="W42" s="705">
        <f t="shared" si="14"/>
        <v>100</v>
      </c>
      <c r="X42" s="1354"/>
      <c r="Y42" s="3735"/>
      <c r="Z42" s="1355" t="str">
        <f t="shared" si="15"/>
        <v>内部装修</v>
      </c>
      <c r="AA42" s="1352">
        <f t="shared" si="3"/>
        <v>1</v>
      </c>
      <c r="AB42" s="1352">
        <f t="shared" si="4"/>
        <v>1</v>
      </c>
      <c r="AC42" s="1352">
        <f t="shared" si="5"/>
        <v>1</v>
      </c>
    </row>
    <row r="43" spans="1:29" ht="15">
      <c r="A43" s="423"/>
      <c r="B43" s="375" t="s">
        <v>1705</v>
      </c>
      <c r="C43" s="1905" t="s">
        <v>3387</v>
      </c>
      <c r="D43" s="386">
        <v>100</v>
      </c>
      <c r="E43" s="1905" t="s">
        <v>3387</v>
      </c>
      <c r="F43" s="412">
        <f>SUMIF(124:124,E43,125:125)-SUMIF(124:124,C43,125:125)+100</f>
        <v>100</v>
      </c>
      <c r="G43" s="1905" t="s">
        <v>3387</v>
      </c>
      <c r="H43" s="386">
        <f>SUMIF(124:124,G43,125:125)-SUMIF(124:124,C43,125:125)+100</f>
        <v>100</v>
      </c>
      <c r="I43" s="1905" t="s">
        <v>3387</v>
      </c>
      <c r="J43" s="386">
        <f>SUMIF(124:124,I43,125:125)-SUMIF(124:124,C43,125:125)+100</f>
        <v>100</v>
      </c>
      <c r="K43" s="561">
        <v>2</v>
      </c>
      <c r="L43" s="2716"/>
      <c r="M43" s="2710"/>
      <c r="N43" s="2710"/>
      <c r="O43" s="2710"/>
      <c r="P43" s="3733"/>
      <c r="Q43" s="1351" t="str">
        <f t="shared" si="11"/>
        <v>内部装修维护情况</v>
      </c>
      <c r="R43" s="704" t="s">
        <v>14</v>
      </c>
      <c r="S43" s="705">
        <f t="shared" si="12"/>
        <v>100</v>
      </c>
      <c r="T43" s="704" t="s">
        <v>14</v>
      </c>
      <c r="U43" s="705">
        <f t="shared" si="13"/>
        <v>100</v>
      </c>
      <c r="V43" s="704" t="s">
        <v>14</v>
      </c>
      <c r="W43" s="705">
        <f t="shared" si="14"/>
        <v>100</v>
      </c>
      <c r="X43" s="1354"/>
      <c r="Y43" s="3735"/>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33"/>
      <c r="Q44" s="1342">
        <f t="shared" si="11"/>
        <v>111</v>
      </c>
      <c r="R44" s="700" t="s">
        <v>14</v>
      </c>
      <c r="S44" s="701">
        <f t="shared" si="12"/>
        <v>100</v>
      </c>
      <c r="T44" s="700" t="s">
        <v>14</v>
      </c>
      <c r="U44" s="701">
        <f t="shared" si="13"/>
        <v>100</v>
      </c>
      <c r="V44" s="700" t="s">
        <v>14</v>
      </c>
      <c r="W44" s="701">
        <f t="shared" si="14"/>
        <v>100</v>
      </c>
      <c r="X44" s="702"/>
      <c r="Y44" s="3735"/>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33"/>
      <c r="Q45" s="1351">
        <f t="shared" si="11"/>
        <v>111</v>
      </c>
      <c r="R45" s="704" t="s">
        <v>14</v>
      </c>
      <c r="S45" s="705">
        <f t="shared" si="12"/>
        <v>100</v>
      </c>
      <c r="T45" s="704" t="s">
        <v>14</v>
      </c>
      <c r="U45" s="705">
        <f t="shared" si="13"/>
        <v>100</v>
      </c>
      <c r="V45" s="704" t="s">
        <v>14</v>
      </c>
      <c r="W45" s="705">
        <f t="shared" si="14"/>
        <v>100</v>
      </c>
      <c r="X45" s="1354"/>
      <c r="Y45" s="3735"/>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34"/>
      <c r="Q46" s="1351">
        <f t="shared" si="11"/>
        <v>111</v>
      </c>
      <c r="R46" s="704" t="s">
        <v>14</v>
      </c>
      <c r="S46" s="705">
        <f t="shared" si="12"/>
        <v>100</v>
      </c>
      <c r="T46" s="704" t="s">
        <v>14</v>
      </c>
      <c r="U46" s="705">
        <f t="shared" si="13"/>
        <v>100</v>
      </c>
      <c r="V46" s="704" t="s">
        <v>14</v>
      </c>
      <c r="W46" s="705">
        <f t="shared" si="14"/>
        <v>100</v>
      </c>
      <c r="X46" s="1354"/>
      <c r="Y46" s="3736"/>
      <c r="Z46" s="1355">
        <f t="shared" si="15"/>
        <v>111</v>
      </c>
      <c r="AA46" s="1352">
        <f t="shared" si="3"/>
        <v>1</v>
      </c>
      <c r="AB46" s="1352">
        <f t="shared" si="4"/>
        <v>1</v>
      </c>
      <c r="AC46" s="1352">
        <f t="shared" si="5"/>
        <v>1</v>
      </c>
    </row>
    <row r="47" spans="1:29" ht="15">
      <c r="A47" s="430" t="s">
        <v>1706</v>
      </c>
      <c r="B47" s="431"/>
      <c r="C47" s="1153" t="s">
        <v>0</v>
      </c>
      <c r="D47" s="1154"/>
      <c r="E47" s="1155"/>
      <c r="F47" s="1156"/>
      <c r="G47" s="1157"/>
      <c r="H47" s="1158"/>
      <c r="I47" s="1155"/>
      <c r="J47" s="1158"/>
      <c r="K47" s="713"/>
      <c r="L47" s="2718"/>
      <c r="M47" s="2719"/>
      <c r="N47" s="2710"/>
      <c r="O47" s="2719"/>
      <c r="P47" s="3728" t="str">
        <f>A47</f>
        <v>成交单价（元/平方米）</v>
      </c>
      <c r="Q47" s="3728"/>
      <c r="R47" s="3723">
        <f>E47</f>
        <v>0</v>
      </c>
      <c r="S47" s="3723"/>
      <c r="T47" s="3723">
        <f>G47</f>
        <v>0</v>
      </c>
      <c r="U47" s="3723"/>
      <c r="V47" s="3723">
        <f>I47</f>
        <v>0</v>
      </c>
      <c r="W47" s="3723"/>
      <c r="X47" s="689"/>
      <c r="Y47" s="711"/>
      <c r="Z47" s="689"/>
      <c r="AA47" s="689"/>
      <c r="AB47" s="689"/>
      <c r="AC47" s="689"/>
    </row>
    <row r="48" spans="1:29" ht="15.75" thickBot="1">
      <c r="A48" s="437" t="s">
        <v>1791</v>
      </c>
      <c r="B48" s="438"/>
      <c r="C48" s="1159" t="e">
        <f>R49</f>
        <v>#DIV/0!</v>
      </c>
      <c r="D48" s="2314" t="s">
        <v>2136</v>
      </c>
      <c r="E48" s="1160" t="e">
        <f>R48</f>
        <v>#DIV/0!</v>
      </c>
      <c r="F48" s="2315"/>
      <c r="G48" s="1159" t="e">
        <f>T48</f>
        <v>#DIV/0!</v>
      </c>
      <c r="H48" s="2315"/>
      <c r="I48" s="1160" t="e">
        <f>V48</f>
        <v>#DIV/0!</v>
      </c>
      <c r="J48" s="2315"/>
      <c r="K48" s="2317">
        <f>F48+H48+J48</f>
        <v>0</v>
      </c>
      <c r="L48" s="2718"/>
      <c r="M48" s="2719"/>
      <c r="N48" s="2710"/>
      <c r="O48" s="2719"/>
      <c r="P48" s="3728" t="str">
        <f>A48</f>
        <v>比较价值（元/平方米）</v>
      </c>
      <c r="Q48" s="3728"/>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89"/>
      <c r="Y48" s="689"/>
      <c r="Z48" s="689"/>
      <c r="AA48" s="689"/>
      <c r="AB48" s="689"/>
      <c r="AC48" s="689"/>
    </row>
    <row r="49" spans="1:29" ht="15.75" thickBot="1">
      <c r="A49" s="441" t="s">
        <v>1792</v>
      </c>
      <c r="B49" s="442"/>
      <c r="C49" s="1162" t="e">
        <f>R49</f>
        <v>#DIV/0!</v>
      </c>
      <c r="D49" s="1162"/>
      <c r="E49" s="1162"/>
      <c r="F49" s="1162"/>
      <c r="G49" s="1162"/>
      <c r="H49" s="1162"/>
      <c r="I49" s="1162"/>
      <c r="J49" s="1162"/>
      <c r="K49" s="714"/>
      <c r="L49" s="2718"/>
      <c r="M49" s="2719"/>
      <c r="N49" s="2710"/>
      <c r="O49" s="2719"/>
      <c r="P49" s="3725" t="str">
        <f>A49</f>
        <v>估价对象XX用房的比较价值（楼面单价，元/平方米）</v>
      </c>
      <c r="Q49" s="3726"/>
      <c r="R49" s="3727" t="e">
        <f>IF(F1="售价",ROUND(IF(D48="简单平均",AVERAGE(R48:V48),R48*F48+T48*H48+V48*J48),0),ROUND(IF(D48="简单平均",AVERAGE(R48:V48),R48*F48+T48*H48+V48*J48),1))</f>
        <v>#DIV/0!</v>
      </c>
      <c r="S49" s="3727"/>
      <c r="T49" s="3727"/>
      <c r="U49" s="3727"/>
      <c r="V49" s="3727"/>
      <c r="W49" s="3727"/>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3" t="s">
        <v>1796</v>
      </c>
      <c r="B57" s="689"/>
      <c r="C57" s="694"/>
      <c r="D57" s="694"/>
      <c r="E57" s="694"/>
      <c r="F57" s="695"/>
      <c r="G57" s="695"/>
      <c r="H57" s="694"/>
      <c r="I57" s="694"/>
      <c r="J57" s="694"/>
      <c r="K57" s="696"/>
      <c r="L57" s="941"/>
      <c r="M57" s="939"/>
      <c r="N57" s="939"/>
      <c r="O57" s="939"/>
      <c r="P57" s="2732"/>
      <c r="Q57" s="2733"/>
      <c r="R57" s="2719"/>
      <c r="S57" s="2719"/>
      <c r="T57" s="2719"/>
      <c r="U57" s="2719"/>
      <c r="V57" s="2719"/>
      <c r="W57" s="2719"/>
      <c r="X57" s="2719"/>
      <c r="Y57" s="2719"/>
      <c r="Z57" s="2719"/>
      <c r="AA57" s="2719"/>
      <c r="AB57" s="2719"/>
      <c r="AC57" s="2719"/>
    </row>
    <row r="58" spans="1:29" s="457" customFormat="1" ht="15">
      <c r="A58" s="454" t="s">
        <v>1677</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4"/>
      <c r="Q58" s="2735"/>
      <c r="R58" s="2735"/>
      <c r="S58" s="2735"/>
      <c r="T58" s="2735"/>
      <c r="U58" s="2735"/>
      <c r="V58" s="2735"/>
      <c r="W58" s="2735"/>
      <c r="X58" s="2735"/>
      <c r="Y58" s="2735"/>
      <c r="Z58" s="2735"/>
      <c r="AA58" s="2735"/>
      <c r="AB58" s="2735"/>
      <c r="AC58" s="2735"/>
    </row>
    <row r="59" spans="1:29" s="108" customFormat="1" ht="15">
      <c r="A59" s="458"/>
      <c r="B59" s="459"/>
      <c r="C59" s="1182">
        <v>100</v>
      </c>
      <c r="D59" s="1182">
        <v>100</v>
      </c>
      <c r="E59" s="1182">
        <v>100</v>
      </c>
      <c r="F59" s="1182">
        <v>100</v>
      </c>
      <c r="G59" s="1182">
        <v>100</v>
      </c>
      <c r="H59" s="1182">
        <v>100</v>
      </c>
      <c r="I59" s="1182">
        <v>100</v>
      </c>
      <c r="J59" s="1182">
        <v>100</v>
      </c>
      <c r="K59" s="1182">
        <v>100</v>
      </c>
      <c r="L59" s="1182">
        <v>100</v>
      </c>
      <c r="M59" s="1182">
        <v>100</v>
      </c>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1679</v>
      </c>
      <c r="B61" s="459"/>
      <c r="C61" s="471" t="s">
        <v>1774</v>
      </c>
      <c r="D61" s="3448" t="s">
        <v>3449</v>
      </c>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v>102</v>
      </c>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1717</v>
      </c>
      <c r="B63" s="477" t="s">
        <v>1683</v>
      </c>
      <c r="C63" s="478" t="str">
        <f>C9</f>
        <v>商业</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1686</v>
      </c>
      <c r="C65" s="532" t="s">
        <v>3450</v>
      </c>
      <c r="D65" s="532" t="s">
        <v>3451</v>
      </c>
      <c r="E65" s="3449" t="s">
        <v>3452</v>
      </c>
      <c r="F65" s="532" t="s">
        <v>3453</v>
      </c>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v>100</v>
      </c>
      <c r="D66" s="485">
        <f t="shared" ref="D66:F66" si="17">C66-2</f>
        <v>98</v>
      </c>
      <c r="E66" s="485">
        <f t="shared" si="17"/>
        <v>96</v>
      </c>
      <c r="F66" s="485">
        <f t="shared" si="17"/>
        <v>94</v>
      </c>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1687</v>
      </c>
      <c r="C67" s="496" t="str">
        <f>C68&amp;"（含）"&amp;"-"&amp;D68</f>
        <v>0（含）-0.5</v>
      </c>
      <c r="D67" s="496" t="str">
        <f t="shared" ref="D67:L67" si="18">D68&amp;"（含）"&amp;"-"&amp;E68</f>
        <v>0.5（含）-1</v>
      </c>
      <c r="E67" s="496" t="str">
        <f t="shared" si="18"/>
        <v>1（含）-1.5</v>
      </c>
      <c r="F67" s="496" t="str">
        <f t="shared" si="18"/>
        <v>1.5（含）-2</v>
      </c>
      <c r="G67" s="496" t="str">
        <f t="shared" si="18"/>
        <v>2（含）-2.5</v>
      </c>
      <c r="H67" s="496" t="str">
        <f t="shared" si="18"/>
        <v>2.5（含）-3</v>
      </c>
      <c r="I67" s="496" t="str">
        <f t="shared" si="18"/>
        <v>3（含）-3.5</v>
      </c>
      <c r="J67" s="496" t="str">
        <f t="shared" si="18"/>
        <v>3.5（含）-</v>
      </c>
      <c r="K67" s="496" t="str">
        <f t="shared" si="18"/>
        <v>（含）-</v>
      </c>
      <c r="L67" s="496" t="str">
        <f t="shared" si="18"/>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v>0</v>
      </c>
      <c r="D68" s="498">
        <v>0.5</v>
      </c>
      <c r="E68" s="498">
        <v>1</v>
      </c>
      <c r="F68" s="498">
        <v>1.5</v>
      </c>
      <c r="G68" s="498">
        <v>2</v>
      </c>
      <c r="H68" s="498">
        <v>2.5</v>
      </c>
      <c r="I68" s="498">
        <v>3</v>
      </c>
      <c r="J68" s="498">
        <v>3.5</v>
      </c>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1688</v>
      </c>
      <c r="B76" s="477" t="s">
        <v>1718</v>
      </c>
      <c r="C76" s="522" t="s">
        <v>1719</v>
      </c>
      <c r="D76" s="522" t="s">
        <v>1720</v>
      </c>
      <c r="E76" s="522" t="s">
        <v>1721</v>
      </c>
      <c r="F76" s="522" t="s">
        <v>1722</v>
      </c>
      <c r="G76" s="522" t="s">
        <v>1723</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98</v>
      </c>
      <c r="E77" s="493">
        <f>D77-$K15</f>
        <v>96</v>
      </c>
      <c r="F77" s="493">
        <f>E77-$K15</f>
        <v>94</v>
      </c>
      <c r="G77" s="493">
        <f>F77-$K15</f>
        <v>92</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1724</v>
      </c>
      <c r="C78" s="527" t="s">
        <v>1719</v>
      </c>
      <c r="D78" s="527" t="s">
        <v>1720</v>
      </c>
      <c r="E78" s="527" t="s">
        <v>1721</v>
      </c>
      <c r="F78" s="527" t="s">
        <v>1722</v>
      </c>
      <c r="G78" s="527" t="s">
        <v>1723</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98</v>
      </c>
      <c r="E79" s="493">
        <f>D79-$K17</f>
        <v>96</v>
      </c>
      <c r="F79" s="493">
        <f>E79-$K17</f>
        <v>94</v>
      </c>
      <c r="G79" s="493">
        <f>F79-$K17</f>
        <v>92</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1725</v>
      </c>
      <c r="C80" s="527" t="s">
        <v>1719</v>
      </c>
      <c r="D80" s="527" t="s">
        <v>1720</v>
      </c>
      <c r="E80" s="527" t="s">
        <v>1721</v>
      </c>
      <c r="F80" s="527" t="s">
        <v>1722</v>
      </c>
      <c r="G80" s="527" t="s">
        <v>1723</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98</v>
      </c>
      <c r="E81" s="493">
        <f>D81-$K19</f>
        <v>96</v>
      </c>
      <c r="F81" s="493">
        <f>E81-$K19</f>
        <v>94</v>
      </c>
      <c r="G81" s="493">
        <f>F81-$K19</f>
        <v>92</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1777</v>
      </c>
      <c r="C82" s="607" t="s">
        <v>1797</v>
      </c>
      <c r="D82" s="607" t="s">
        <v>1798</v>
      </c>
      <c r="E82" s="607" t="s">
        <v>1799</v>
      </c>
      <c r="F82" s="607" t="s">
        <v>1800</v>
      </c>
      <c r="G82" s="607" t="s">
        <v>1801</v>
      </c>
      <c r="H82" s="488"/>
      <c r="I82" s="488"/>
      <c r="J82" s="488"/>
      <c r="K82" s="488"/>
      <c r="L82" s="488"/>
      <c r="M82" s="1128"/>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1731</v>
      </c>
      <c r="C84" s="527" t="s">
        <v>1719</v>
      </c>
      <c r="D84" s="527" t="s">
        <v>1720</v>
      </c>
      <c r="E84" s="527" t="s">
        <v>1721</v>
      </c>
      <c r="F84" s="527" t="s">
        <v>1722</v>
      </c>
      <c r="G84" s="527" t="s">
        <v>1723</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98</v>
      </c>
      <c r="E85" s="493">
        <f>D85-$K23</f>
        <v>96</v>
      </c>
      <c r="F85" s="493">
        <f>E85-$K23</f>
        <v>94</v>
      </c>
      <c r="G85" s="493">
        <f>F85-$K23</f>
        <v>92</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1802</v>
      </c>
      <c r="C86" s="3446" t="s">
        <v>3454</v>
      </c>
      <c r="D86" s="3446" t="s">
        <v>3455</v>
      </c>
      <c r="E86" s="3446" t="s">
        <v>3456</v>
      </c>
      <c r="F86" s="3446" t="s">
        <v>3457</v>
      </c>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1">C87-$K25</f>
        <v>98</v>
      </c>
      <c r="E87" s="493">
        <f t="shared" si="21"/>
        <v>96</v>
      </c>
      <c r="F87" s="493">
        <f t="shared" si="21"/>
        <v>94</v>
      </c>
      <c r="G87" s="493">
        <f t="shared" si="21"/>
        <v>92</v>
      </c>
      <c r="H87" s="493">
        <f t="shared" si="21"/>
        <v>90</v>
      </c>
      <c r="I87" s="493">
        <f t="shared" si="21"/>
        <v>88</v>
      </c>
      <c r="J87" s="493">
        <f t="shared" si="21"/>
        <v>86</v>
      </c>
      <c r="K87" s="493">
        <f t="shared" si="21"/>
        <v>84</v>
      </c>
      <c r="L87" s="493">
        <f t="shared" si="21"/>
        <v>82</v>
      </c>
      <c r="M87" s="493">
        <f t="shared" si="21"/>
        <v>80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3446" t="s">
        <v>3458</v>
      </c>
      <c r="D88" s="3446" t="s">
        <v>3459</v>
      </c>
      <c r="E88" s="3446" t="s">
        <v>3460</v>
      </c>
      <c r="F88" s="3450" t="s">
        <v>3461</v>
      </c>
      <c r="G88" s="3446" t="s">
        <v>3462</v>
      </c>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3446" t="s">
        <v>3463</v>
      </c>
      <c r="D90" s="3446" t="s">
        <v>3464</v>
      </c>
      <c r="E90" s="3446" t="s">
        <v>3460</v>
      </c>
      <c r="F90" s="3446" t="s">
        <v>3465</v>
      </c>
      <c r="G90" s="3446" t="s">
        <v>3466</v>
      </c>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t="s">
        <v>3467</v>
      </c>
      <c r="D92" s="503" t="s">
        <v>3468</v>
      </c>
      <c r="E92" s="503" t="s">
        <v>3469</v>
      </c>
      <c r="F92" s="503" t="s">
        <v>3470</v>
      </c>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v>100</v>
      </c>
      <c r="D93" s="485">
        <v>85</v>
      </c>
      <c r="E93" s="485">
        <v>70</v>
      </c>
      <c r="F93" s="485">
        <v>60</v>
      </c>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5"/>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1692</v>
      </c>
      <c r="B100" s="477" t="s">
        <v>1803</v>
      </c>
      <c r="C100" s="3451" t="s">
        <v>3471</v>
      </c>
      <c r="D100" s="3451" t="s">
        <v>3472</v>
      </c>
      <c r="E100" s="3451" t="s">
        <v>3473</v>
      </c>
      <c r="F100" s="3451" t="s">
        <v>3474</v>
      </c>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1735</v>
      </c>
      <c r="C102" s="527" t="str">
        <f>C103&amp;"(含)"&amp;"-"&amp;D103</f>
        <v>0(含)-20</v>
      </c>
      <c r="D102" s="527" t="str">
        <f t="shared" ref="D102:L102" si="24">D103&amp;"(含)"&amp;"-"&amp;E103</f>
        <v>20(含)-50</v>
      </c>
      <c r="E102" s="527" t="str">
        <f t="shared" si="24"/>
        <v>50(含)-100</v>
      </c>
      <c r="F102" s="527" t="str">
        <f t="shared" si="24"/>
        <v>100(含)-500</v>
      </c>
      <c r="G102" s="527" t="str">
        <f t="shared" si="24"/>
        <v>500(含)-10000</v>
      </c>
      <c r="H102" s="527" t="str">
        <f t="shared" si="24"/>
        <v>10000(含)-</v>
      </c>
      <c r="I102" s="527" t="str">
        <f t="shared" si="24"/>
        <v>(含)-</v>
      </c>
      <c r="J102" s="527" t="str">
        <f t="shared" si="24"/>
        <v>(含)-</v>
      </c>
      <c r="K102" s="527" t="str">
        <f t="shared" si="24"/>
        <v>(含)-</v>
      </c>
      <c r="L102" s="527" t="str">
        <f t="shared" si="24"/>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v>0</v>
      </c>
      <c r="D103" s="544">
        <v>20</v>
      </c>
      <c r="E103" s="544">
        <v>50</v>
      </c>
      <c r="F103" s="544">
        <v>100</v>
      </c>
      <c r="G103" s="544">
        <v>500</v>
      </c>
      <c r="H103" s="544">
        <v>10000</v>
      </c>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1736</v>
      </c>
      <c r="C105" s="3446" t="s">
        <v>3431</v>
      </c>
      <c r="D105" s="3446" t="s">
        <v>3475</v>
      </c>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1738</v>
      </c>
      <c r="C107" s="3446" t="s">
        <v>3432</v>
      </c>
      <c r="D107" s="3446" t="s">
        <v>3433</v>
      </c>
      <c r="E107" s="3446" t="s">
        <v>3434</v>
      </c>
      <c r="F107" s="3447" t="s">
        <v>3435</v>
      </c>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1740</v>
      </c>
      <c r="C112" s="503" t="str">
        <f>C82</f>
        <v>七通</v>
      </c>
      <c r="D112" s="503" t="str">
        <f>D82</f>
        <v>六通</v>
      </c>
      <c r="E112" s="503" t="str">
        <f>E82</f>
        <v>五通</v>
      </c>
      <c r="F112" s="503" t="str">
        <f>F82</f>
        <v>四通</v>
      </c>
      <c r="G112" s="503" t="str">
        <f>G82</f>
        <v>三通</v>
      </c>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1804</v>
      </c>
      <c r="C114" s="3446" t="s">
        <v>3476</v>
      </c>
      <c r="D114" s="3446" t="s">
        <v>3477</v>
      </c>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1805</v>
      </c>
      <c r="C116" s="3446" t="s">
        <v>3478</v>
      </c>
      <c r="D116" s="3446" t="s">
        <v>3479</v>
      </c>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1806</v>
      </c>
      <c r="C118" s="574"/>
      <c r="D118" s="574"/>
      <c r="E118" s="574"/>
      <c r="F118" s="574"/>
      <c r="G118" s="574"/>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1807</v>
      </c>
      <c r="C120" s="3447" t="s">
        <v>3480</v>
      </c>
      <c r="D120" s="3447" t="s">
        <v>3481</v>
      </c>
      <c r="E120" s="3447" t="s">
        <v>3460</v>
      </c>
      <c r="F120" s="3447" t="s">
        <v>3482</v>
      </c>
      <c r="G120" s="3452" t="s">
        <v>3483</v>
      </c>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1742</v>
      </c>
      <c r="C122" s="3446" t="s">
        <v>3432</v>
      </c>
      <c r="D122" s="3446" t="s">
        <v>3433</v>
      </c>
      <c r="E122" s="3446" t="s">
        <v>3434</v>
      </c>
      <c r="F122" s="3447" t="s">
        <v>3435</v>
      </c>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5"/>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51" zoomScale="80" zoomScaleNormal="70" zoomScaleSheetLayoutView="80" workbookViewId="0">
      <selection activeCell="L38" sqref="L3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4" t="s">
        <v>1808</v>
      </c>
      <c r="C1" s="1223" t="s">
        <v>1660</v>
      </c>
      <c r="D1" s="1224" t="s">
        <v>3499</v>
      </c>
      <c r="E1" s="3427" t="s">
        <v>3512</v>
      </c>
      <c r="F1" s="1878" t="s">
        <v>3513</v>
      </c>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f>IF(E1="项目模式",IF(C2="——",ROUND(C50*D3/10000,0),ROUND(C50*D3/10000,0)-D2),IF(E1="单套模式",IF(C2="——",ROUND(C50*D3/10000,4),ROUND(C50*D3/10000,4)-D2)))</f>
        <v>4.3400000000000001E-2</v>
      </c>
      <c r="C2" s="1880" t="s">
        <v>43</v>
      </c>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3.6</v>
      </c>
      <c r="C3" s="354" t="s">
        <v>1766</v>
      </c>
      <c r="D3" s="353">
        <f>IF(D1="",'数据-汇总表'!E3,SUMIF('数据-汇总表'!$C19:$C33,D1,'数据-汇总表'!$E19:$E33))</f>
        <v>120.57</v>
      </c>
      <c r="E3" s="1951"/>
      <c r="F3" s="908"/>
      <c r="G3" s="907"/>
      <c r="H3" s="907"/>
      <c r="I3" s="907"/>
      <c r="J3" s="907"/>
      <c r="K3" s="909"/>
      <c r="L3" s="2728"/>
      <c r="M3" s="2729"/>
      <c r="N3" s="2729"/>
      <c r="O3" s="2729"/>
      <c r="P3" s="698"/>
      <c r="Q3" s="698"/>
      <c r="R3" s="698"/>
      <c r="S3" s="698"/>
      <c r="T3" s="698"/>
      <c r="U3" s="698"/>
      <c r="V3" s="698"/>
      <c r="W3" s="698"/>
      <c r="X3" s="698"/>
      <c r="Y3" s="698"/>
      <c r="Z3" s="698"/>
      <c r="AA3" s="698"/>
      <c r="AB3" s="698"/>
      <c r="AC3" s="699"/>
    </row>
    <row r="4" spans="1:29" ht="15">
      <c r="A4" s="355" t="s">
        <v>1767</v>
      </c>
      <c r="B4" s="356"/>
      <c r="C4" s="3711" t="s">
        <v>1768</v>
      </c>
      <c r="D4" s="3712"/>
      <c r="E4" s="3713" t="s">
        <v>1769</v>
      </c>
      <c r="F4" s="3714"/>
      <c r="G4" s="3711" t="s">
        <v>1770</v>
      </c>
      <c r="H4" s="3712"/>
      <c r="I4" s="3711" t="s">
        <v>1771</v>
      </c>
      <c r="J4" s="3712"/>
      <c r="K4" s="559" t="s">
        <v>1772</v>
      </c>
      <c r="L4" s="2709"/>
      <c r="M4" s="2710"/>
      <c r="N4" s="2710"/>
      <c r="O4" s="2710"/>
      <c r="P4" s="3746" t="s">
        <v>1773</v>
      </c>
      <c r="Q4" s="3747"/>
      <c r="R4" s="3740" t="s">
        <v>1769</v>
      </c>
      <c r="S4" s="3741"/>
      <c r="T4" s="3740" t="s">
        <v>1770</v>
      </c>
      <c r="U4" s="3741"/>
      <c r="V4" s="3750" t="s">
        <v>1771</v>
      </c>
      <c r="W4" s="3750"/>
      <c r="X4" s="1955"/>
      <c r="Y4" s="3740" t="s">
        <v>1773</v>
      </c>
      <c r="Z4" s="3741"/>
      <c r="AA4" s="3739" t="s">
        <v>1769</v>
      </c>
      <c r="AB4" s="3739" t="s">
        <v>1770</v>
      </c>
      <c r="AC4" s="3743" t="s">
        <v>1771</v>
      </c>
    </row>
    <row r="5" spans="1:29" ht="15">
      <c r="A5" s="358"/>
      <c r="B5" s="359"/>
      <c r="C5" s="3742" t="s">
        <v>3514</v>
      </c>
      <c r="D5" s="3705"/>
      <c r="E5" s="3702" t="str">
        <f>C5</f>
        <v>日坛国际贸易中心</v>
      </c>
      <c r="F5" s="3703"/>
      <c r="G5" s="3742" t="s">
        <v>3515</v>
      </c>
      <c r="H5" s="3705"/>
      <c r="I5" s="3742" t="s">
        <v>3516</v>
      </c>
      <c r="J5" s="3705"/>
      <c r="K5" s="559"/>
      <c r="L5" s="2709"/>
      <c r="M5" s="2710"/>
      <c r="N5" s="2710"/>
      <c r="O5" s="2710"/>
      <c r="P5" s="3748"/>
      <c r="Q5" s="3718"/>
      <c r="R5" s="3700"/>
      <c r="S5" s="3701"/>
      <c r="T5" s="3700"/>
      <c r="U5" s="3701"/>
      <c r="V5" s="3723"/>
      <c r="W5" s="3723"/>
      <c r="X5" s="1354"/>
      <c r="Y5" s="3700"/>
      <c r="Z5" s="3701"/>
      <c r="AA5" s="3694"/>
      <c r="AB5" s="3694"/>
      <c r="AC5" s="3744"/>
    </row>
    <row r="6" spans="1:29" ht="15.75" thickBot="1">
      <c r="A6" s="360"/>
      <c r="B6" s="361"/>
      <c r="C6" s="3706" t="s">
        <v>1675</v>
      </c>
      <c r="D6" s="3707"/>
      <c r="E6" s="3708" t="s">
        <v>1675</v>
      </c>
      <c r="F6" s="3709"/>
      <c r="G6" s="3706" t="s">
        <v>1675</v>
      </c>
      <c r="H6" s="3707"/>
      <c r="I6" s="3706" t="s">
        <v>1675</v>
      </c>
      <c r="J6" s="3707"/>
      <c r="K6" s="559" t="s">
        <v>1676</v>
      </c>
      <c r="L6" s="2709"/>
      <c r="M6" s="2710"/>
      <c r="N6" s="2710"/>
      <c r="O6" s="2710"/>
      <c r="P6" s="3749"/>
      <c r="Q6" s="3720"/>
      <c r="R6" s="3700"/>
      <c r="S6" s="3701"/>
      <c r="T6" s="3721"/>
      <c r="U6" s="3722"/>
      <c r="V6" s="3723"/>
      <c r="W6" s="3723"/>
      <c r="X6" s="1354"/>
      <c r="Y6" s="3721"/>
      <c r="Z6" s="3722"/>
      <c r="AA6" s="3695"/>
      <c r="AB6" s="3695"/>
      <c r="AC6" s="3745"/>
    </row>
    <row r="7" spans="1:29" s="108" customFormat="1" ht="15.75" thickBot="1">
      <c r="A7" s="362" t="s">
        <v>1677</v>
      </c>
      <c r="B7" s="363"/>
      <c r="C7" s="364">
        <f>'数据-取费表'!B2</f>
        <v>45135</v>
      </c>
      <c r="D7" s="365">
        <v>100</v>
      </c>
      <c r="E7" s="366">
        <f>C7</f>
        <v>45135</v>
      </c>
      <c r="F7" s="367">
        <f>SUMIF(59:59,YEAR(E7)&amp;"-"&amp;MONTH(E7),60:60)</f>
        <v>100</v>
      </c>
      <c r="G7" s="366">
        <f>E7</f>
        <v>45135</v>
      </c>
      <c r="H7" s="365">
        <f>SUMIF(59:59,YEAR(G7)&amp;"-"&amp;MONTH(G7),60:60)</f>
        <v>100</v>
      </c>
      <c r="I7" s="366">
        <f>G7</f>
        <v>45135</v>
      </c>
      <c r="J7" s="365">
        <f>SUMIF(59:59,YEAR(I7)&amp;"-"&amp;MONTH(I7),60:60)</f>
        <v>100</v>
      </c>
      <c r="K7" s="560"/>
      <c r="L7" s="2711"/>
      <c r="M7" s="2712"/>
      <c r="N7" s="2712"/>
      <c r="O7" s="2712"/>
      <c r="P7" s="3751" t="s">
        <v>1678</v>
      </c>
      <c r="Q7" s="3724"/>
      <c r="R7" s="700" t="s">
        <v>14</v>
      </c>
      <c r="S7" s="701">
        <f t="shared" ref="S7:S15" si="0">F7</f>
        <v>100</v>
      </c>
      <c r="T7" s="700" t="s">
        <v>14</v>
      </c>
      <c r="U7" s="701">
        <f t="shared" ref="U7:U15" si="1">H7</f>
        <v>100</v>
      </c>
      <c r="V7" s="700" t="s">
        <v>14</v>
      </c>
      <c r="W7" s="701">
        <f t="shared" ref="W7:W15" si="2">J7</f>
        <v>100</v>
      </c>
      <c r="X7" s="702"/>
      <c r="Y7" s="3696" t="s">
        <v>1678</v>
      </c>
      <c r="Z7" s="3697"/>
      <c r="AA7" s="703">
        <f>D7/F7</f>
        <v>1</v>
      </c>
      <c r="AB7" s="703">
        <f>D7/H7</f>
        <v>1</v>
      </c>
      <c r="AC7" s="1956">
        <f>D7/J7</f>
        <v>1</v>
      </c>
    </row>
    <row r="8" spans="1:29" s="108" customFormat="1" ht="15.75" thickBot="1">
      <c r="A8" s="362" t="s">
        <v>1679</v>
      </c>
      <c r="B8" s="363"/>
      <c r="C8" s="368" t="s">
        <v>3391</v>
      </c>
      <c r="D8" s="365">
        <v>100</v>
      </c>
      <c r="E8" s="368" t="s">
        <v>3403</v>
      </c>
      <c r="F8" s="367">
        <f>SUMIF(62:62,E8,63:63)-SUMIF(62:62,C8,63:63)+100</f>
        <v>102</v>
      </c>
      <c r="G8" s="368" t="s">
        <v>3403</v>
      </c>
      <c r="H8" s="365">
        <f>SUMIF(62:62,G8,63:63)-SUMIF(62:62,C8,63:63)+100</f>
        <v>102</v>
      </c>
      <c r="I8" s="368" t="s">
        <v>3403</v>
      </c>
      <c r="J8" s="365">
        <f>SUMIF(62:62,I8,63:63)-SUMIF(62:62,C8,63:63)+100</f>
        <v>102</v>
      </c>
      <c r="K8" s="560"/>
      <c r="L8" s="2711"/>
      <c r="M8" s="2712"/>
      <c r="N8" s="2712"/>
      <c r="O8" s="2712"/>
      <c r="P8" s="3751" t="s">
        <v>1681</v>
      </c>
      <c r="Q8" s="3697"/>
      <c r="R8" s="700" t="s">
        <v>14</v>
      </c>
      <c r="S8" s="701">
        <f t="shared" si="0"/>
        <v>102</v>
      </c>
      <c r="T8" s="700" t="s">
        <v>14</v>
      </c>
      <c r="U8" s="701">
        <f t="shared" si="1"/>
        <v>102</v>
      </c>
      <c r="V8" s="700" t="s">
        <v>14</v>
      </c>
      <c r="W8" s="701">
        <f t="shared" si="2"/>
        <v>102</v>
      </c>
      <c r="X8" s="702"/>
      <c r="Y8" s="3696" t="s">
        <v>1681</v>
      </c>
      <c r="Z8" s="3697"/>
      <c r="AA8" s="703">
        <f t="shared" ref="AA8:AA47" si="3">D8/F8</f>
        <v>0.98039215686274506</v>
      </c>
      <c r="AB8" s="703">
        <f t="shared" ref="AB8:AB47" si="4">D8/H8</f>
        <v>0.98039215686274506</v>
      </c>
      <c r="AC8" s="1956">
        <f t="shared" ref="AC8:AC47" si="5">D8/J8</f>
        <v>0.98039215686274506</v>
      </c>
    </row>
    <row r="9" spans="1:29" s="108" customFormat="1">
      <c r="A9" s="369" t="s">
        <v>1682</v>
      </c>
      <c r="B9" s="63" t="s">
        <v>1683</v>
      </c>
      <c r="C9" s="3453" t="s">
        <v>3518</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710" t="s">
        <v>1684</v>
      </c>
      <c r="Q9" s="1342" t="str">
        <f t="shared" ref="Q9:Q15" si="6">B9</f>
        <v>用途</v>
      </c>
      <c r="R9" s="700" t="s">
        <v>14</v>
      </c>
      <c r="S9" s="701">
        <f t="shared" si="0"/>
        <v>100</v>
      </c>
      <c r="T9" s="700" t="s">
        <v>14</v>
      </c>
      <c r="U9" s="701">
        <f t="shared" si="1"/>
        <v>100</v>
      </c>
      <c r="V9" s="700" t="s">
        <v>14</v>
      </c>
      <c r="W9" s="701">
        <f t="shared" si="2"/>
        <v>100</v>
      </c>
      <c r="X9" s="702"/>
      <c r="Y9" s="3621" t="s">
        <v>1685</v>
      </c>
      <c r="Z9" s="52" t="str">
        <f t="shared" ref="Z9:Z15" si="7">Q9</f>
        <v>用途</v>
      </c>
      <c r="AA9" s="703">
        <f t="shared" si="3"/>
        <v>1</v>
      </c>
      <c r="AB9" s="703">
        <f t="shared" si="4"/>
        <v>1</v>
      </c>
      <c r="AC9" s="1956">
        <f t="shared" si="5"/>
        <v>1</v>
      </c>
    </row>
    <row r="10" spans="1:29" s="378" customFormat="1" ht="27">
      <c r="A10" s="374"/>
      <c r="B10" s="375" t="s">
        <v>1686</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710"/>
      <c r="Q10" s="1342"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1956">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10"/>
      <c r="Q11" s="1342" t="str">
        <f t="shared" si="6"/>
        <v>容积率</v>
      </c>
      <c r="R11" s="700" t="s">
        <v>14</v>
      </c>
      <c r="S11" s="701">
        <f t="shared" si="0"/>
        <v>100</v>
      </c>
      <c r="T11" s="700" t="s">
        <v>14</v>
      </c>
      <c r="U11" s="701">
        <f t="shared" si="1"/>
        <v>100</v>
      </c>
      <c r="V11" s="700" t="s">
        <v>14</v>
      </c>
      <c r="W11" s="701">
        <f t="shared" si="2"/>
        <v>100</v>
      </c>
      <c r="X11" s="702"/>
      <c r="Y11" s="3621"/>
      <c r="Z11" s="52" t="str">
        <f t="shared" si="7"/>
        <v>容积率</v>
      </c>
      <c r="AA11" s="703">
        <f t="shared" si="3"/>
        <v>1</v>
      </c>
      <c r="AB11" s="703">
        <f t="shared" si="4"/>
        <v>1</v>
      </c>
      <c r="AC11" s="1956">
        <f t="shared" si="5"/>
        <v>1</v>
      </c>
    </row>
    <row r="12" spans="1:29" s="108" customFormat="1" ht="15" hidden="1">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1"/>
      <c r="M12" s="2712"/>
      <c r="N12" s="2712"/>
      <c r="O12" s="2712"/>
      <c r="P12" s="3710"/>
      <c r="Q12" s="1342">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1956">
        <f>D12/J12</f>
        <v>1</v>
      </c>
    </row>
    <row r="13" spans="1:29" ht="15" hidden="1">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6"/>
      <c r="M13" s="2710"/>
      <c r="N13" s="2710"/>
      <c r="O13" s="2710"/>
      <c r="P13" s="3710"/>
      <c r="Q13" s="1342">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1956">
        <f t="shared" si="5"/>
        <v>1</v>
      </c>
    </row>
    <row r="14" spans="1:29" ht="15.75" hidden="1" thickBot="1">
      <c r="A14" s="387"/>
      <c r="B14" s="1894">
        <v>111</v>
      </c>
      <c r="C14" s="388"/>
      <c r="D14" s="389">
        <v>100</v>
      </c>
      <c r="E14" s="575"/>
      <c r="F14" s="389">
        <f>SUMIF(75:75,E14,76:76)-SUMIF(75:75,C14,76:76)+100</f>
        <v>100</v>
      </c>
      <c r="G14" s="1957"/>
      <c r="H14" s="389">
        <f>SUMIF(75:75,G14,76:76)-SUMIF(75:75,C14,76:76)+100</f>
        <v>100</v>
      </c>
      <c r="I14" s="383"/>
      <c r="J14" s="389">
        <f>SUMIF(75:75,I14,76:76)-SUMIF(75:75,C14,76:76)+100</f>
        <v>100</v>
      </c>
      <c r="K14" s="562"/>
      <c r="L14" s="2716"/>
      <c r="M14" s="2710"/>
      <c r="N14" s="2710"/>
      <c r="O14" s="2710"/>
      <c r="P14" s="3710"/>
      <c r="Q14" s="1342">
        <f t="shared" si="6"/>
        <v>111</v>
      </c>
      <c r="R14" s="700" t="s">
        <v>14</v>
      </c>
      <c r="S14" s="701">
        <f t="shared" si="0"/>
        <v>100</v>
      </c>
      <c r="T14" s="700" t="s">
        <v>14</v>
      </c>
      <c r="U14" s="701">
        <f t="shared" si="1"/>
        <v>100</v>
      </c>
      <c r="V14" s="700" t="s">
        <v>14</v>
      </c>
      <c r="W14" s="701">
        <f t="shared" si="2"/>
        <v>100</v>
      </c>
      <c r="X14" s="702"/>
      <c r="Y14" s="3621"/>
      <c r="Z14" s="52">
        <f t="shared" si="7"/>
        <v>111</v>
      </c>
      <c r="AA14" s="703">
        <f t="shared" si="3"/>
        <v>1</v>
      </c>
      <c r="AB14" s="703">
        <f t="shared" si="4"/>
        <v>1</v>
      </c>
      <c r="AC14" s="1956">
        <f t="shared" si="5"/>
        <v>1</v>
      </c>
    </row>
    <row r="15" spans="1:29" ht="15">
      <c r="A15" s="391" t="s">
        <v>1688</v>
      </c>
      <c r="B15" s="576" t="s">
        <v>1809</v>
      </c>
      <c r="C15" s="1958" t="str">
        <f>估价对象房地状况!C5</f>
        <v>较好</v>
      </c>
      <c r="D15" s="392">
        <v>100</v>
      </c>
      <c r="E15" s="395" t="s">
        <v>3387</v>
      </c>
      <c r="F15" s="392">
        <f>SUMIF(77:77,E16,78:78)-SUMIF(77:77,C16,78:78)+100</f>
        <v>100</v>
      </c>
      <c r="G15" s="395" t="s">
        <v>3387</v>
      </c>
      <c r="H15" s="392">
        <f>SUMIF(77:77,G16,78:78)-SUMIF(77:77,C16,78:78)+100</f>
        <v>100</v>
      </c>
      <c r="I15" s="395" t="s">
        <v>3387</v>
      </c>
      <c r="J15" s="392">
        <f>SUMIF(77:77,I16,78:78)-SUMIF(77:77,C16,78:78)+100</f>
        <v>100</v>
      </c>
      <c r="K15" s="563">
        <v>2</v>
      </c>
      <c r="L15" s="2716"/>
      <c r="M15" s="2710"/>
      <c r="N15" s="2710"/>
      <c r="O15" s="2710"/>
      <c r="P15" s="3737" t="s">
        <v>1689</v>
      </c>
      <c r="Q15" s="1351" t="str">
        <f t="shared" si="6"/>
        <v>办公集聚程度</v>
      </c>
      <c r="R15" s="704" t="s">
        <v>14</v>
      </c>
      <c r="S15" s="705">
        <f t="shared" si="0"/>
        <v>100</v>
      </c>
      <c r="T15" s="704" t="s">
        <v>14</v>
      </c>
      <c r="U15" s="705">
        <f t="shared" si="1"/>
        <v>100</v>
      </c>
      <c r="V15" s="704" t="s">
        <v>14</v>
      </c>
      <c r="W15" s="705">
        <f t="shared" si="2"/>
        <v>100</v>
      </c>
      <c r="X15" s="1354"/>
      <c r="Y15" s="3730" t="s">
        <v>1689</v>
      </c>
      <c r="Z15" s="1355" t="str">
        <f t="shared" si="7"/>
        <v>办公集聚程度</v>
      </c>
      <c r="AA15" s="1352">
        <f t="shared" si="3"/>
        <v>1</v>
      </c>
      <c r="AB15" s="1352">
        <f t="shared" si="4"/>
        <v>1</v>
      </c>
      <c r="AC15" s="1959">
        <f t="shared" si="5"/>
        <v>1</v>
      </c>
    </row>
    <row r="16" spans="1:29" ht="15">
      <c r="A16" s="379"/>
      <c r="B16" s="577"/>
      <c r="C16" s="1903" t="s">
        <v>3387</v>
      </c>
      <c r="D16" s="399"/>
      <c r="E16" s="398" t="s">
        <v>3387</v>
      </c>
      <c r="F16" s="399"/>
      <c r="G16" s="398" t="s">
        <v>3387</v>
      </c>
      <c r="H16" s="401"/>
      <c r="I16" s="398" t="s">
        <v>3387</v>
      </c>
      <c r="J16" s="399"/>
      <c r="K16" s="564"/>
      <c r="L16" s="2716"/>
      <c r="M16" s="2710"/>
      <c r="N16" s="2710"/>
      <c r="O16" s="2710"/>
      <c r="P16" s="3738"/>
      <c r="Q16" s="1351"/>
      <c r="R16" s="704"/>
      <c r="S16" s="705"/>
      <c r="T16" s="704"/>
      <c r="U16" s="705"/>
      <c r="V16" s="704"/>
      <c r="W16" s="705"/>
      <c r="X16" s="1354"/>
      <c r="Y16" s="3731"/>
      <c r="Z16" s="1355"/>
      <c r="AA16" s="1352">
        <v>1</v>
      </c>
      <c r="AB16" s="1352">
        <v>1</v>
      </c>
      <c r="AC16" s="1959">
        <v>1</v>
      </c>
    </row>
    <row r="17" spans="1:29" ht="15">
      <c r="A17" s="379"/>
      <c r="B17" s="578" t="s">
        <v>1257</v>
      </c>
      <c r="C17" s="1960" t="str">
        <f>估价对象房地状况!C6</f>
        <v>较好</v>
      </c>
      <c r="D17" s="401">
        <v>100</v>
      </c>
      <c r="E17" s="405" t="s">
        <v>3387</v>
      </c>
      <c r="F17" s="401">
        <f>SUMIF(79:79,E18,80:80)-SUMIF(79:79,C18,80:80)+100</f>
        <v>100</v>
      </c>
      <c r="G17" s="405" t="s">
        <v>3387</v>
      </c>
      <c r="H17" s="406">
        <f>SUMIF(79:79,G18,80:80)-SUMIF(79:79,C18,80:80)+100</f>
        <v>100</v>
      </c>
      <c r="I17" s="405" t="s">
        <v>3387</v>
      </c>
      <c r="J17" s="406">
        <f>SUMIF(79:79,I18,80:80)-SUMIF(79:79,C18,80:80)+100</f>
        <v>100</v>
      </c>
      <c r="K17" s="563">
        <v>2</v>
      </c>
      <c r="L17" s="2716"/>
      <c r="M17" s="2710"/>
      <c r="N17" s="2710"/>
      <c r="O17" s="2710"/>
      <c r="P17" s="3738"/>
      <c r="Q17" s="1351" t="str">
        <f>B17</f>
        <v>交通便捷度</v>
      </c>
      <c r="R17" s="704" t="s">
        <v>14</v>
      </c>
      <c r="S17" s="705">
        <f>F17</f>
        <v>100</v>
      </c>
      <c r="T17" s="704" t="s">
        <v>14</v>
      </c>
      <c r="U17" s="705">
        <f>H17</f>
        <v>100</v>
      </c>
      <c r="V17" s="704" t="s">
        <v>14</v>
      </c>
      <c r="W17" s="705">
        <f>J17</f>
        <v>100</v>
      </c>
      <c r="X17" s="1354"/>
      <c r="Y17" s="3731"/>
      <c r="Z17" s="1355" t="str">
        <f>Q17</f>
        <v>交通便捷度</v>
      </c>
      <c r="AA17" s="1352">
        <f t="shared" si="3"/>
        <v>1</v>
      </c>
      <c r="AB17" s="1352">
        <f t="shared" si="4"/>
        <v>1</v>
      </c>
      <c r="AC17" s="1959">
        <f t="shared" si="5"/>
        <v>1</v>
      </c>
    </row>
    <row r="18" spans="1:29" ht="15">
      <c r="A18" s="379"/>
      <c r="B18" s="579"/>
      <c r="C18" s="1961" t="s">
        <v>3387</v>
      </c>
      <c r="D18" s="401"/>
      <c r="E18" s="1901" t="s">
        <v>3387</v>
      </c>
      <c r="F18" s="401"/>
      <c r="G18" s="1901" t="s">
        <v>3387</v>
      </c>
      <c r="H18" s="399"/>
      <c r="I18" s="1901" t="s">
        <v>3387</v>
      </c>
      <c r="J18" s="399"/>
      <c r="K18" s="564"/>
      <c r="L18" s="2716"/>
      <c r="M18" s="2710"/>
      <c r="N18" s="2710"/>
      <c r="O18" s="2710"/>
      <c r="P18" s="3738"/>
      <c r="Q18" s="1351"/>
      <c r="R18" s="704"/>
      <c r="S18" s="705"/>
      <c r="T18" s="704"/>
      <c r="U18" s="705"/>
      <c r="V18" s="704"/>
      <c r="W18" s="705"/>
      <c r="X18" s="1354"/>
      <c r="Y18" s="3731"/>
      <c r="Z18" s="1355"/>
      <c r="AA18" s="1352">
        <v>1</v>
      </c>
      <c r="AB18" s="1352">
        <v>1</v>
      </c>
      <c r="AC18" s="1959">
        <v>1</v>
      </c>
    </row>
    <row r="19" spans="1:29" ht="15">
      <c r="A19" s="379"/>
      <c r="B19" s="578" t="s">
        <v>1810</v>
      </c>
      <c r="C19" s="1960" t="str">
        <f>估价对象房地状况!C7</f>
        <v>好</v>
      </c>
      <c r="D19" s="406">
        <v>100</v>
      </c>
      <c r="E19" s="410" t="s">
        <v>3490</v>
      </c>
      <c r="F19" s="406">
        <f>SUMIF(81:81,E20,82:82)-SUMIF(81:81,C20,82:82)+100</f>
        <v>100</v>
      </c>
      <c r="G19" s="410" t="s">
        <v>3490</v>
      </c>
      <c r="H19" s="401">
        <f>SUMIF(81:81,G20,82:82)-SUMIF(81:81,C20,82:82)+100</f>
        <v>100</v>
      </c>
      <c r="I19" s="410" t="s">
        <v>3490</v>
      </c>
      <c r="J19" s="401">
        <f>SUMIF(81:81,I20,82:82)-SUMIF(81:81,C20,82:82)+100</f>
        <v>100</v>
      </c>
      <c r="K19" s="563">
        <v>2</v>
      </c>
      <c r="L19" s="2716"/>
      <c r="M19" s="2710"/>
      <c r="N19" s="2710"/>
      <c r="O19" s="2710"/>
      <c r="P19" s="3738"/>
      <c r="Q19" s="1351" t="str">
        <f>B19</f>
        <v>公共配套设施</v>
      </c>
      <c r="R19" s="704" t="s">
        <v>14</v>
      </c>
      <c r="S19" s="705">
        <f>F19</f>
        <v>100</v>
      </c>
      <c r="T19" s="704" t="s">
        <v>14</v>
      </c>
      <c r="U19" s="705">
        <f>H19</f>
        <v>100</v>
      </c>
      <c r="V19" s="704" t="s">
        <v>14</v>
      </c>
      <c r="W19" s="705">
        <f>J19</f>
        <v>100</v>
      </c>
      <c r="X19" s="1354"/>
      <c r="Y19" s="3731"/>
      <c r="Z19" s="1355" t="str">
        <f>Q19</f>
        <v>公共配套设施</v>
      </c>
      <c r="AA19" s="1352">
        <f t="shared" si="3"/>
        <v>1</v>
      </c>
      <c r="AB19" s="1352">
        <f t="shared" si="4"/>
        <v>1</v>
      </c>
      <c r="AC19" s="1959">
        <f t="shared" si="5"/>
        <v>1</v>
      </c>
    </row>
    <row r="20" spans="1:29" ht="15">
      <c r="A20" s="379"/>
      <c r="B20" s="579"/>
      <c r="C20" s="1903" t="s">
        <v>3490</v>
      </c>
      <c r="D20" s="399"/>
      <c r="E20" s="1896" t="s">
        <v>3490</v>
      </c>
      <c r="F20" s="399"/>
      <c r="G20" s="1896" t="s">
        <v>3490</v>
      </c>
      <c r="H20" s="399"/>
      <c r="I20" s="1896" t="s">
        <v>3490</v>
      </c>
      <c r="J20" s="399"/>
      <c r="K20" s="564"/>
      <c r="L20" s="2716"/>
      <c r="M20" s="2710"/>
      <c r="N20" s="2710"/>
      <c r="O20" s="2710"/>
      <c r="P20" s="3738"/>
      <c r="Q20" s="1351"/>
      <c r="R20" s="704"/>
      <c r="S20" s="705"/>
      <c r="T20" s="704"/>
      <c r="U20" s="705"/>
      <c r="V20" s="704"/>
      <c r="W20" s="705"/>
      <c r="X20" s="1354"/>
      <c r="Y20" s="3731"/>
      <c r="Z20" s="1355"/>
      <c r="AA20" s="1352">
        <v>1</v>
      </c>
      <c r="AB20" s="1352">
        <v>1</v>
      </c>
      <c r="AC20" s="1959">
        <v>1</v>
      </c>
    </row>
    <row r="21" spans="1:29" ht="15">
      <c r="A21" s="379"/>
      <c r="B21" s="580" t="s">
        <v>1811</v>
      </c>
      <c r="C21" s="1960" t="str">
        <f>估价对象房地状况!C8</f>
        <v>七通</v>
      </c>
      <c r="D21" s="401">
        <v>100</v>
      </c>
      <c r="E21" s="410" t="s">
        <v>3388</v>
      </c>
      <c r="F21" s="406">
        <f>SUMIF(83:83,E22,84:84)-SUMIF(83:83,C22,84:84)+100</f>
        <v>100</v>
      </c>
      <c r="G21" s="410" t="s">
        <v>3388</v>
      </c>
      <c r="H21" s="401">
        <f>SUMIF(83:83,G22,84:84)-SUMIF(83:83,C22,84:84)+100</f>
        <v>100</v>
      </c>
      <c r="I21" s="410" t="s">
        <v>3388</v>
      </c>
      <c r="J21" s="401">
        <f>SUMIF(83:83,I22,84:84)-SUMIF(83:83,C22,84:84)+100</f>
        <v>100</v>
      </c>
      <c r="K21" s="563">
        <v>1</v>
      </c>
      <c r="L21" s="2716"/>
      <c r="M21" s="2710"/>
      <c r="N21" s="2710"/>
      <c r="O21" s="2710"/>
      <c r="P21" s="3738"/>
      <c r="Q21" s="1351" t="str">
        <f>B21</f>
        <v>基础设施水平</v>
      </c>
      <c r="R21" s="704" t="s">
        <v>14</v>
      </c>
      <c r="S21" s="705">
        <f>F21</f>
        <v>100</v>
      </c>
      <c r="T21" s="704" t="s">
        <v>14</v>
      </c>
      <c r="U21" s="705">
        <f>H21</f>
        <v>100</v>
      </c>
      <c r="V21" s="704" t="s">
        <v>14</v>
      </c>
      <c r="W21" s="705">
        <f>J21</f>
        <v>100</v>
      </c>
      <c r="X21" s="1354"/>
      <c r="Y21" s="3731"/>
      <c r="Z21" s="1355" t="str">
        <f>Q21</f>
        <v>基础设施水平</v>
      </c>
      <c r="AA21" s="1352">
        <f t="shared" ref="AA21" si="8">D21/F21</f>
        <v>1</v>
      </c>
      <c r="AB21" s="1352">
        <f t="shared" ref="AB21" si="9">D21/H21</f>
        <v>1</v>
      </c>
      <c r="AC21" s="1959">
        <f t="shared" ref="AC21" si="10">D21/J21</f>
        <v>1</v>
      </c>
    </row>
    <row r="22" spans="1:29" ht="15">
      <c r="A22" s="379"/>
      <c r="B22" s="580"/>
      <c r="C22" s="1961" t="s">
        <v>3388</v>
      </c>
      <c r="D22" s="399"/>
      <c r="E22" s="398" t="s">
        <v>3388</v>
      </c>
      <c r="F22" s="399"/>
      <c r="G22" s="398" t="s">
        <v>3388</v>
      </c>
      <c r="H22" s="399"/>
      <c r="I22" s="398" t="s">
        <v>3388</v>
      </c>
      <c r="J22" s="399"/>
      <c r="K22" s="1129"/>
      <c r="L22" s="2716"/>
      <c r="M22" s="2710"/>
      <c r="N22" s="2710"/>
      <c r="O22" s="2710"/>
      <c r="P22" s="3738"/>
      <c r="Q22" s="1351"/>
      <c r="R22" s="704"/>
      <c r="S22" s="705"/>
      <c r="T22" s="704"/>
      <c r="U22" s="705"/>
      <c r="V22" s="704"/>
      <c r="W22" s="705"/>
      <c r="X22" s="1354"/>
      <c r="Y22" s="3731"/>
      <c r="Z22" s="1355"/>
      <c r="AA22" s="1352">
        <v>1</v>
      </c>
      <c r="AB22" s="1352">
        <v>1</v>
      </c>
      <c r="AC22" s="1959">
        <v>1</v>
      </c>
    </row>
    <row r="23" spans="1:29" ht="15">
      <c r="A23" s="379"/>
      <c r="B23" s="578" t="s">
        <v>1812</v>
      </c>
      <c r="C23" s="1960" t="str">
        <f>估价对象房地状况!C9</f>
        <v>较好</v>
      </c>
      <c r="D23" s="401">
        <v>100</v>
      </c>
      <c r="E23" s="405" t="s">
        <v>3387</v>
      </c>
      <c r="F23" s="401">
        <f>SUMIF(85:85,E24,86:86)-SUMIF(85:85,C24,86:86)+100</f>
        <v>100</v>
      </c>
      <c r="G23" s="405" t="s">
        <v>3387</v>
      </c>
      <c r="H23" s="401">
        <f>SUMIF(85:85,G24,86:86)-SUMIF(85:85,C24,86:86)+100</f>
        <v>100</v>
      </c>
      <c r="I23" s="405" t="s">
        <v>3387</v>
      </c>
      <c r="J23" s="401">
        <f>SUMIF(85:85,I24,86:86)-SUMIF(85:85,C24,86:86)+100</f>
        <v>100</v>
      </c>
      <c r="K23" s="563">
        <v>2</v>
      </c>
      <c r="L23" s="2716"/>
      <c r="M23" s="2710"/>
      <c r="N23" s="2710"/>
      <c r="O23" s="2710"/>
      <c r="P23" s="3738"/>
      <c r="Q23" s="1351" t="str">
        <f>B23</f>
        <v>环境质量</v>
      </c>
      <c r="R23" s="704" t="s">
        <v>14</v>
      </c>
      <c r="S23" s="705">
        <f>F23</f>
        <v>100</v>
      </c>
      <c r="T23" s="704" t="s">
        <v>14</v>
      </c>
      <c r="U23" s="705">
        <f>H23</f>
        <v>100</v>
      </c>
      <c r="V23" s="704" t="s">
        <v>14</v>
      </c>
      <c r="W23" s="705">
        <f>J23</f>
        <v>100</v>
      </c>
      <c r="X23" s="1354"/>
      <c r="Y23" s="3731"/>
      <c r="Z23" s="1355" t="str">
        <f>Q23</f>
        <v>环境质量</v>
      </c>
      <c r="AA23" s="1352">
        <f t="shared" si="3"/>
        <v>1</v>
      </c>
      <c r="AB23" s="1352">
        <f t="shared" si="4"/>
        <v>1</v>
      </c>
      <c r="AC23" s="1959">
        <f t="shared" si="5"/>
        <v>1</v>
      </c>
    </row>
    <row r="24" spans="1:29" ht="15">
      <c r="A24" s="379"/>
      <c r="B24" s="580"/>
      <c r="C24" s="1903" t="s">
        <v>3387</v>
      </c>
      <c r="D24" s="399"/>
      <c r="E24" s="1896" t="s">
        <v>3387</v>
      </c>
      <c r="F24" s="399"/>
      <c r="G24" s="1896" t="s">
        <v>3387</v>
      </c>
      <c r="H24" s="399"/>
      <c r="I24" s="1896" t="s">
        <v>3387</v>
      </c>
      <c r="J24" s="399"/>
      <c r="K24" s="564"/>
      <c r="L24" s="2716"/>
      <c r="M24" s="2710"/>
      <c r="N24" s="2710"/>
      <c r="O24" s="2710"/>
      <c r="P24" s="3738"/>
      <c r="Q24" s="1351"/>
      <c r="R24" s="704"/>
      <c r="S24" s="705"/>
      <c r="T24" s="704"/>
      <c r="U24" s="705"/>
      <c r="V24" s="704"/>
      <c r="W24" s="705"/>
      <c r="X24" s="1354"/>
      <c r="Y24" s="3731"/>
      <c r="Z24" s="1355"/>
      <c r="AA24" s="1352">
        <v>1</v>
      </c>
      <c r="AB24" s="1352">
        <v>1</v>
      </c>
      <c r="AC24" s="1959">
        <v>1</v>
      </c>
    </row>
    <row r="25" spans="1:29" ht="27">
      <c r="A25" s="358"/>
      <c r="B25" s="578" t="s">
        <v>1813</v>
      </c>
      <c r="C25" s="1907"/>
      <c r="D25" s="386">
        <v>100</v>
      </c>
      <c r="E25" s="385"/>
      <c r="F25" s="386">
        <f>SUMIF(87:87,E26,88:88)-SUMIF(87:87,C26,88:88)+100</f>
        <v>100</v>
      </c>
      <c r="G25" s="1907"/>
      <c r="H25" s="386">
        <f>SUMIF(87:87,G26,88:88)-SUMIF(87:87,C26,88:88)+100</f>
        <v>100</v>
      </c>
      <c r="I25" s="385"/>
      <c r="J25" s="386">
        <f>SUMIF(87:87,I26,88:88)-SUMIF(87:87,C26,88:88)+100</f>
        <v>100</v>
      </c>
      <c r="K25" s="563"/>
      <c r="L25" s="2716"/>
      <c r="M25" s="2710"/>
      <c r="N25" s="2710"/>
      <c r="O25" s="2710"/>
      <c r="P25" s="3738"/>
      <c r="Q25" s="1351" t="str">
        <f>B25</f>
        <v>毗邻道路的类型与等级</v>
      </c>
      <c r="R25" s="704" t="s">
        <v>14</v>
      </c>
      <c r="S25" s="705">
        <f>F25</f>
        <v>100</v>
      </c>
      <c r="T25" s="704" t="s">
        <v>14</v>
      </c>
      <c r="U25" s="705">
        <f>H25</f>
        <v>100</v>
      </c>
      <c r="V25" s="704" t="s">
        <v>14</v>
      </c>
      <c r="W25" s="705">
        <f>J25</f>
        <v>100</v>
      </c>
      <c r="X25" s="1354"/>
      <c r="Y25" s="3731"/>
      <c r="Z25" s="1355" t="str">
        <f>Q25</f>
        <v>毗邻道路的类型与等级</v>
      </c>
      <c r="AA25" s="1352">
        <f t="shared" si="3"/>
        <v>1</v>
      </c>
      <c r="AB25" s="1352">
        <f t="shared" si="4"/>
        <v>1</v>
      </c>
      <c r="AC25" s="1959">
        <f t="shared" si="5"/>
        <v>1</v>
      </c>
    </row>
    <row r="26" spans="1:29" ht="15">
      <c r="A26" s="358"/>
      <c r="B26" s="579"/>
      <c r="C26" s="581"/>
      <c r="D26" s="386"/>
      <c r="E26" s="565"/>
      <c r="F26" s="386"/>
      <c r="G26" s="581"/>
      <c r="H26" s="386"/>
      <c r="I26" s="565"/>
      <c r="J26" s="386"/>
      <c r="K26" s="564"/>
      <c r="L26" s="2716"/>
      <c r="M26" s="2710"/>
      <c r="N26" s="2710"/>
      <c r="O26" s="2710"/>
      <c r="P26" s="3738"/>
      <c r="Q26" s="1351"/>
      <c r="R26" s="704"/>
      <c r="S26" s="705"/>
      <c r="T26" s="704"/>
      <c r="U26" s="705"/>
      <c r="V26" s="704"/>
      <c r="W26" s="705"/>
      <c r="X26" s="1354"/>
      <c r="Y26" s="3731"/>
      <c r="Z26" s="1355"/>
      <c r="AA26" s="1352">
        <v>1</v>
      </c>
      <c r="AB26" s="1352">
        <v>1</v>
      </c>
      <c r="AC26" s="1959">
        <v>1</v>
      </c>
    </row>
    <row r="27" spans="1:29" ht="15">
      <c r="A27" s="379"/>
      <c r="B27" s="579" t="s">
        <v>1781</v>
      </c>
      <c r="C27" s="581" t="s">
        <v>3412</v>
      </c>
      <c r="D27" s="386">
        <v>100</v>
      </c>
      <c r="E27" s="581" t="s">
        <v>3412</v>
      </c>
      <c r="F27" s="386">
        <f>SUMIF(89:89,E27,90:90)-SUMIF(89:89,C27,90:90)+100</f>
        <v>100</v>
      </c>
      <c r="G27" s="581" t="s">
        <v>3412</v>
      </c>
      <c r="H27" s="386">
        <f>SUMIF(89:89,G27,90:90)-SUMIF(89:89,C27,90:90)+100</f>
        <v>100</v>
      </c>
      <c r="I27" s="581" t="s">
        <v>3412</v>
      </c>
      <c r="J27" s="386">
        <f>SUMIF(89:89,I27,90:90)-SUMIF(89:89,C27,90:90)+100</f>
        <v>100</v>
      </c>
      <c r="K27" s="561">
        <v>2</v>
      </c>
      <c r="L27" s="2716"/>
      <c r="M27" s="2710"/>
      <c r="N27" s="2710"/>
      <c r="O27" s="2710"/>
      <c r="P27" s="3738"/>
      <c r="Q27" s="1351" t="str">
        <f t="shared" ref="Q27:Q47" si="11">B27</f>
        <v>楼层</v>
      </c>
      <c r="R27" s="704" t="s">
        <v>14</v>
      </c>
      <c r="S27" s="705">
        <f>F27</f>
        <v>100</v>
      </c>
      <c r="T27" s="704" t="s">
        <v>14</v>
      </c>
      <c r="U27" s="705">
        <f>H27</f>
        <v>100</v>
      </c>
      <c r="V27" s="704" t="s">
        <v>14</v>
      </c>
      <c r="W27" s="705">
        <f>J27</f>
        <v>100</v>
      </c>
      <c r="X27" s="1354"/>
      <c r="Y27" s="3731"/>
      <c r="Z27" s="1355" t="str">
        <f>Q27</f>
        <v>楼层</v>
      </c>
      <c r="AA27" s="1352">
        <f t="shared" si="3"/>
        <v>1</v>
      </c>
      <c r="AB27" s="1352">
        <f t="shared" si="4"/>
        <v>1</v>
      </c>
      <c r="AC27" s="1959">
        <f t="shared" si="5"/>
        <v>1</v>
      </c>
    </row>
    <row r="28" spans="1:29" s="108" customFormat="1" ht="15.75" thickBot="1">
      <c r="A28" s="382"/>
      <c r="B28" s="578" t="s">
        <v>1814</v>
      </c>
      <c r="C28" s="1962"/>
      <c r="D28" s="413">
        <v>100</v>
      </c>
      <c r="E28" s="1953"/>
      <c r="F28" s="413">
        <f>SUMIF(91:91,E28,92:92)-SUMIF(91:91,C28,92:92)+100</f>
        <v>100</v>
      </c>
      <c r="G28" s="1962"/>
      <c r="H28" s="413">
        <f>SUMIF(91:91,G28,92:92)-SUMIF(91:91,C28,92:92)+100</f>
        <v>100</v>
      </c>
      <c r="I28" s="1953"/>
      <c r="J28" s="413">
        <f>SUMIF(91:91,I28,92:92)-SUMIF(91:91,C28,92:92)+100</f>
        <v>100</v>
      </c>
      <c r="K28" s="561"/>
      <c r="L28" s="2711"/>
      <c r="M28" s="2712"/>
      <c r="N28" s="2712"/>
      <c r="O28" s="2712"/>
      <c r="P28" s="3738"/>
      <c r="Q28" s="1342" t="str">
        <f t="shared" si="11"/>
        <v>朝向</v>
      </c>
      <c r="R28" s="700" t="s">
        <v>14</v>
      </c>
      <c r="S28" s="701">
        <f>F28</f>
        <v>100</v>
      </c>
      <c r="T28" s="700" t="s">
        <v>14</v>
      </c>
      <c r="U28" s="701">
        <f>H28</f>
        <v>100</v>
      </c>
      <c r="V28" s="700" t="s">
        <v>14</v>
      </c>
      <c r="W28" s="701">
        <f>J28</f>
        <v>100</v>
      </c>
      <c r="X28" s="702"/>
      <c r="Y28" s="3731"/>
      <c r="Z28" s="52" t="str">
        <f>Q28</f>
        <v>朝向</v>
      </c>
      <c r="AA28" s="1352">
        <f>D28/F28</f>
        <v>1</v>
      </c>
      <c r="AB28" s="1352">
        <f>D28/H28</f>
        <v>1</v>
      </c>
      <c r="AC28" s="1959">
        <f>D28/J28</f>
        <v>1</v>
      </c>
    </row>
    <row r="29" spans="1:29" ht="15" hidden="1">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6"/>
      <c r="M29" s="2710"/>
      <c r="N29" s="2710"/>
      <c r="O29" s="2710"/>
      <c r="P29" s="3738"/>
      <c r="Q29" s="1351">
        <f t="shared" si="11"/>
        <v>111</v>
      </c>
      <c r="R29" s="704" t="s">
        <v>14</v>
      </c>
      <c r="S29" s="705">
        <f t="shared" ref="S29:S47" si="12">F29</f>
        <v>100</v>
      </c>
      <c r="T29" s="704" t="s">
        <v>14</v>
      </c>
      <c r="U29" s="705">
        <f t="shared" ref="U29:U47" si="13">H29</f>
        <v>100</v>
      </c>
      <c r="V29" s="704" t="s">
        <v>14</v>
      </c>
      <c r="W29" s="705">
        <f t="shared" ref="W29:W47" si="14">J29</f>
        <v>100</v>
      </c>
      <c r="X29" s="1354"/>
      <c r="Y29" s="3731"/>
      <c r="Z29" s="1355">
        <f t="shared" ref="Z29:Z47" si="15">Q29</f>
        <v>111</v>
      </c>
      <c r="AA29" s="1352">
        <f t="shared" si="3"/>
        <v>1</v>
      </c>
      <c r="AB29" s="1352">
        <f t="shared" si="4"/>
        <v>1</v>
      </c>
      <c r="AC29" s="1959">
        <f t="shared" si="5"/>
        <v>1</v>
      </c>
    </row>
    <row r="30" spans="1:29" ht="15" hidden="1">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6"/>
      <c r="M30" s="2710"/>
      <c r="N30" s="2710"/>
      <c r="O30" s="2710"/>
      <c r="P30" s="3738"/>
      <c r="Q30" s="1351">
        <f t="shared" si="11"/>
        <v>111</v>
      </c>
      <c r="R30" s="704" t="s">
        <v>14</v>
      </c>
      <c r="S30" s="705">
        <f t="shared" si="12"/>
        <v>100</v>
      </c>
      <c r="T30" s="704" t="s">
        <v>14</v>
      </c>
      <c r="U30" s="705">
        <f t="shared" si="13"/>
        <v>100</v>
      </c>
      <c r="V30" s="704" t="s">
        <v>14</v>
      </c>
      <c r="W30" s="705">
        <f t="shared" si="14"/>
        <v>100</v>
      </c>
      <c r="X30" s="1354"/>
      <c r="Y30" s="3731"/>
      <c r="Z30" s="1355">
        <f t="shared" si="15"/>
        <v>111</v>
      </c>
      <c r="AA30" s="1352">
        <f t="shared" si="3"/>
        <v>1</v>
      </c>
      <c r="AB30" s="1352">
        <f t="shared" si="4"/>
        <v>1</v>
      </c>
      <c r="AC30" s="1959">
        <f t="shared" si="5"/>
        <v>1</v>
      </c>
    </row>
    <row r="31" spans="1:29" ht="15" hidden="1">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6"/>
      <c r="M31" s="2710"/>
      <c r="N31" s="2710"/>
      <c r="O31" s="2710"/>
      <c r="P31" s="3738"/>
      <c r="Q31" s="1351">
        <f t="shared" si="11"/>
        <v>111</v>
      </c>
      <c r="R31" s="704" t="s">
        <v>14</v>
      </c>
      <c r="S31" s="705">
        <f t="shared" si="12"/>
        <v>100</v>
      </c>
      <c r="T31" s="704" t="s">
        <v>14</v>
      </c>
      <c r="U31" s="705">
        <f t="shared" si="13"/>
        <v>100</v>
      </c>
      <c r="V31" s="704" t="s">
        <v>14</v>
      </c>
      <c r="W31" s="705">
        <f t="shared" si="14"/>
        <v>100</v>
      </c>
      <c r="X31" s="1354"/>
      <c r="Y31" s="3731"/>
      <c r="Z31" s="1355">
        <f t="shared" si="15"/>
        <v>111</v>
      </c>
      <c r="AA31" s="1352">
        <f t="shared" si="3"/>
        <v>1</v>
      </c>
      <c r="AB31" s="1352">
        <f t="shared" si="4"/>
        <v>1</v>
      </c>
      <c r="AC31" s="1959">
        <f t="shared" si="5"/>
        <v>1</v>
      </c>
    </row>
    <row r="32" spans="1:29" ht="15.75" hidden="1" thickBot="1">
      <c r="A32" s="387"/>
      <c r="B32" s="582">
        <v>111</v>
      </c>
      <c r="C32" s="1908"/>
      <c r="D32" s="389">
        <v>100</v>
      </c>
      <c r="E32" s="575"/>
      <c r="F32" s="389">
        <f>SUMIF(99:99,E32,100:100)-SUMIF(99:99,C32,100:100)+100</f>
        <v>100</v>
      </c>
      <c r="G32" s="1957"/>
      <c r="H32" s="389">
        <f>SUMIF(99:99,G32,100:100)-SUMIF(99:99,C32,100:100)+100</f>
        <v>100</v>
      </c>
      <c r="I32" s="383"/>
      <c r="J32" s="389">
        <f>SUMIF(99:99,I32,100:100)-SUMIF(99:99,C32,100:100)+100</f>
        <v>100</v>
      </c>
      <c r="K32" s="562"/>
      <c r="L32" s="2716"/>
      <c r="M32" s="2710"/>
      <c r="N32" s="2710"/>
      <c r="O32" s="2710"/>
      <c r="P32" s="3738"/>
      <c r="Q32" s="1351">
        <f t="shared" si="11"/>
        <v>111</v>
      </c>
      <c r="R32" s="704" t="s">
        <v>14</v>
      </c>
      <c r="S32" s="705">
        <f t="shared" si="12"/>
        <v>100</v>
      </c>
      <c r="T32" s="704" t="s">
        <v>14</v>
      </c>
      <c r="U32" s="705">
        <f t="shared" si="13"/>
        <v>100</v>
      </c>
      <c r="V32" s="704" t="s">
        <v>14</v>
      </c>
      <c r="W32" s="705">
        <f t="shared" si="14"/>
        <v>100</v>
      </c>
      <c r="X32" s="1354"/>
      <c r="Y32" s="3731"/>
      <c r="Z32" s="1355">
        <f t="shared" si="15"/>
        <v>111</v>
      </c>
      <c r="AA32" s="1352">
        <f t="shared" si="3"/>
        <v>1</v>
      </c>
      <c r="AB32" s="1352">
        <f t="shared" si="4"/>
        <v>1</v>
      </c>
      <c r="AC32" s="1959">
        <f t="shared" si="5"/>
        <v>1</v>
      </c>
    </row>
    <row r="33" spans="1:29" ht="15">
      <c r="A33" s="391" t="s">
        <v>1692</v>
      </c>
      <c r="B33" s="63" t="s">
        <v>1815</v>
      </c>
      <c r="C33" s="1964" t="s">
        <v>3524</v>
      </c>
      <c r="D33" s="418">
        <v>100</v>
      </c>
      <c r="E33" s="1964" t="s">
        <v>3524</v>
      </c>
      <c r="F33" s="412">
        <f>SUMIF(101:101,E33,102:102)-SUMIF(101:101,C33,102:102)+100</f>
        <v>100</v>
      </c>
      <c r="G33" s="1964" t="s">
        <v>3522</v>
      </c>
      <c r="H33" s="386">
        <f>SUMIF(101:101,G33,102:102)-SUMIF(101:101,C33,102:102)+100</f>
        <v>105</v>
      </c>
      <c r="I33" s="1964" t="s">
        <v>3522</v>
      </c>
      <c r="J33" s="418">
        <f>SUMIF(101:101,I33,102:102)-SUMIF(101:101,C33,102:102)+100</f>
        <v>105</v>
      </c>
      <c r="K33" s="561">
        <v>5</v>
      </c>
      <c r="L33" s="2716"/>
      <c r="M33" s="2710"/>
      <c r="N33" s="2710"/>
      <c r="O33" s="2710"/>
      <c r="P33" s="3732" t="s">
        <v>1694</v>
      </c>
      <c r="Q33" s="1351" t="str">
        <f t="shared" si="11"/>
        <v>建筑类型</v>
      </c>
      <c r="R33" s="704" t="s">
        <v>14</v>
      </c>
      <c r="S33" s="705">
        <f t="shared" si="12"/>
        <v>100</v>
      </c>
      <c r="T33" s="704" t="s">
        <v>14</v>
      </c>
      <c r="U33" s="705">
        <f t="shared" si="13"/>
        <v>105</v>
      </c>
      <c r="V33" s="704" t="s">
        <v>14</v>
      </c>
      <c r="W33" s="705">
        <f t="shared" si="14"/>
        <v>105</v>
      </c>
      <c r="X33" s="1354"/>
      <c r="Y33" s="3735" t="s">
        <v>1694</v>
      </c>
      <c r="Z33" s="1355" t="str">
        <f t="shared" si="15"/>
        <v>建筑类型</v>
      </c>
      <c r="AA33" s="1352">
        <f t="shared" si="3"/>
        <v>1</v>
      </c>
      <c r="AB33" s="1352">
        <f t="shared" si="4"/>
        <v>0.95238095238095233</v>
      </c>
      <c r="AC33" s="1959">
        <f t="shared" si="5"/>
        <v>0.95238095238095233</v>
      </c>
    </row>
    <row r="34" spans="1:29" s="422" customFormat="1" ht="15">
      <c r="A34" s="419"/>
      <c r="B34" s="375" t="s">
        <v>1695</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15"/>
      <c r="M34" s="2717"/>
      <c r="N34" s="2717"/>
      <c r="O34" s="2717"/>
      <c r="P34" s="3733"/>
      <c r="Q34" s="706" t="str">
        <f t="shared" si="11"/>
        <v>项目建筑规模</v>
      </c>
      <c r="R34" s="707" t="s">
        <v>14</v>
      </c>
      <c r="S34" s="708">
        <f t="shared" si="12"/>
        <v>100</v>
      </c>
      <c r="T34" s="707" t="s">
        <v>14</v>
      </c>
      <c r="U34" s="708">
        <f t="shared" si="13"/>
        <v>100</v>
      </c>
      <c r="V34" s="707" t="s">
        <v>14</v>
      </c>
      <c r="W34" s="708">
        <f t="shared" si="14"/>
        <v>100</v>
      </c>
      <c r="X34" s="709"/>
      <c r="Y34" s="3735"/>
      <c r="Z34" s="710" t="str">
        <f t="shared" si="15"/>
        <v>项目建筑规模</v>
      </c>
      <c r="AA34" s="1352">
        <f t="shared" si="3"/>
        <v>1</v>
      </c>
      <c r="AB34" s="1352">
        <f t="shared" si="4"/>
        <v>1</v>
      </c>
      <c r="AC34" s="1959">
        <f t="shared" si="5"/>
        <v>1</v>
      </c>
    </row>
    <row r="35" spans="1:29" ht="15">
      <c r="A35" s="423"/>
      <c r="B35" s="375" t="s">
        <v>1696</v>
      </c>
      <c r="C35" s="411" t="s">
        <v>3401</v>
      </c>
      <c r="D35" s="386">
        <v>100</v>
      </c>
      <c r="E35" s="411" t="s">
        <v>3401</v>
      </c>
      <c r="F35" s="412">
        <f>SUMIF(106:106,E35,107:107)-SUMIF(106:106,C35,107:107)+100</f>
        <v>100</v>
      </c>
      <c r="G35" s="411" t="s">
        <v>3401</v>
      </c>
      <c r="H35" s="386">
        <f>SUMIF(106:106,G35,107:107)-SUMIF(106:106,C35,107:107)+100</f>
        <v>100</v>
      </c>
      <c r="I35" s="411" t="s">
        <v>3401</v>
      </c>
      <c r="J35" s="386">
        <f>SUMIF(106:106,I35,107:107)-SUMIF(106:106,C35,107:107)+100</f>
        <v>100</v>
      </c>
      <c r="K35" s="561">
        <v>2</v>
      </c>
      <c r="L35" s="2716"/>
      <c r="M35" s="2710"/>
      <c r="N35" s="2710"/>
      <c r="O35" s="2710"/>
      <c r="P35" s="3733"/>
      <c r="Q35" s="1351" t="str">
        <f t="shared" si="11"/>
        <v>建筑结构</v>
      </c>
      <c r="R35" s="704" t="s">
        <v>14</v>
      </c>
      <c r="S35" s="705">
        <f t="shared" si="12"/>
        <v>100</v>
      </c>
      <c r="T35" s="704" t="s">
        <v>14</v>
      </c>
      <c r="U35" s="705">
        <f t="shared" si="13"/>
        <v>100</v>
      </c>
      <c r="V35" s="704" t="s">
        <v>14</v>
      </c>
      <c r="W35" s="705">
        <f t="shared" si="14"/>
        <v>100</v>
      </c>
      <c r="X35" s="1354"/>
      <c r="Y35" s="3735"/>
      <c r="Z35" s="1355" t="str">
        <f t="shared" si="15"/>
        <v>建筑结构</v>
      </c>
      <c r="AA35" s="1352">
        <f t="shared" si="3"/>
        <v>1</v>
      </c>
      <c r="AB35" s="1352">
        <f t="shared" si="4"/>
        <v>1</v>
      </c>
      <c r="AC35" s="1959">
        <f t="shared" si="5"/>
        <v>1</v>
      </c>
    </row>
    <row r="36" spans="1:29" ht="15">
      <c r="A36" s="423"/>
      <c r="B36" s="375" t="s">
        <v>1783</v>
      </c>
      <c r="C36" s="411" t="s">
        <v>3447</v>
      </c>
      <c r="D36" s="386">
        <v>100</v>
      </c>
      <c r="E36" s="411" t="s">
        <v>3447</v>
      </c>
      <c r="F36" s="412">
        <f>SUMIF(108:108,E36,109:109)-SUMIF(108:108,C36,109:109)+100</f>
        <v>100</v>
      </c>
      <c r="G36" s="411" t="s">
        <v>3447</v>
      </c>
      <c r="H36" s="386">
        <f>SUMIF(108:108,G36,109:109)-SUMIF(108:108,C36,109:109)+100</f>
        <v>100</v>
      </c>
      <c r="I36" s="411" t="s">
        <v>3447</v>
      </c>
      <c r="J36" s="386">
        <f>SUMIF(108:108,I36,109:109)-SUMIF(108:108,C36,109:109)+100</f>
        <v>100</v>
      </c>
      <c r="K36" s="561">
        <v>2</v>
      </c>
      <c r="L36" s="2716"/>
      <c r="M36" s="2710"/>
      <c r="N36" s="2710"/>
      <c r="O36" s="2710"/>
      <c r="P36" s="3733"/>
      <c r="Q36" s="1351" t="str">
        <f t="shared" si="11"/>
        <v>公共部分装修</v>
      </c>
      <c r="R36" s="704" t="s">
        <v>14</v>
      </c>
      <c r="S36" s="705">
        <f t="shared" si="12"/>
        <v>100</v>
      </c>
      <c r="T36" s="704" t="s">
        <v>14</v>
      </c>
      <c r="U36" s="705">
        <f t="shared" si="13"/>
        <v>100</v>
      </c>
      <c r="V36" s="704" t="s">
        <v>14</v>
      </c>
      <c r="W36" s="705">
        <f t="shared" si="14"/>
        <v>100</v>
      </c>
      <c r="X36" s="1354"/>
      <c r="Y36" s="3735"/>
      <c r="Z36" s="1355" t="str">
        <f t="shared" si="15"/>
        <v>公共部分装修</v>
      </c>
      <c r="AA36" s="1352">
        <f t="shared" si="3"/>
        <v>1</v>
      </c>
      <c r="AB36" s="1352">
        <f t="shared" si="4"/>
        <v>1</v>
      </c>
      <c r="AC36" s="1959">
        <f t="shared" si="5"/>
        <v>1</v>
      </c>
    </row>
    <row r="37" spans="1:29" ht="15">
      <c r="A37" s="423"/>
      <c r="B37" s="375" t="s">
        <v>1784</v>
      </c>
      <c r="C37" s="425">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16"/>
      <c r="M37" s="2710"/>
      <c r="N37" s="2710"/>
      <c r="O37" s="2710"/>
      <c r="P37" s="3733"/>
      <c r="Q37" s="1351" t="str">
        <f t="shared" si="11"/>
        <v>成新度</v>
      </c>
      <c r="R37" s="704" t="s">
        <v>14</v>
      </c>
      <c r="S37" s="705">
        <f t="shared" si="12"/>
        <v>100</v>
      </c>
      <c r="T37" s="704" t="s">
        <v>14</v>
      </c>
      <c r="U37" s="705">
        <f t="shared" si="13"/>
        <v>100</v>
      </c>
      <c r="V37" s="704" t="s">
        <v>14</v>
      </c>
      <c r="W37" s="705">
        <f t="shared" si="14"/>
        <v>100</v>
      </c>
      <c r="X37" s="1354"/>
      <c r="Y37" s="3735"/>
      <c r="Z37" s="1355" t="str">
        <f t="shared" si="15"/>
        <v>成新度</v>
      </c>
      <c r="AA37" s="1352">
        <f t="shared" si="3"/>
        <v>1</v>
      </c>
      <c r="AB37" s="1352">
        <f t="shared" si="4"/>
        <v>1</v>
      </c>
      <c r="AC37" s="1959">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733"/>
      <c r="Q38" s="1342" t="str">
        <f t="shared" si="11"/>
        <v>写字楼等级</v>
      </c>
      <c r="R38" s="700" t="s">
        <v>14</v>
      </c>
      <c r="S38" s="701">
        <f t="shared" si="12"/>
        <v>100</v>
      </c>
      <c r="T38" s="700" t="s">
        <v>14</v>
      </c>
      <c r="U38" s="701">
        <f t="shared" si="13"/>
        <v>100</v>
      </c>
      <c r="V38" s="700" t="s">
        <v>14</v>
      </c>
      <c r="W38" s="701">
        <f t="shared" si="14"/>
        <v>100</v>
      </c>
      <c r="X38" s="702"/>
      <c r="Y38" s="3735"/>
      <c r="Z38" s="52" t="str">
        <f t="shared" si="15"/>
        <v>写字楼等级</v>
      </c>
      <c r="AA38" s="703">
        <f t="shared" si="3"/>
        <v>1</v>
      </c>
      <c r="AB38" s="703">
        <f t="shared" si="4"/>
        <v>1</v>
      </c>
      <c r="AC38" s="1956">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6"/>
      <c r="M39" s="2710"/>
      <c r="N39" s="2710"/>
      <c r="O39" s="2710"/>
      <c r="P39" s="3733" t="s">
        <v>1694</v>
      </c>
      <c r="Q39" s="1351" t="str">
        <f t="shared" si="11"/>
        <v>物业管理</v>
      </c>
      <c r="R39" s="704" t="s">
        <v>14</v>
      </c>
      <c r="S39" s="705">
        <f t="shared" si="12"/>
        <v>100</v>
      </c>
      <c r="T39" s="704" t="s">
        <v>14</v>
      </c>
      <c r="U39" s="705">
        <f t="shared" si="13"/>
        <v>100</v>
      </c>
      <c r="V39" s="704" t="s">
        <v>14</v>
      </c>
      <c r="W39" s="705">
        <f t="shared" si="14"/>
        <v>100</v>
      </c>
      <c r="X39" s="1354"/>
      <c r="Y39" s="3735" t="s">
        <v>1694</v>
      </c>
      <c r="Z39" s="1355" t="str">
        <f t="shared" si="15"/>
        <v>物业管理</v>
      </c>
      <c r="AA39" s="1352">
        <f t="shared" si="3"/>
        <v>1</v>
      </c>
      <c r="AB39" s="1352">
        <f t="shared" si="4"/>
        <v>1</v>
      </c>
      <c r="AC39" s="1959">
        <f t="shared" si="5"/>
        <v>1</v>
      </c>
    </row>
    <row r="40" spans="1:29" ht="15">
      <c r="A40" s="423"/>
      <c r="B40" s="375" t="s">
        <v>1785</v>
      </c>
      <c r="C40" s="411" t="s">
        <v>3533</v>
      </c>
      <c r="D40" s="386">
        <v>100</v>
      </c>
      <c r="E40" s="411" t="s">
        <v>3533</v>
      </c>
      <c r="F40" s="412">
        <f>SUMIF(117:117,E40,118:118)-SUMIF(117:117,C40,118:118)+100</f>
        <v>100</v>
      </c>
      <c r="G40" s="411" t="s">
        <v>3533</v>
      </c>
      <c r="H40" s="386">
        <f>SUMIF(117:117,G40,118:118)-SUMIF(117:117,C40,118:118)+100</f>
        <v>100</v>
      </c>
      <c r="I40" s="411" t="s">
        <v>3533</v>
      </c>
      <c r="J40" s="386">
        <f>SUMIF(117:117,I40,118:118)-SUMIF(117:117,C40,118:118)+100</f>
        <v>100</v>
      </c>
      <c r="K40" s="561">
        <v>1</v>
      </c>
      <c r="L40" s="2716"/>
      <c r="M40" s="2710"/>
      <c r="N40" s="2710"/>
      <c r="O40" s="2710"/>
      <c r="P40" s="3733"/>
      <c r="Q40" s="1351" t="str">
        <f t="shared" si="11"/>
        <v>市政基础设施</v>
      </c>
      <c r="R40" s="704" t="s">
        <v>14</v>
      </c>
      <c r="S40" s="705">
        <f t="shared" si="12"/>
        <v>100</v>
      </c>
      <c r="T40" s="704" t="s">
        <v>14</v>
      </c>
      <c r="U40" s="705">
        <f t="shared" si="13"/>
        <v>100</v>
      </c>
      <c r="V40" s="704" t="s">
        <v>14</v>
      </c>
      <c r="W40" s="705">
        <f t="shared" si="14"/>
        <v>100</v>
      </c>
      <c r="X40" s="1354"/>
      <c r="Y40" s="3735"/>
      <c r="Z40" s="1355" t="str">
        <f t="shared" si="15"/>
        <v>市政基础设施</v>
      </c>
      <c r="AA40" s="1352">
        <f t="shared" si="3"/>
        <v>1</v>
      </c>
      <c r="AB40" s="1352">
        <f t="shared" si="4"/>
        <v>1</v>
      </c>
      <c r="AC40" s="1959">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733"/>
      <c r="Q41" s="1351" t="str">
        <f t="shared" si="11"/>
        <v>层高</v>
      </c>
      <c r="R41" s="704" t="s">
        <v>14</v>
      </c>
      <c r="S41" s="705">
        <f t="shared" si="12"/>
        <v>100</v>
      </c>
      <c r="T41" s="704" t="s">
        <v>14</v>
      </c>
      <c r="U41" s="705">
        <f t="shared" si="13"/>
        <v>100</v>
      </c>
      <c r="V41" s="704" t="s">
        <v>14</v>
      </c>
      <c r="W41" s="705">
        <f t="shared" si="14"/>
        <v>100</v>
      </c>
      <c r="X41" s="1354"/>
      <c r="Y41" s="3735"/>
      <c r="Z41" s="1355" t="str">
        <f t="shared" si="15"/>
        <v>层高</v>
      </c>
      <c r="AA41" s="1352">
        <f t="shared" si="3"/>
        <v>1</v>
      </c>
      <c r="AB41" s="1352">
        <f t="shared" si="4"/>
        <v>1</v>
      </c>
      <c r="AC41" s="1959">
        <f t="shared" si="5"/>
        <v>1</v>
      </c>
    </row>
    <row r="42" spans="1:29" s="422" customFormat="1" ht="15">
      <c r="A42" s="419"/>
      <c r="B42" s="1353"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33"/>
      <c r="Q42" s="706" t="str">
        <f t="shared" si="11"/>
        <v>单套建筑面积</v>
      </c>
      <c r="R42" s="707" t="s">
        <v>14</v>
      </c>
      <c r="S42" s="708">
        <f t="shared" si="12"/>
        <v>100</v>
      </c>
      <c r="T42" s="707" t="s">
        <v>14</v>
      </c>
      <c r="U42" s="708">
        <f t="shared" si="13"/>
        <v>100</v>
      </c>
      <c r="V42" s="707" t="s">
        <v>14</v>
      </c>
      <c r="W42" s="708">
        <f t="shared" si="14"/>
        <v>100</v>
      </c>
      <c r="X42" s="709"/>
      <c r="Y42" s="3735"/>
      <c r="Z42" s="710" t="str">
        <f t="shared" si="15"/>
        <v>单套建筑面积</v>
      </c>
      <c r="AA42" s="1352">
        <f t="shared" si="3"/>
        <v>1</v>
      </c>
      <c r="AB42" s="1352">
        <f t="shared" si="4"/>
        <v>1</v>
      </c>
      <c r="AC42" s="1959">
        <f t="shared" si="5"/>
        <v>1</v>
      </c>
    </row>
    <row r="43" spans="1:29" ht="15">
      <c r="A43" s="423"/>
      <c r="B43" s="375" t="s">
        <v>1790</v>
      </c>
      <c r="C43" s="411" t="s">
        <v>3447</v>
      </c>
      <c r="D43" s="386">
        <v>100</v>
      </c>
      <c r="E43" s="411" t="s">
        <v>3447</v>
      </c>
      <c r="F43" s="412">
        <f>SUMIF(123:123,E43,124:124)-SUMIF(123:123,C43,124:124)+100</f>
        <v>100</v>
      </c>
      <c r="G43" s="411" t="s">
        <v>3447</v>
      </c>
      <c r="H43" s="386">
        <f>SUMIF(123:123,G43,124:124)-SUMIF(123:123,C43,124:124)+100</f>
        <v>100</v>
      </c>
      <c r="I43" s="411" t="s">
        <v>3447</v>
      </c>
      <c r="J43" s="386">
        <f>SUMIF(123:123,I43,124:124)-SUMIF(123:123,C43,124:124)+100</f>
        <v>100</v>
      </c>
      <c r="K43" s="561">
        <v>2</v>
      </c>
      <c r="L43" s="2716"/>
      <c r="M43" s="2710"/>
      <c r="N43" s="2710"/>
      <c r="O43" s="2710"/>
      <c r="P43" s="3733"/>
      <c r="Q43" s="1351" t="str">
        <f t="shared" si="11"/>
        <v>内部装修</v>
      </c>
      <c r="R43" s="704" t="s">
        <v>14</v>
      </c>
      <c r="S43" s="705">
        <f t="shared" si="12"/>
        <v>100</v>
      </c>
      <c r="T43" s="704" t="s">
        <v>14</v>
      </c>
      <c r="U43" s="705">
        <f t="shared" si="13"/>
        <v>100</v>
      </c>
      <c r="V43" s="704" t="s">
        <v>14</v>
      </c>
      <c r="W43" s="705">
        <f t="shared" si="14"/>
        <v>100</v>
      </c>
      <c r="X43" s="1354"/>
      <c r="Y43" s="3735"/>
      <c r="Z43" s="1355" t="str">
        <f t="shared" si="15"/>
        <v>内部装修</v>
      </c>
      <c r="AA43" s="1352">
        <f t="shared" si="3"/>
        <v>1</v>
      </c>
      <c r="AB43" s="1352">
        <f t="shared" si="4"/>
        <v>1</v>
      </c>
      <c r="AC43" s="1959">
        <f t="shared" si="5"/>
        <v>1</v>
      </c>
    </row>
    <row r="44" spans="1:29" ht="15.75" thickBot="1">
      <c r="A44" s="423"/>
      <c r="B44" s="375" t="s">
        <v>1705</v>
      </c>
      <c r="C44" s="411" t="s">
        <v>3387</v>
      </c>
      <c r="D44" s="386">
        <v>100</v>
      </c>
      <c r="E44" s="411" t="s">
        <v>3387</v>
      </c>
      <c r="F44" s="412">
        <f>SUMIF(125:125,E44,126:126)-SUMIF(125:125,C44,126:126)+100</f>
        <v>100</v>
      </c>
      <c r="G44" s="411" t="s">
        <v>3387</v>
      </c>
      <c r="H44" s="386">
        <f>SUMIF(125:125,G44,126:126)-SUMIF(125:125,C44,126:126)+100</f>
        <v>100</v>
      </c>
      <c r="I44" s="411" t="s">
        <v>3387</v>
      </c>
      <c r="J44" s="386">
        <f>SUMIF(125:125,I44,126:126)-SUMIF(125:125,C44,126:126)+100</f>
        <v>100</v>
      </c>
      <c r="K44" s="561">
        <v>2</v>
      </c>
      <c r="L44" s="2716"/>
      <c r="M44" s="2710"/>
      <c r="N44" s="2710"/>
      <c r="O44" s="2710"/>
      <c r="P44" s="3733"/>
      <c r="Q44" s="1351" t="str">
        <f t="shared" si="11"/>
        <v>内部装修维护情况</v>
      </c>
      <c r="R44" s="704" t="s">
        <v>14</v>
      </c>
      <c r="S44" s="705">
        <f t="shared" si="12"/>
        <v>100</v>
      </c>
      <c r="T44" s="704" t="s">
        <v>14</v>
      </c>
      <c r="U44" s="705">
        <f t="shared" si="13"/>
        <v>100</v>
      </c>
      <c r="V44" s="704" t="s">
        <v>14</v>
      </c>
      <c r="W44" s="705">
        <f t="shared" si="14"/>
        <v>100</v>
      </c>
      <c r="X44" s="1354"/>
      <c r="Y44" s="3735"/>
      <c r="Z44" s="1355" t="str">
        <f t="shared" si="15"/>
        <v>内部装修维护情况</v>
      </c>
      <c r="AA44" s="1352">
        <f t="shared" si="3"/>
        <v>1</v>
      </c>
      <c r="AB44" s="1352">
        <f t="shared" si="4"/>
        <v>1</v>
      </c>
      <c r="AC44" s="1959">
        <f t="shared" si="5"/>
        <v>1</v>
      </c>
    </row>
    <row r="45" spans="1:29" s="108" customFormat="1" ht="15" hidden="1">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33"/>
      <c r="Q45" s="1342">
        <f t="shared" si="11"/>
        <v>111</v>
      </c>
      <c r="R45" s="700" t="s">
        <v>14</v>
      </c>
      <c r="S45" s="701">
        <f t="shared" si="12"/>
        <v>100</v>
      </c>
      <c r="T45" s="700" t="s">
        <v>14</v>
      </c>
      <c r="U45" s="701">
        <f t="shared" si="13"/>
        <v>100</v>
      </c>
      <c r="V45" s="700" t="s">
        <v>14</v>
      </c>
      <c r="W45" s="701">
        <f t="shared" si="14"/>
        <v>100</v>
      </c>
      <c r="X45" s="702"/>
      <c r="Y45" s="3735"/>
      <c r="Z45" s="52">
        <f t="shared" si="15"/>
        <v>111</v>
      </c>
      <c r="AA45" s="703">
        <f t="shared" si="3"/>
        <v>1</v>
      </c>
      <c r="AB45" s="703">
        <f t="shared" si="4"/>
        <v>1</v>
      </c>
      <c r="AC45" s="1956">
        <f t="shared" si="5"/>
        <v>1</v>
      </c>
    </row>
    <row r="46" spans="1:29" ht="15" hidden="1">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33"/>
      <c r="Q46" s="1351">
        <f t="shared" si="11"/>
        <v>111</v>
      </c>
      <c r="R46" s="704" t="s">
        <v>14</v>
      </c>
      <c r="S46" s="705">
        <f t="shared" si="12"/>
        <v>100</v>
      </c>
      <c r="T46" s="704" t="s">
        <v>14</v>
      </c>
      <c r="U46" s="705">
        <f t="shared" si="13"/>
        <v>100</v>
      </c>
      <c r="V46" s="704" t="s">
        <v>14</v>
      </c>
      <c r="W46" s="705">
        <f t="shared" si="14"/>
        <v>100</v>
      </c>
      <c r="X46" s="1354"/>
      <c r="Y46" s="3735"/>
      <c r="Z46" s="1355">
        <f t="shared" si="15"/>
        <v>111</v>
      </c>
      <c r="AA46" s="1352">
        <f t="shared" si="3"/>
        <v>1</v>
      </c>
      <c r="AB46" s="1352">
        <f t="shared" si="4"/>
        <v>1</v>
      </c>
      <c r="AC46" s="1959">
        <f t="shared" si="5"/>
        <v>1</v>
      </c>
    </row>
    <row r="47" spans="1:29" ht="15.75" hidden="1"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34"/>
      <c r="Q47" s="1351">
        <f t="shared" si="11"/>
        <v>111</v>
      </c>
      <c r="R47" s="704" t="s">
        <v>14</v>
      </c>
      <c r="S47" s="705">
        <f t="shared" si="12"/>
        <v>100</v>
      </c>
      <c r="T47" s="704" t="s">
        <v>14</v>
      </c>
      <c r="U47" s="705">
        <f t="shared" si="13"/>
        <v>100</v>
      </c>
      <c r="V47" s="704" t="s">
        <v>14</v>
      </c>
      <c r="W47" s="705">
        <f t="shared" si="14"/>
        <v>100</v>
      </c>
      <c r="X47" s="1354"/>
      <c r="Y47" s="3736"/>
      <c r="Z47" s="1355">
        <f t="shared" si="15"/>
        <v>111</v>
      </c>
      <c r="AA47" s="1352">
        <f t="shared" si="3"/>
        <v>1</v>
      </c>
      <c r="AB47" s="1352">
        <f t="shared" si="4"/>
        <v>1</v>
      </c>
      <c r="AC47" s="1959">
        <f t="shared" si="5"/>
        <v>1</v>
      </c>
    </row>
    <row r="48" spans="1:29" ht="15">
      <c r="A48" s="430" t="s">
        <v>1706</v>
      </c>
      <c r="B48" s="431"/>
      <c r="C48" s="1153" t="s">
        <v>0</v>
      </c>
      <c r="D48" s="1154"/>
      <c r="E48" s="1155">
        <v>3.5</v>
      </c>
      <c r="F48" s="1156"/>
      <c r="G48" s="1157">
        <v>4</v>
      </c>
      <c r="H48" s="1158"/>
      <c r="I48" s="1155">
        <v>4.5</v>
      </c>
      <c r="J48" s="436"/>
      <c r="K48" s="713"/>
      <c r="L48" s="2718"/>
      <c r="M48" s="2710"/>
      <c r="N48" s="2710"/>
      <c r="O48" s="2710"/>
      <c r="P48" s="3710" t="str">
        <f>A48</f>
        <v>成交单价（元/平方米）</v>
      </c>
      <c r="Q48" s="3728"/>
      <c r="R48" s="3729">
        <f>E48</f>
        <v>3.5</v>
      </c>
      <c r="S48" s="3729"/>
      <c r="T48" s="3729">
        <f>G48</f>
        <v>4</v>
      </c>
      <c r="U48" s="3729"/>
      <c r="V48" s="3729">
        <f>I48</f>
        <v>4.5</v>
      </c>
      <c r="W48" s="3729"/>
      <c r="X48" s="397"/>
      <c r="Y48" s="711"/>
      <c r="Z48" s="397"/>
      <c r="AA48" s="397"/>
      <c r="AB48" s="397"/>
      <c r="AC48" s="577"/>
    </row>
    <row r="49" spans="1:29" ht="15.75" thickBot="1">
      <c r="A49" s="437" t="s">
        <v>1791</v>
      </c>
      <c r="B49" s="438"/>
      <c r="C49" s="1159">
        <f>R50</f>
        <v>3.6</v>
      </c>
      <c r="D49" s="2314" t="s">
        <v>3534</v>
      </c>
      <c r="E49" s="1160">
        <f>R49</f>
        <v>3.4</v>
      </c>
      <c r="F49" s="2315">
        <v>0.6</v>
      </c>
      <c r="G49" s="1159">
        <f>T49</f>
        <v>3.7</v>
      </c>
      <c r="H49" s="2315">
        <v>0.2</v>
      </c>
      <c r="I49" s="1160">
        <f>V49</f>
        <v>4.2</v>
      </c>
      <c r="J49" s="2315">
        <v>0.2</v>
      </c>
      <c r="K49" s="2317">
        <f>F49+H49+J49</f>
        <v>1</v>
      </c>
      <c r="L49" s="2718"/>
      <c r="M49" s="2710"/>
      <c r="N49" s="2710"/>
      <c r="O49" s="2710"/>
      <c r="P49" s="3710" t="str">
        <f>A49</f>
        <v>比较价值（元/平方米）</v>
      </c>
      <c r="Q49" s="3728"/>
      <c r="R49" s="3729">
        <f>IF(F1="售价",ROUND(PRODUCT(R48,AA7:AA47),0),ROUND(PRODUCT(R48,AA7:AA47),1))</f>
        <v>3.4</v>
      </c>
      <c r="S49" s="3729"/>
      <c r="T49" s="3729">
        <f>IF(F1="售价",ROUND(PRODUCT(T48,AB7:AB47),0),ROUND(PRODUCT(T48,AB7:AB47),1))</f>
        <v>3.7</v>
      </c>
      <c r="U49" s="3729"/>
      <c r="V49" s="3729">
        <f>IF(F1="售价",ROUND(PRODUCT(V48,AC7:AC47),0),ROUND(PRODUCT(V48,AC7:AC47),1))</f>
        <v>4.2</v>
      </c>
      <c r="W49" s="3729"/>
      <c r="X49" s="397"/>
      <c r="Y49" s="397"/>
      <c r="Z49" s="397"/>
      <c r="AA49" s="397"/>
      <c r="AB49" s="397"/>
      <c r="AC49" s="577"/>
    </row>
    <row r="50" spans="1:29" ht="15.75" thickBot="1">
      <c r="A50" s="441" t="s">
        <v>1792</v>
      </c>
      <c r="B50" s="442"/>
      <c r="C50" s="1162">
        <f>R50</f>
        <v>3.6</v>
      </c>
      <c r="D50" s="1162"/>
      <c r="E50" s="1162"/>
      <c r="F50" s="1162"/>
      <c r="G50" s="1162"/>
      <c r="H50" s="1162"/>
      <c r="I50" s="1162"/>
      <c r="J50" s="443"/>
      <c r="K50" s="714"/>
      <c r="L50" s="2718"/>
      <c r="M50" s="2710"/>
      <c r="N50" s="2710"/>
      <c r="O50" s="2710"/>
      <c r="P50" s="3752" t="str">
        <f>A50</f>
        <v>估价对象XX用房的比较价值（楼面单价，元/平方米）</v>
      </c>
      <c r="Q50" s="3753"/>
      <c r="R50" s="3754">
        <f>IF(F1="售价",ROUND(IF(D49="简单平均",AVERAGE(R49:V49),R49*F49+T49*H49+V49*J49),0),ROUND(IF(D49="简单平均",AVERAGE(R49:V49),R49*F49+T49*H49+V49*J49),1))</f>
        <v>3.6</v>
      </c>
      <c r="S50" s="3754"/>
      <c r="T50" s="3754"/>
      <c r="U50" s="3754"/>
      <c r="V50" s="3754"/>
      <c r="W50" s="3754"/>
      <c r="X50" s="1943"/>
      <c r="Y50" s="1943"/>
      <c r="Z50" s="1943"/>
      <c r="AA50" s="1943"/>
      <c r="AB50" s="1943"/>
      <c r="AC50" s="1944"/>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1793</v>
      </c>
      <c r="D53" s="447"/>
      <c r="E53" s="448">
        <f>IF(E48&lt;E49,E49/E48-1,E48/E49-1)</f>
        <v>2.941176470588247E-2</v>
      </c>
      <c r="F53" s="449" t="str">
        <f>IF(OR(E53&gt;=0.3,E53&lt;=-0.3),"超过30%","")</f>
        <v/>
      </c>
      <c r="G53" s="448">
        <f>IF(G48&lt;G49,G49/G48-1,G48/G49-1)</f>
        <v>8.1081081081080919E-2</v>
      </c>
      <c r="H53" s="449" t="str">
        <f>IF(OR(G53&gt;=0.3,G53&lt;=-0.3),"超过30%","")</f>
        <v/>
      </c>
      <c r="I53" s="448">
        <f>IF(I48&lt;I49,I49/I48-1,I48/I49-1)</f>
        <v>7.1428571428571397E-2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1794</v>
      </c>
      <c r="D54" s="450"/>
      <c r="E54" s="448">
        <f>IF(E49&lt;G49,G49/E49-1,E49/G49-1)</f>
        <v>8.8235294117647189E-2</v>
      </c>
      <c r="F54" s="449" t="str">
        <f>IF(OR(E54&gt;=0.2,E54&lt;=-0.2),"超过20%","")</f>
        <v/>
      </c>
      <c r="G54" s="448">
        <f>IF(G49&lt;I49,I49/G49-1,G49/I49-1)</f>
        <v>0.13513513513513509</v>
      </c>
      <c r="H54" s="449" t="str">
        <f>IF(OR(G54&gt;=0.2,G54&lt;=-0.2),"超过20%","")</f>
        <v/>
      </c>
      <c r="I54" s="448">
        <f>IF(I49&lt;E49,E49/I49-1,I49/E49-1)</f>
        <v>0.23529411764705888</v>
      </c>
      <c r="J54" s="449" t="str">
        <f>IF(OR(I54&gt;=0.2,I54&lt;=-0.2),"超过20%","")</f>
        <v>超过20%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1795</v>
      </c>
      <c r="D55" s="450"/>
      <c r="E55" s="448">
        <f>IF(E48&lt;G48,G48/E48-1,E48/G48-1)</f>
        <v>0.14285714285714279</v>
      </c>
      <c r="F55" s="449" t="str">
        <f>IF(OR(E55&gt;=0.3,E55&lt;=-0.3),"超过30%","")</f>
        <v/>
      </c>
      <c r="G55" s="448">
        <f>IF(G48&lt;I48,I48/G48-1,G48/I48-1)</f>
        <v>0.125</v>
      </c>
      <c r="H55" s="449" t="str">
        <f>IF(OR(G55&gt;=0.3,G55&lt;=-0.3),"超过30%","")</f>
        <v/>
      </c>
      <c r="I55" s="448">
        <f>IF(I48&lt;E48,E48/I48-1,I48/E48-1)</f>
        <v>0.28571428571428581</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3" t="s">
        <v>1796</v>
      </c>
      <c r="B58" s="689"/>
      <c r="C58" s="694"/>
      <c r="D58" s="694"/>
      <c r="E58" s="694"/>
      <c r="F58" s="695"/>
      <c r="G58" s="695"/>
      <c r="H58" s="694"/>
      <c r="I58" s="694"/>
      <c r="J58" s="694"/>
      <c r="K58" s="696"/>
      <c r="L58" s="941"/>
      <c r="M58" s="939"/>
      <c r="N58" s="2763"/>
      <c r="O58" s="2763"/>
      <c r="P58" s="2752"/>
      <c r="Q58" s="2733"/>
      <c r="R58" s="2719"/>
      <c r="S58" s="2719"/>
      <c r="T58" s="2719"/>
      <c r="U58" s="2719"/>
      <c r="V58" s="2719"/>
      <c r="W58" s="2719"/>
      <c r="X58" s="2719"/>
      <c r="Y58" s="2719"/>
      <c r="Z58" s="2719"/>
      <c r="AA58" s="2719"/>
      <c r="AB58" s="2719"/>
      <c r="AC58" s="2719"/>
    </row>
    <row r="59" spans="1:29" s="457" customFormat="1" ht="15">
      <c r="A59" s="454" t="s">
        <v>1677</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3"/>
      <c r="Q59" s="2735"/>
      <c r="R59" s="2735"/>
      <c r="S59" s="2735"/>
      <c r="T59" s="2735"/>
      <c r="U59" s="2735"/>
      <c r="V59" s="2735"/>
      <c r="W59" s="2735"/>
      <c r="X59" s="2735"/>
      <c r="Y59" s="2735"/>
      <c r="Z59" s="2735"/>
      <c r="AA59" s="2735"/>
      <c r="AB59" s="2735"/>
      <c r="AC59" s="2735"/>
    </row>
    <row r="60" spans="1:29" s="108" customFormat="1" ht="15">
      <c r="A60" s="458"/>
      <c r="B60" s="459"/>
      <c r="C60" s="1182">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1714</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1679</v>
      </c>
      <c r="B62" s="459"/>
      <c r="C62" s="471" t="s">
        <v>1774</v>
      </c>
      <c r="D62" s="3448" t="s">
        <v>3517</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102</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1717</v>
      </c>
      <c r="B64" s="477" t="s">
        <v>1683</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1686</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1688</v>
      </c>
      <c r="B77" s="477" t="s">
        <v>1819</v>
      </c>
      <c r="C77" s="522" t="s">
        <v>1719</v>
      </c>
      <c r="D77" s="522" t="s">
        <v>1720</v>
      </c>
      <c r="E77" s="522" t="s">
        <v>1721</v>
      </c>
      <c r="F77" s="522" t="s">
        <v>1722</v>
      </c>
      <c r="G77" s="522" t="s">
        <v>1723</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1724</v>
      </c>
      <c r="C79" s="527" t="s">
        <v>1719</v>
      </c>
      <c r="D79" s="527" t="s">
        <v>1720</v>
      </c>
      <c r="E79" s="527" t="s">
        <v>1721</v>
      </c>
      <c r="F79" s="527" t="s">
        <v>1722</v>
      </c>
      <c r="G79" s="527" t="s">
        <v>1723</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1725</v>
      </c>
      <c r="C81" s="527" t="s">
        <v>1719</v>
      </c>
      <c r="D81" s="527" t="s">
        <v>1720</v>
      </c>
      <c r="E81" s="527" t="s">
        <v>1721</v>
      </c>
      <c r="F81" s="527" t="s">
        <v>1722</v>
      </c>
      <c r="G81" s="527" t="s">
        <v>1723</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98</v>
      </c>
      <c r="E82" s="493">
        <f>D82-$K19</f>
        <v>96</v>
      </c>
      <c r="F82" s="493">
        <f>E82-$K19</f>
        <v>94</v>
      </c>
      <c r="G82" s="493">
        <f>F82-$K19</f>
        <v>92</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1811</v>
      </c>
      <c r="C83" s="607" t="s">
        <v>1797</v>
      </c>
      <c r="D83" s="607" t="s">
        <v>1798</v>
      </c>
      <c r="E83" s="607" t="s">
        <v>1799</v>
      </c>
      <c r="F83" s="607" t="s">
        <v>1800</v>
      </c>
      <c r="G83" s="607" t="s">
        <v>1801</v>
      </c>
      <c r="H83" s="488"/>
      <c r="I83" s="488"/>
      <c r="J83" s="488"/>
      <c r="K83" s="488"/>
      <c r="L83" s="488"/>
      <c r="M83" s="1128"/>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99</v>
      </c>
      <c r="E84" s="493">
        <f>D84-$K21</f>
        <v>98</v>
      </c>
      <c r="F84" s="493">
        <f>E84-$K21</f>
        <v>97</v>
      </c>
      <c r="G84" s="493">
        <f>F84-$K21</f>
        <v>96</v>
      </c>
      <c r="H84" s="607"/>
      <c r="I84" s="607"/>
      <c r="J84" s="607"/>
      <c r="K84" s="607"/>
      <c r="L84" s="607"/>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1820</v>
      </c>
      <c r="C85" s="527" t="s">
        <v>1719</v>
      </c>
      <c r="D85" s="527" t="s">
        <v>1720</v>
      </c>
      <c r="E85" s="527" t="s">
        <v>1721</v>
      </c>
      <c r="F85" s="527" t="s">
        <v>1722</v>
      </c>
      <c r="G85" s="527" t="s">
        <v>1723</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1821</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46" t="s">
        <v>3519</v>
      </c>
      <c r="D89" s="3446" t="s">
        <v>3520</v>
      </c>
      <c r="E89" s="3446" t="s">
        <v>3521</v>
      </c>
      <c r="F89" s="1924"/>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5"/>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1692</v>
      </c>
      <c r="B101" s="477" t="s">
        <v>1734</v>
      </c>
      <c r="C101" s="3451" t="s">
        <v>3523</v>
      </c>
      <c r="D101" s="3451" t="s">
        <v>3525</v>
      </c>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1735</v>
      </c>
      <c r="C103" s="527" t="str">
        <f>C104&amp;"(含)"&amp;"-"&amp;D104</f>
        <v>0(含)-10000</v>
      </c>
      <c r="D103" s="527" t="str">
        <f t="shared" ref="D103:L103" si="23">D104&amp;"(含)"&amp;"-"&amp;E104</f>
        <v>10000(含)-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10000</v>
      </c>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100</v>
      </c>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1736</v>
      </c>
      <c r="C106" s="3446" t="s">
        <v>3526</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1738</v>
      </c>
      <c r="C108" s="3446" t="s">
        <v>3527</v>
      </c>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1822</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1739</v>
      </c>
      <c r="C115" s="3446" t="s">
        <v>3528</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1740</v>
      </c>
      <c r="C117" s="503" t="str">
        <f>C83</f>
        <v>七通</v>
      </c>
      <c r="D117" s="503" t="str">
        <f>D83</f>
        <v>六通</v>
      </c>
      <c r="E117" s="503" t="str">
        <f>E83</f>
        <v>五通</v>
      </c>
      <c r="F117" s="503" t="str">
        <f>F83</f>
        <v>四通</v>
      </c>
      <c r="G117" s="503" t="str">
        <f>G83</f>
        <v>三通</v>
      </c>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3" t="s">
        <v>1823</v>
      </c>
      <c r="C119" s="532"/>
      <c r="D119" s="532"/>
      <c r="E119" s="532"/>
      <c r="F119" s="532"/>
      <c r="G119" s="532"/>
      <c r="H119" s="532"/>
      <c r="I119" s="532"/>
      <c r="J119" s="532"/>
      <c r="K119" s="532"/>
      <c r="L119" s="1965"/>
      <c r="M119" s="1966"/>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1806</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1742</v>
      </c>
      <c r="C123" s="3446" t="s">
        <v>3529</v>
      </c>
      <c r="D123" s="3446" t="s">
        <v>3530</v>
      </c>
      <c r="E123" s="3446" t="s">
        <v>3531</v>
      </c>
      <c r="F123" s="3447" t="s">
        <v>3532</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5"/>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受贵公司委托，我公司对北京市朝阳区日坛北路17号院1号楼7层728号房地产市场价值进行了预评估。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估价对象为北京市朝阳区日坛北路17号院1号楼7层728号房地产，为陈淼所有。根据《国有土地使用证》[]，估价对象（分摊）出让国有建设用地使用权面积为30.64平方米，建筑面积为120.57平方米。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日坛北路17号院1号楼7层728号房地产,属陈淼开发建设的办公项目，该项目尚在开发建设中。根据《国有土地使用证》[]，估价对象（分摊）出让国有建设用地使用权面积为30.64平方米，规划建筑面积为120.57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为估价委托人在向中国银行办理贷款手续过程中，确定房地产抵押贷款额度提供参考依据而评估房地产抵押价值。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2023年7月28日（评估专业人员实地查勘之日）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K44" sqref="K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4" t="s">
        <v>1824</v>
      </c>
      <c r="C1" s="1223" t="s">
        <v>1660</v>
      </c>
      <c r="D1" s="1224"/>
      <c r="E1" s="3427"/>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120.57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711" t="s">
        <v>1768</v>
      </c>
      <c r="D4" s="3712"/>
      <c r="E4" s="3713" t="s">
        <v>1769</v>
      </c>
      <c r="F4" s="3714"/>
      <c r="G4" s="3711" t="s">
        <v>1770</v>
      </c>
      <c r="H4" s="3712"/>
      <c r="I4" s="3711" t="s">
        <v>1771</v>
      </c>
      <c r="J4" s="3712"/>
      <c r="K4" s="559" t="s">
        <v>1772</v>
      </c>
      <c r="L4" s="912"/>
      <c r="M4" s="913"/>
      <c r="N4" s="913"/>
      <c r="O4" s="913"/>
      <c r="P4" s="3715" t="s">
        <v>1773</v>
      </c>
      <c r="Q4" s="3716"/>
      <c r="R4" s="3698" t="s">
        <v>1769</v>
      </c>
      <c r="S4" s="3699"/>
      <c r="T4" s="3698" t="s">
        <v>1770</v>
      </c>
      <c r="U4" s="3699"/>
      <c r="V4" s="3723" t="s">
        <v>1771</v>
      </c>
      <c r="W4" s="3723"/>
      <c r="X4" s="1354"/>
      <c r="Y4" s="3698" t="s">
        <v>1773</v>
      </c>
      <c r="Z4" s="3699"/>
      <c r="AA4" s="3693" t="s">
        <v>1769</v>
      </c>
      <c r="AB4" s="3694" t="s">
        <v>1770</v>
      </c>
      <c r="AC4" s="3693" t="s">
        <v>1771</v>
      </c>
    </row>
    <row r="5" spans="1:29" ht="15">
      <c r="A5" s="358"/>
      <c r="B5" s="359"/>
      <c r="C5" s="3704" t="s">
        <v>1671</v>
      </c>
      <c r="D5" s="3705"/>
      <c r="E5" s="3702" t="s">
        <v>1672</v>
      </c>
      <c r="F5" s="3703"/>
      <c r="G5" s="3704" t="s">
        <v>1673</v>
      </c>
      <c r="H5" s="3705"/>
      <c r="I5" s="3704" t="s">
        <v>1674</v>
      </c>
      <c r="J5" s="3705"/>
      <c r="K5" s="559"/>
      <c r="L5" s="912"/>
      <c r="M5" s="913"/>
      <c r="N5" s="913"/>
      <c r="O5" s="913"/>
      <c r="P5" s="3717"/>
      <c r="Q5" s="3718"/>
      <c r="R5" s="3700"/>
      <c r="S5" s="3701"/>
      <c r="T5" s="3700"/>
      <c r="U5" s="3701"/>
      <c r="V5" s="3723"/>
      <c r="W5" s="3723"/>
      <c r="X5" s="1354"/>
      <c r="Y5" s="3700"/>
      <c r="Z5" s="3701"/>
      <c r="AA5" s="3694"/>
      <c r="AB5" s="3694"/>
      <c r="AC5" s="3694"/>
    </row>
    <row r="6" spans="1:29" ht="15.75" thickBot="1">
      <c r="A6" s="360"/>
      <c r="B6" s="361"/>
      <c r="C6" s="3706" t="s">
        <v>1675</v>
      </c>
      <c r="D6" s="3707"/>
      <c r="E6" s="3708" t="s">
        <v>1675</v>
      </c>
      <c r="F6" s="3709"/>
      <c r="G6" s="3706" t="s">
        <v>1675</v>
      </c>
      <c r="H6" s="3707"/>
      <c r="I6" s="3706" t="s">
        <v>1675</v>
      </c>
      <c r="J6" s="3707"/>
      <c r="K6" s="559" t="s">
        <v>1676</v>
      </c>
      <c r="L6" s="912"/>
      <c r="M6" s="913"/>
      <c r="N6" s="913"/>
      <c r="O6" s="913"/>
      <c r="P6" s="3719"/>
      <c r="Q6" s="3720"/>
      <c r="R6" s="3700"/>
      <c r="S6" s="3701"/>
      <c r="T6" s="3721"/>
      <c r="U6" s="3722"/>
      <c r="V6" s="3723"/>
      <c r="W6" s="3723"/>
      <c r="X6" s="1354"/>
      <c r="Y6" s="3721"/>
      <c r="Z6" s="3722"/>
      <c r="AA6" s="3695"/>
      <c r="AB6" s="3695"/>
      <c r="AC6" s="3695"/>
    </row>
    <row r="7" spans="1:29" s="108" customFormat="1" ht="15.75" thickBot="1">
      <c r="A7" s="362" t="s">
        <v>1677</v>
      </c>
      <c r="B7" s="363"/>
      <c r="C7" s="364">
        <f>'数据-取费表'!B2</f>
        <v>45135</v>
      </c>
      <c r="D7" s="365">
        <v>100</v>
      </c>
      <c r="E7" s="366"/>
      <c r="F7" s="367">
        <f>SUMIF(52:52,YEAR(E7)&amp;"-"&amp;MONTH(E7),53:53)</f>
        <v>0</v>
      </c>
      <c r="G7" s="366"/>
      <c r="H7" s="365">
        <f>SUMIF(52:52,YEAR(G7)&amp;"-"&amp;MONTH(G7),53:53)</f>
        <v>0</v>
      </c>
      <c r="I7" s="366"/>
      <c r="J7" s="365">
        <f>SUMIF(52:52,YEAR(I7)&amp;"-"&amp;MONTH(I7),53:53)</f>
        <v>0</v>
      </c>
      <c r="K7" s="560"/>
      <c r="L7" s="914"/>
      <c r="M7" s="915"/>
      <c r="N7" s="915"/>
      <c r="O7" s="915"/>
      <c r="P7" s="3696" t="s">
        <v>1678</v>
      </c>
      <c r="Q7" s="3724"/>
      <c r="R7" s="700" t="s">
        <v>14</v>
      </c>
      <c r="S7" s="701">
        <f t="shared" ref="S7:S15" si="0">F7</f>
        <v>0</v>
      </c>
      <c r="T7" s="700" t="s">
        <v>14</v>
      </c>
      <c r="U7" s="701">
        <f t="shared" ref="U7:U15" si="1">H7</f>
        <v>0</v>
      </c>
      <c r="V7" s="700" t="s">
        <v>14</v>
      </c>
      <c r="W7" s="701">
        <f t="shared" ref="W7:W15" si="2">J7</f>
        <v>0</v>
      </c>
      <c r="X7" s="702"/>
      <c r="Y7" s="3696" t="s">
        <v>1678</v>
      </c>
      <c r="Z7" s="3697"/>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6" t="s">
        <v>1681</v>
      </c>
      <c r="Q8" s="3697"/>
      <c r="R8" s="700" t="s">
        <v>14</v>
      </c>
      <c r="S8" s="701">
        <f t="shared" si="0"/>
        <v>100</v>
      </c>
      <c r="T8" s="700" t="s">
        <v>14</v>
      </c>
      <c r="U8" s="701">
        <f t="shared" si="1"/>
        <v>100</v>
      </c>
      <c r="V8" s="700" t="s">
        <v>14</v>
      </c>
      <c r="W8" s="701">
        <f t="shared" si="2"/>
        <v>100</v>
      </c>
      <c r="X8" s="702"/>
      <c r="Y8" s="3696" t="s">
        <v>1681</v>
      </c>
      <c r="Z8" s="3697"/>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28" t="s">
        <v>1684</v>
      </c>
      <c r="Q9" s="1342" t="str">
        <f t="shared" ref="Q9:Q15" si="6">B9</f>
        <v>用途</v>
      </c>
      <c r="R9" s="700" t="s">
        <v>14</v>
      </c>
      <c r="S9" s="701">
        <f t="shared" si="0"/>
        <v>100</v>
      </c>
      <c r="T9" s="700" t="s">
        <v>14</v>
      </c>
      <c r="U9" s="701">
        <f t="shared" si="1"/>
        <v>100</v>
      </c>
      <c r="V9" s="700" t="s">
        <v>14</v>
      </c>
      <c r="W9" s="701">
        <f t="shared" si="2"/>
        <v>100</v>
      </c>
      <c r="X9" s="702"/>
      <c r="Y9" s="3621" t="s">
        <v>1685</v>
      </c>
      <c r="Z9" s="52" t="str">
        <f t="shared" ref="Z9:Z15" si="7">Q9</f>
        <v>用途</v>
      </c>
      <c r="AA9" s="703">
        <f t="shared" si="3"/>
        <v>1</v>
      </c>
      <c r="AB9" s="703">
        <f t="shared" si="4"/>
        <v>1</v>
      </c>
      <c r="AC9" s="703">
        <f t="shared" si="5"/>
        <v>1</v>
      </c>
    </row>
    <row r="10" spans="1:29" s="378" customFormat="1" ht="27">
      <c r="A10" s="374"/>
      <c r="B10" s="375" t="s">
        <v>1686</v>
      </c>
      <c r="C10" s="3428"/>
      <c r="D10" s="127">
        <v>100</v>
      </c>
      <c r="E10" s="3428"/>
      <c r="F10" s="127">
        <f>SUMIF(59:59,E10,60:60)-SUMIF(59:59,C10,60:60)+100</f>
        <v>100</v>
      </c>
      <c r="G10" s="3429"/>
      <c r="H10" s="127">
        <f>SUMIF(59:59,G10,60:60)-SUMIF(59:59,C10,60:60)+100</f>
        <v>100</v>
      </c>
      <c r="I10" s="3428"/>
      <c r="J10" s="127">
        <f>SUMIF(59:59,I10,60:60)-SUMIF(59:59,C10,60:60)+100</f>
        <v>100</v>
      </c>
      <c r="K10" s="560"/>
      <c r="L10" s="917"/>
      <c r="M10" s="918"/>
      <c r="N10" s="918"/>
      <c r="O10" s="919"/>
      <c r="P10" s="3728"/>
      <c r="Q10" s="1342"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28"/>
      <c r="Q11" s="1342" t="str">
        <f t="shared" si="6"/>
        <v>容积率</v>
      </c>
      <c r="R11" s="700" t="s">
        <v>14</v>
      </c>
      <c r="S11" s="701">
        <f t="shared" si="0"/>
        <v>100</v>
      </c>
      <c r="T11" s="700" t="s">
        <v>14</v>
      </c>
      <c r="U11" s="701">
        <f t="shared" si="1"/>
        <v>100</v>
      </c>
      <c r="V11" s="700" t="s">
        <v>14</v>
      </c>
      <c r="W11" s="701">
        <f t="shared" si="2"/>
        <v>100</v>
      </c>
      <c r="X11" s="702"/>
      <c r="Y11" s="3621"/>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4"/>
      <c r="M12" s="915"/>
      <c r="N12" s="915"/>
      <c r="O12" s="916"/>
      <c r="P12" s="3728"/>
      <c r="Q12" s="1342">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2"/>
      <c r="M13" s="913"/>
      <c r="N13" s="913"/>
      <c r="O13" s="921"/>
      <c r="P13" s="3728"/>
      <c r="Q13" s="1342">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2"/>
      <c r="M14" s="913"/>
      <c r="N14" s="913"/>
      <c r="O14" s="921"/>
      <c r="P14" s="3728"/>
      <c r="Q14" s="1342">
        <f t="shared" si="6"/>
        <v>111</v>
      </c>
      <c r="R14" s="700" t="s">
        <v>14</v>
      </c>
      <c r="S14" s="701">
        <f t="shared" si="0"/>
        <v>100</v>
      </c>
      <c r="T14" s="700" t="s">
        <v>14</v>
      </c>
      <c r="U14" s="701">
        <f t="shared" si="1"/>
        <v>100</v>
      </c>
      <c r="V14" s="700" t="s">
        <v>14</v>
      </c>
      <c r="W14" s="701">
        <f t="shared" si="2"/>
        <v>100</v>
      </c>
      <c r="X14" s="702"/>
      <c r="Y14" s="3621"/>
      <c r="Z14" s="52">
        <f t="shared" si="7"/>
        <v>111</v>
      </c>
      <c r="AA14" s="703">
        <f t="shared" si="3"/>
        <v>1</v>
      </c>
      <c r="AB14" s="703">
        <f t="shared" si="4"/>
        <v>1</v>
      </c>
      <c r="AC14" s="703">
        <f t="shared" si="5"/>
        <v>1</v>
      </c>
    </row>
    <row r="15" spans="1:29" ht="15">
      <c r="A15" s="391" t="s">
        <v>1688</v>
      </c>
      <c r="B15" s="61" t="s">
        <v>1825</v>
      </c>
      <c r="C15" s="1968"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30" t="s">
        <v>1689</v>
      </c>
      <c r="Q15" s="1351" t="str">
        <f t="shared" si="6"/>
        <v>产业集聚程度</v>
      </c>
      <c r="R15" s="704" t="s">
        <v>14</v>
      </c>
      <c r="S15" s="705">
        <f t="shared" si="0"/>
        <v>100</v>
      </c>
      <c r="T15" s="704" t="s">
        <v>14</v>
      </c>
      <c r="U15" s="705">
        <f t="shared" si="1"/>
        <v>100</v>
      </c>
      <c r="V15" s="704" t="s">
        <v>14</v>
      </c>
      <c r="W15" s="705">
        <f t="shared" si="2"/>
        <v>100</v>
      </c>
      <c r="X15" s="1354"/>
      <c r="Y15" s="3730" t="s">
        <v>1689</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31"/>
      <c r="Q16" s="1351"/>
      <c r="R16" s="704"/>
      <c r="S16" s="705"/>
      <c r="T16" s="704"/>
      <c r="U16" s="705"/>
      <c r="V16" s="704"/>
      <c r="W16" s="705"/>
      <c r="X16" s="1354"/>
      <c r="Y16" s="3731"/>
      <c r="Z16" s="1355"/>
      <c r="AA16" s="1352">
        <v>1</v>
      </c>
      <c r="AB16" s="1352">
        <v>1</v>
      </c>
      <c r="AC16" s="1352">
        <v>1</v>
      </c>
    </row>
    <row r="17" spans="1:29" ht="15">
      <c r="A17" s="379"/>
      <c r="B17" s="402" t="s">
        <v>1257</v>
      </c>
      <c r="C17" s="1899"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31"/>
      <c r="Q17" s="1351" t="str">
        <f>B17</f>
        <v>交通便捷度</v>
      </c>
      <c r="R17" s="704" t="s">
        <v>14</v>
      </c>
      <c r="S17" s="705">
        <f>F17</f>
        <v>100</v>
      </c>
      <c r="T17" s="704" t="s">
        <v>14</v>
      </c>
      <c r="U17" s="705">
        <f>H17</f>
        <v>100</v>
      </c>
      <c r="V17" s="704" t="s">
        <v>14</v>
      </c>
      <c r="W17" s="705">
        <f>J17</f>
        <v>100</v>
      </c>
      <c r="X17" s="1354"/>
      <c r="Y17" s="373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31"/>
      <c r="Q18" s="1351"/>
      <c r="R18" s="704"/>
      <c r="S18" s="705"/>
      <c r="T18" s="704"/>
      <c r="U18" s="705"/>
      <c r="V18" s="704"/>
      <c r="W18" s="705"/>
      <c r="X18" s="1354"/>
      <c r="Y18" s="3731"/>
      <c r="Z18" s="1355"/>
      <c r="AA18" s="1352">
        <v>1</v>
      </c>
      <c r="AB18" s="1352">
        <v>1</v>
      </c>
      <c r="AC18" s="1352">
        <v>1</v>
      </c>
    </row>
    <row r="19" spans="1:29" ht="15">
      <c r="A19" s="379"/>
      <c r="B19" s="402" t="s">
        <v>1810</v>
      </c>
      <c r="C19" s="1899"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31"/>
      <c r="Q19" s="1351" t="str">
        <f>B19</f>
        <v>公共配套设施</v>
      </c>
      <c r="R19" s="704" t="s">
        <v>14</v>
      </c>
      <c r="S19" s="705">
        <f>F19</f>
        <v>100</v>
      </c>
      <c r="T19" s="704" t="s">
        <v>14</v>
      </c>
      <c r="U19" s="705">
        <f>H19</f>
        <v>100</v>
      </c>
      <c r="V19" s="704" t="s">
        <v>14</v>
      </c>
      <c r="W19" s="705">
        <f>J19</f>
        <v>100</v>
      </c>
      <c r="X19" s="1354"/>
      <c r="Y19" s="373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31"/>
      <c r="Q20" s="1351"/>
      <c r="R20" s="704"/>
      <c r="S20" s="705"/>
      <c r="T20" s="704"/>
      <c r="U20" s="705"/>
      <c r="V20" s="704"/>
      <c r="W20" s="705"/>
      <c r="X20" s="1354"/>
      <c r="Y20" s="3731"/>
      <c r="Z20" s="1355"/>
      <c r="AA20" s="1352">
        <v>1</v>
      </c>
      <c r="AB20" s="1352">
        <v>1</v>
      </c>
      <c r="AC20" s="1352">
        <v>1</v>
      </c>
    </row>
    <row r="21" spans="1:29" ht="15">
      <c r="A21" s="379"/>
      <c r="B21" s="1130" t="s">
        <v>1811</v>
      </c>
      <c r="C21" s="1899"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31"/>
      <c r="Q21" s="1351" t="str">
        <f>B21</f>
        <v>基础设施水平</v>
      </c>
      <c r="R21" s="704" t="s">
        <v>14</v>
      </c>
      <c r="S21" s="705">
        <f>F21</f>
        <v>100</v>
      </c>
      <c r="T21" s="704" t="s">
        <v>14</v>
      </c>
      <c r="U21" s="705">
        <f>H21</f>
        <v>100</v>
      </c>
      <c r="V21" s="704" t="s">
        <v>14</v>
      </c>
      <c r="W21" s="705">
        <f>J21</f>
        <v>100</v>
      </c>
      <c r="X21" s="1354"/>
      <c r="Y21" s="373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31"/>
      <c r="Q22" s="1351"/>
      <c r="R22" s="704"/>
      <c r="S22" s="705"/>
      <c r="T22" s="704"/>
      <c r="U22" s="705"/>
      <c r="V22" s="704"/>
      <c r="W22" s="705"/>
      <c r="X22" s="1354"/>
      <c r="Y22" s="3731"/>
      <c r="Z22" s="1355"/>
      <c r="AA22" s="1352">
        <v>1</v>
      </c>
      <c r="AB22" s="1352">
        <v>1</v>
      </c>
      <c r="AC22" s="1352">
        <v>1</v>
      </c>
    </row>
    <row r="23" spans="1:29" ht="15">
      <c r="A23" s="379"/>
      <c r="B23" s="402" t="s">
        <v>1812</v>
      </c>
      <c r="C23" s="1899"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31"/>
      <c r="Q23" s="1351" t="str">
        <f>B23</f>
        <v>环境质量</v>
      </c>
      <c r="R23" s="704" t="s">
        <v>14</v>
      </c>
      <c r="S23" s="705">
        <f>F23</f>
        <v>100</v>
      </c>
      <c r="T23" s="704" t="s">
        <v>14</v>
      </c>
      <c r="U23" s="705">
        <f>H23</f>
        <v>100</v>
      </c>
      <c r="V23" s="704" t="s">
        <v>14</v>
      </c>
      <c r="W23" s="705">
        <f>J23</f>
        <v>100</v>
      </c>
      <c r="X23" s="1354"/>
      <c r="Y23" s="3731"/>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31"/>
      <c r="Q24" s="1351"/>
      <c r="R24" s="704"/>
      <c r="S24" s="705"/>
      <c r="T24" s="704"/>
      <c r="U24" s="705"/>
      <c r="V24" s="704"/>
      <c r="W24" s="705"/>
      <c r="X24" s="1354"/>
      <c r="Y24" s="3731"/>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31"/>
      <c r="Q25" s="1351">
        <f>B25</f>
        <v>111</v>
      </c>
      <c r="R25" s="704" t="s">
        <v>14</v>
      </c>
      <c r="S25" s="705">
        <f>F25</f>
        <v>100</v>
      </c>
      <c r="T25" s="704" t="s">
        <v>14</v>
      </c>
      <c r="U25" s="705">
        <f>H25</f>
        <v>100</v>
      </c>
      <c r="V25" s="704" t="s">
        <v>14</v>
      </c>
      <c r="W25" s="705">
        <f>J25</f>
        <v>100</v>
      </c>
      <c r="X25" s="1354"/>
      <c r="Y25" s="3731"/>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31"/>
      <c r="Q26" s="1351">
        <f t="shared" ref="Q26:Q40" si="11">B26</f>
        <v>111</v>
      </c>
      <c r="R26" s="704" t="s">
        <v>14</v>
      </c>
      <c r="S26" s="705">
        <f>F26</f>
        <v>100</v>
      </c>
      <c r="T26" s="704" t="s">
        <v>14</v>
      </c>
      <c r="U26" s="705">
        <f>H26</f>
        <v>100</v>
      </c>
      <c r="V26" s="704" t="s">
        <v>14</v>
      </c>
      <c r="W26" s="705">
        <f>J26</f>
        <v>100</v>
      </c>
      <c r="X26" s="1354"/>
      <c r="Y26" s="3731"/>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31"/>
      <c r="Q27" s="1342">
        <f t="shared" si="11"/>
        <v>111</v>
      </c>
      <c r="R27" s="700" t="s">
        <v>14</v>
      </c>
      <c r="S27" s="701">
        <f>F27</f>
        <v>100</v>
      </c>
      <c r="T27" s="700" t="s">
        <v>14</v>
      </c>
      <c r="U27" s="701">
        <f>H27</f>
        <v>100</v>
      </c>
      <c r="V27" s="700" t="s">
        <v>14</v>
      </c>
      <c r="W27" s="701">
        <f>J27</f>
        <v>100</v>
      </c>
      <c r="X27" s="702"/>
      <c r="Y27" s="3731"/>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31"/>
      <c r="Q28" s="1351">
        <f t="shared" si="11"/>
        <v>111</v>
      </c>
      <c r="R28" s="704" t="s">
        <v>14</v>
      </c>
      <c r="S28" s="705">
        <f t="shared" ref="S28:S40" si="12">F28</f>
        <v>100</v>
      </c>
      <c r="T28" s="704" t="s">
        <v>14</v>
      </c>
      <c r="U28" s="705">
        <f t="shared" ref="U28:U40" si="13">H28</f>
        <v>100</v>
      </c>
      <c r="V28" s="704" t="s">
        <v>14</v>
      </c>
      <c r="W28" s="705">
        <f t="shared" ref="W28:W40" si="14">J28</f>
        <v>100</v>
      </c>
      <c r="X28" s="1354"/>
      <c r="Y28" s="3731"/>
      <c r="Z28" s="1355">
        <f t="shared" ref="Z28:Z40" si="15">Q28</f>
        <v>111</v>
      </c>
      <c r="AA28" s="1352">
        <f t="shared" si="3"/>
        <v>1</v>
      </c>
      <c r="AB28" s="1352">
        <f t="shared" si="4"/>
        <v>1</v>
      </c>
      <c r="AC28" s="1352">
        <f t="shared" si="5"/>
        <v>1</v>
      </c>
    </row>
    <row r="29" spans="1:29" ht="28.5">
      <c r="A29" s="417" t="s">
        <v>1692</v>
      </c>
      <c r="B29" s="63" t="s">
        <v>1815</v>
      </c>
      <c r="C29" s="1964"/>
      <c r="D29" s="418">
        <v>100</v>
      </c>
      <c r="E29" s="1964"/>
      <c r="F29" s="412">
        <f>SUMIF(88:88,E29,89:89)-SUMIF(88:88,C29,89:89)+100</f>
        <v>100</v>
      </c>
      <c r="G29" s="1964"/>
      <c r="H29" s="386">
        <f>SUMIF(88:88,G29,89:89)-SUMIF(88:88,C29,89:89)+100</f>
        <v>100</v>
      </c>
      <c r="I29" s="1964"/>
      <c r="J29" s="418">
        <f>SUMIF(88:88,I29,89:89)-SUMIF(88:88,C29,89:89)+100</f>
        <v>100</v>
      </c>
      <c r="K29" s="561"/>
      <c r="L29" s="922"/>
      <c r="M29" s="913"/>
      <c r="N29" s="913"/>
      <c r="O29" s="921"/>
      <c r="P29" s="3755" t="s">
        <v>1694</v>
      </c>
      <c r="Q29" s="1351" t="str">
        <f t="shared" si="11"/>
        <v>建筑类型</v>
      </c>
      <c r="R29" s="704" t="s">
        <v>14</v>
      </c>
      <c r="S29" s="705">
        <f t="shared" si="12"/>
        <v>100</v>
      </c>
      <c r="T29" s="704" t="s">
        <v>14</v>
      </c>
      <c r="U29" s="705">
        <f t="shared" si="13"/>
        <v>100</v>
      </c>
      <c r="V29" s="704" t="s">
        <v>14</v>
      </c>
      <c r="W29" s="705">
        <f t="shared" si="14"/>
        <v>100</v>
      </c>
      <c r="X29" s="1354"/>
      <c r="Y29" s="3735" t="s">
        <v>1694</v>
      </c>
      <c r="Z29" s="1355" t="str">
        <f t="shared" si="15"/>
        <v>建筑类型</v>
      </c>
      <c r="AA29" s="1352">
        <f t="shared" si="3"/>
        <v>1</v>
      </c>
      <c r="AB29" s="1352">
        <f t="shared" si="4"/>
        <v>1</v>
      </c>
      <c r="AC29" s="1352">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35"/>
      <c r="Q30" s="706" t="str">
        <f t="shared" si="11"/>
        <v>项目建筑规模</v>
      </c>
      <c r="R30" s="707" t="s">
        <v>14</v>
      </c>
      <c r="S30" s="708" t="e">
        <f t="shared" si="12"/>
        <v>#N/A</v>
      </c>
      <c r="T30" s="707" t="s">
        <v>14</v>
      </c>
      <c r="U30" s="708" t="e">
        <f t="shared" si="13"/>
        <v>#N/A</v>
      </c>
      <c r="V30" s="707" t="s">
        <v>14</v>
      </c>
      <c r="W30" s="708" t="e">
        <f t="shared" si="14"/>
        <v>#N/A</v>
      </c>
      <c r="X30" s="709"/>
      <c r="Y30" s="3735"/>
      <c r="Z30" s="710" t="str">
        <f t="shared" si="15"/>
        <v>项目建筑规模</v>
      </c>
      <c r="AA30" s="1352" t="e">
        <f t="shared" si="3"/>
        <v>#N/A</v>
      </c>
      <c r="AB30" s="1352" t="e">
        <f t="shared" si="4"/>
        <v>#N/A</v>
      </c>
      <c r="AC30" s="1352"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35"/>
      <c r="Q31" s="1351" t="str">
        <f t="shared" si="11"/>
        <v>建筑结构</v>
      </c>
      <c r="R31" s="704" t="s">
        <v>14</v>
      </c>
      <c r="S31" s="705">
        <f t="shared" si="12"/>
        <v>100</v>
      </c>
      <c r="T31" s="704" t="s">
        <v>14</v>
      </c>
      <c r="U31" s="705">
        <f t="shared" si="13"/>
        <v>100</v>
      </c>
      <c r="V31" s="704" t="s">
        <v>14</v>
      </c>
      <c r="W31" s="705">
        <f t="shared" si="14"/>
        <v>100</v>
      </c>
      <c r="X31" s="1354"/>
      <c r="Y31" s="3735"/>
      <c r="Z31" s="1355" t="str">
        <f t="shared" si="15"/>
        <v>建筑结构</v>
      </c>
      <c r="AA31" s="1352">
        <f t="shared" si="3"/>
        <v>1</v>
      </c>
      <c r="AB31" s="1352">
        <f t="shared" si="4"/>
        <v>1</v>
      </c>
      <c r="AC31" s="1352">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35"/>
      <c r="Q32" s="1351" t="str">
        <f t="shared" si="11"/>
        <v>公共部分装修</v>
      </c>
      <c r="R32" s="704" t="s">
        <v>14</v>
      </c>
      <c r="S32" s="705">
        <f t="shared" si="12"/>
        <v>100</v>
      </c>
      <c r="T32" s="704" t="s">
        <v>14</v>
      </c>
      <c r="U32" s="705">
        <f t="shared" si="13"/>
        <v>100</v>
      </c>
      <c r="V32" s="704" t="s">
        <v>14</v>
      </c>
      <c r="W32" s="705">
        <f t="shared" si="14"/>
        <v>100</v>
      </c>
      <c r="X32" s="1354"/>
      <c r="Y32" s="3735"/>
      <c r="Z32" s="1355" t="str">
        <f t="shared" si="15"/>
        <v>公共部分装修</v>
      </c>
      <c r="AA32" s="1352">
        <f t="shared" si="3"/>
        <v>1</v>
      </c>
      <c r="AB32" s="1352">
        <f t="shared" si="4"/>
        <v>1</v>
      </c>
      <c r="AC32" s="1352">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35"/>
      <c r="Q33" s="1351" t="str">
        <f t="shared" si="11"/>
        <v>成新度</v>
      </c>
      <c r="R33" s="704" t="s">
        <v>14</v>
      </c>
      <c r="S33" s="705" t="e">
        <f t="shared" si="12"/>
        <v>#N/A</v>
      </c>
      <c r="T33" s="704" t="s">
        <v>14</v>
      </c>
      <c r="U33" s="705" t="e">
        <f t="shared" si="13"/>
        <v>#N/A</v>
      </c>
      <c r="V33" s="704" t="s">
        <v>14</v>
      </c>
      <c r="W33" s="705" t="e">
        <f t="shared" si="14"/>
        <v>#N/A</v>
      </c>
      <c r="X33" s="1354"/>
      <c r="Y33" s="3735"/>
      <c r="Z33" s="1355" t="str">
        <f t="shared" si="15"/>
        <v>成新度</v>
      </c>
      <c r="AA33" s="1352" t="e">
        <f t="shared" si="3"/>
        <v>#N/A</v>
      </c>
      <c r="AB33" s="1352" t="e">
        <f t="shared" si="4"/>
        <v>#N/A</v>
      </c>
      <c r="AC33" s="1352"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35"/>
      <c r="Q34" s="1342" t="str">
        <f t="shared" si="11"/>
        <v>物业管理</v>
      </c>
      <c r="R34" s="700" t="s">
        <v>14</v>
      </c>
      <c r="S34" s="701">
        <f t="shared" si="12"/>
        <v>100</v>
      </c>
      <c r="T34" s="700" t="s">
        <v>14</v>
      </c>
      <c r="U34" s="701">
        <f t="shared" si="13"/>
        <v>100</v>
      </c>
      <c r="V34" s="700" t="s">
        <v>14</v>
      </c>
      <c r="W34" s="701">
        <f t="shared" si="14"/>
        <v>100</v>
      </c>
      <c r="X34" s="702"/>
      <c r="Y34" s="3735"/>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35" t="s">
        <v>1694</v>
      </c>
      <c r="Q35" s="1351" t="str">
        <f t="shared" si="11"/>
        <v>市政基础设施</v>
      </c>
      <c r="R35" s="704" t="s">
        <v>14</v>
      </c>
      <c r="S35" s="705">
        <f t="shared" si="12"/>
        <v>100</v>
      </c>
      <c r="T35" s="704" t="s">
        <v>14</v>
      </c>
      <c r="U35" s="705">
        <f t="shared" si="13"/>
        <v>100</v>
      </c>
      <c r="V35" s="704" t="s">
        <v>14</v>
      </c>
      <c r="W35" s="705">
        <f t="shared" si="14"/>
        <v>100</v>
      </c>
      <c r="X35" s="1354"/>
      <c r="Y35" s="3735" t="s">
        <v>1694</v>
      </c>
      <c r="Z35" s="1355" t="str">
        <f t="shared" si="15"/>
        <v>市政基础设施</v>
      </c>
      <c r="AA35" s="1352">
        <f t="shared" si="3"/>
        <v>1</v>
      </c>
      <c r="AB35" s="1352">
        <f t="shared" si="4"/>
        <v>1</v>
      </c>
      <c r="AC35" s="1352">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35"/>
      <c r="Q36" s="1351" t="str">
        <f t="shared" si="11"/>
        <v>内部装修</v>
      </c>
      <c r="R36" s="704" t="s">
        <v>14</v>
      </c>
      <c r="S36" s="705">
        <f t="shared" si="12"/>
        <v>100</v>
      </c>
      <c r="T36" s="704" t="s">
        <v>14</v>
      </c>
      <c r="U36" s="705">
        <f t="shared" si="13"/>
        <v>100</v>
      </c>
      <c r="V36" s="704" t="s">
        <v>14</v>
      </c>
      <c r="W36" s="705">
        <f t="shared" si="14"/>
        <v>100</v>
      </c>
      <c r="X36" s="1354"/>
      <c r="Y36" s="3735"/>
      <c r="Z36" s="1355" t="str">
        <f t="shared" si="15"/>
        <v>内部装修</v>
      </c>
      <c r="AA36" s="1352">
        <f t="shared" si="3"/>
        <v>1</v>
      </c>
      <c r="AB36" s="1352">
        <f t="shared" si="4"/>
        <v>1</v>
      </c>
      <c r="AC36" s="1352">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35"/>
      <c r="Q37" s="1351" t="str">
        <f t="shared" si="11"/>
        <v>内部装修状况</v>
      </c>
      <c r="R37" s="704" t="s">
        <v>14</v>
      </c>
      <c r="S37" s="705">
        <f t="shared" si="12"/>
        <v>100</v>
      </c>
      <c r="T37" s="704" t="s">
        <v>14</v>
      </c>
      <c r="U37" s="705">
        <f t="shared" si="13"/>
        <v>100</v>
      </c>
      <c r="V37" s="704" t="s">
        <v>14</v>
      </c>
      <c r="W37" s="705">
        <f t="shared" si="14"/>
        <v>100</v>
      </c>
      <c r="X37" s="1354"/>
      <c r="Y37" s="3735"/>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35"/>
      <c r="Q38" s="706">
        <f t="shared" si="11"/>
        <v>111</v>
      </c>
      <c r="R38" s="707" t="s">
        <v>14</v>
      </c>
      <c r="S38" s="708">
        <f t="shared" si="12"/>
        <v>100</v>
      </c>
      <c r="T38" s="707" t="s">
        <v>14</v>
      </c>
      <c r="U38" s="708">
        <f t="shared" si="13"/>
        <v>100</v>
      </c>
      <c r="V38" s="707" t="s">
        <v>14</v>
      </c>
      <c r="W38" s="708">
        <f t="shared" si="14"/>
        <v>100</v>
      </c>
      <c r="X38" s="709"/>
      <c r="Y38" s="3735"/>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35"/>
      <c r="Q39" s="1351">
        <f t="shared" si="11"/>
        <v>111</v>
      </c>
      <c r="R39" s="704" t="s">
        <v>14</v>
      </c>
      <c r="S39" s="705">
        <f t="shared" si="12"/>
        <v>100</v>
      </c>
      <c r="T39" s="704" t="s">
        <v>14</v>
      </c>
      <c r="U39" s="705">
        <f t="shared" si="13"/>
        <v>100</v>
      </c>
      <c r="V39" s="704" t="s">
        <v>14</v>
      </c>
      <c r="W39" s="705">
        <f t="shared" si="14"/>
        <v>100</v>
      </c>
      <c r="X39" s="1354"/>
      <c r="Y39" s="373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36"/>
      <c r="Q40" s="1351">
        <f t="shared" si="11"/>
        <v>111</v>
      </c>
      <c r="R40" s="704" t="s">
        <v>14</v>
      </c>
      <c r="S40" s="705">
        <f t="shared" si="12"/>
        <v>100</v>
      </c>
      <c r="T40" s="704" t="s">
        <v>14</v>
      </c>
      <c r="U40" s="705">
        <f t="shared" si="13"/>
        <v>100</v>
      </c>
      <c r="V40" s="704" t="s">
        <v>14</v>
      </c>
      <c r="W40" s="705">
        <f t="shared" si="14"/>
        <v>100</v>
      </c>
      <c r="X40" s="1354"/>
      <c r="Y40" s="3736"/>
      <c r="Z40" s="1355">
        <f t="shared" si="15"/>
        <v>111</v>
      </c>
      <c r="AA40" s="1352">
        <f t="shared" si="3"/>
        <v>1</v>
      </c>
      <c r="AB40" s="1352">
        <f t="shared" si="4"/>
        <v>1</v>
      </c>
      <c r="AC40" s="1352">
        <f t="shared" si="5"/>
        <v>1</v>
      </c>
    </row>
    <row r="41" spans="1:29" ht="15">
      <c r="A41" s="430" t="s">
        <v>1706</v>
      </c>
      <c r="B41" s="431"/>
      <c r="C41" s="1153" t="s">
        <v>0</v>
      </c>
      <c r="D41" s="1154"/>
      <c r="E41" s="1155"/>
      <c r="F41" s="1156"/>
      <c r="G41" s="1157"/>
      <c r="H41" s="1158"/>
      <c r="I41" s="1155"/>
      <c r="J41" s="1158"/>
      <c r="K41" s="713"/>
      <c r="L41" s="925"/>
      <c r="M41" s="926"/>
      <c r="N41" s="913"/>
      <c r="O41" s="926"/>
      <c r="P41" s="3728" t="str">
        <f>A41</f>
        <v>成交单价（元/平方米）</v>
      </c>
      <c r="Q41" s="3728"/>
      <c r="R41" s="3729">
        <f>E41</f>
        <v>0</v>
      </c>
      <c r="S41" s="3729"/>
      <c r="T41" s="3729">
        <f>G41</f>
        <v>0</v>
      </c>
      <c r="U41" s="3729"/>
      <c r="V41" s="3729">
        <f>I41</f>
        <v>0</v>
      </c>
      <c r="W41" s="3729"/>
      <c r="X41" s="689"/>
      <c r="Y41" s="711"/>
      <c r="Z41" s="689"/>
      <c r="AA41" s="689"/>
      <c r="AB41" s="689"/>
      <c r="AC41" s="689"/>
    </row>
    <row r="42" spans="1:29" ht="15.75" thickBot="1">
      <c r="A42" s="437" t="s">
        <v>1791</v>
      </c>
      <c r="B42" s="438"/>
      <c r="C42" s="1159" t="e">
        <f>R43</f>
        <v>#DIV/0!</v>
      </c>
      <c r="D42" s="2314" t="s">
        <v>2136</v>
      </c>
      <c r="E42" s="1160" t="e">
        <f>R42</f>
        <v>#DIV/0!</v>
      </c>
      <c r="F42" s="2315"/>
      <c r="G42" s="1159" t="e">
        <f>T42</f>
        <v>#DIV/0!</v>
      </c>
      <c r="H42" s="2315"/>
      <c r="I42" s="1160" t="e">
        <f>V42</f>
        <v>#DIV/0!</v>
      </c>
      <c r="J42" s="2315"/>
      <c r="K42" s="2317">
        <f>F42+H42+J42</f>
        <v>0</v>
      </c>
      <c r="L42" s="925"/>
      <c r="M42" s="926"/>
      <c r="N42" s="913"/>
      <c r="O42" s="926"/>
      <c r="P42" s="3728" t="str">
        <f>A42</f>
        <v>比较价值（元/平方米）</v>
      </c>
      <c r="Q42" s="3728"/>
      <c r="R42" s="3729" t="e">
        <f>IF(F1="售价",ROUND(PRODUCT(R41,AA7:AA40),0),ROUND(PRODUCT(R41,AA7:AA40),1))</f>
        <v>#DIV/0!</v>
      </c>
      <c r="S42" s="3729"/>
      <c r="T42" s="3729" t="e">
        <f>IF(F1="售价",ROUND(PRODUCT(T41,AB7:AB40),0),ROUND(PRODUCT(T41,AB7:AB40),1))</f>
        <v>#DIV/0!</v>
      </c>
      <c r="U42" s="3729"/>
      <c r="V42" s="3729" t="e">
        <f>IF(F1="售价",ROUND(PRODUCT(V41,AC7:AC40),0),ROUND(PRODUCT(V41,AC7:AC40),1))</f>
        <v>#DIV/0!</v>
      </c>
      <c r="W42" s="3729"/>
      <c r="X42" s="689"/>
      <c r="Y42" s="689"/>
      <c r="Z42" s="689"/>
      <c r="AA42" s="689"/>
      <c r="AB42" s="689"/>
      <c r="AC42" s="689"/>
    </row>
    <row r="43" spans="1:29" ht="15.75" thickBot="1">
      <c r="A43" s="441" t="s">
        <v>1792</v>
      </c>
      <c r="B43" s="442"/>
      <c r="C43" s="1162" t="e">
        <f>R43</f>
        <v>#DIV/0!</v>
      </c>
      <c r="D43" s="1162"/>
      <c r="E43" s="1162"/>
      <c r="F43" s="1162"/>
      <c r="G43" s="1162"/>
      <c r="H43" s="1162"/>
      <c r="I43" s="1162"/>
      <c r="J43" s="1162"/>
      <c r="K43" s="714"/>
      <c r="L43" s="925"/>
      <c r="M43" s="926"/>
      <c r="N43" s="926"/>
      <c r="O43" s="926"/>
      <c r="P43" s="3725" t="str">
        <f>A43</f>
        <v>估价对象XX用房的比较价值（楼面单价，元/平方米）</v>
      </c>
      <c r="Q43" s="3726"/>
      <c r="R43" s="3727" t="e">
        <f>IF(F1="售价",ROUND(IF(D42="简单平均",AVERAGE(R42:V42),R42*F42+T42*H42+V42*J42),0),ROUND(IF(D42="简单平均",AVERAGE(R42:V42),R42*F42+T42*H42+V42*J42),1))</f>
        <v>#DIV/0!</v>
      </c>
      <c r="S43" s="3727"/>
      <c r="T43" s="3727"/>
      <c r="U43" s="3727"/>
      <c r="V43" s="3727"/>
      <c r="W43" s="3727"/>
      <c r="X43" s="689"/>
      <c r="Y43" s="689"/>
      <c r="Z43" s="689"/>
      <c r="AA43" s="689"/>
      <c r="AB43" s="689"/>
      <c r="AC43" s="689"/>
    </row>
    <row r="44" spans="1:29">
      <c r="A44" s="2719"/>
      <c r="B44" s="2719"/>
      <c r="C44" s="2719"/>
      <c r="D44" s="2719"/>
      <c r="E44" s="2719"/>
      <c r="F44" s="2719"/>
      <c r="G44" s="2723"/>
      <c r="H44" s="2719"/>
      <c r="I44" s="2719"/>
      <c r="J44" s="2719"/>
      <c r="K44" s="2724"/>
      <c r="L44" s="888"/>
      <c r="M44" s="926"/>
      <c r="N44" s="926"/>
      <c r="O44" s="926"/>
    </row>
    <row r="45" spans="1:29">
      <c r="A45" s="2719"/>
      <c r="B45" s="2719"/>
      <c r="C45" s="2719"/>
      <c r="D45" s="2719"/>
      <c r="E45" s="2719"/>
      <c r="F45" s="2719"/>
      <c r="G45" s="2719"/>
      <c r="H45" s="2719"/>
      <c r="I45" s="2719"/>
      <c r="J45" s="2719"/>
      <c r="K45" s="2724"/>
      <c r="L45" s="888"/>
      <c r="M45" s="926"/>
      <c r="N45" s="926"/>
      <c r="O45" s="926"/>
    </row>
    <row r="46" spans="1:29"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8"/>
      <c r="M46" s="926"/>
      <c r="N46" s="926"/>
      <c r="O46" s="926"/>
    </row>
    <row r="47" spans="1:29"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8"/>
      <c r="M47" s="926"/>
      <c r="N47" s="926"/>
      <c r="O47" s="926"/>
    </row>
    <row r="48" spans="1:29"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9"/>
      <c r="M48" s="927"/>
      <c r="N48" s="927"/>
      <c r="O48" s="927"/>
    </row>
    <row r="49" spans="1:17" s="451" customFormat="1">
      <c r="A49" s="2722"/>
      <c r="B49" s="2725"/>
      <c r="C49" s="2726"/>
      <c r="D49" s="2722"/>
      <c r="E49" s="2722"/>
      <c r="F49" s="2722"/>
      <c r="G49" s="2722"/>
      <c r="H49" s="2722"/>
      <c r="I49" s="2722"/>
      <c r="J49" s="2722"/>
      <c r="K49" s="2727"/>
      <c r="L49" s="929"/>
      <c r="M49" s="927"/>
      <c r="N49" s="927"/>
      <c r="O49" s="927"/>
    </row>
    <row r="50" spans="1:17">
      <c r="A50" s="2719"/>
      <c r="B50" s="2725"/>
      <c r="C50" s="2726"/>
      <c r="D50" s="2719"/>
      <c r="E50" s="2719"/>
      <c r="F50" s="2719"/>
      <c r="G50" s="2719"/>
      <c r="H50" s="2719"/>
      <c r="I50" s="2719"/>
      <c r="J50" s="2719"/>
      <c r="K50" s="2724"/>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4"/>
      <c r="O54" s="2765"/>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7" t="s">
        <v>1797</v>
      </c>
      <c r="D76" s="607" t="s">
        <v>1798</v>
      </c>
      <c r="E76" s="607" t="s">
        <v>1799</v>
      </c>
      <c r="F76" s="607" t="s">
        <v>1800</v>
      </c>
      <c r="G76" s="607" t="s">
        <v>1801</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5"/>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1828</v>
      </c>
      <c r="C106" s="527" t="s">
        <v>1719</v>
      </c>
      <c r="D106" s="527" t="s">
        <v>1720</v>
      </c>
      <c r="E106" s="527" t="s">
        <v>1721</v>
      </c>
      <c r="F106" s="527" t="s">
        <v>1722</v>
      </c>
      <c r="G106" s="527" t="s">
        <v>1723</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5"/>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K44" sqref="K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3325</v>
      </c>
      <c r="C1" s="1223" t="s">
        <v>1660</v>
      </c>
      <c r="D1" s="1224"/>
      <c r="E1" s="3427"/>
      <c r="F1" s="1878"/>
      <c r="G1" s="1226" t="s">
        <v>1765</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28"/>
      <c r="M2" s="2729"/>
      <c r="N2" s="2729"/>
      <c r="O2" s="2729"/>
      <c r="P2" s="1164"/>
      <c r="Q2" s="698"/>
      <c r="R2" s="698"/>
      <c r="S2" s="698"/>
      <c r="T2" s="698"/>
      <c r="U2" s="698"/>
      <c r="V2" s="698"/>
      <c r="W2" s="698"/>
      <c r="X2" s="698"/>
      <c r="Y2" s="698"/>
      <c r="Z2" s="698"/>
      <c r="AA2" s="698"/>
      <c r="AB2" s="698"/>
      <c r="AC2" s="699"/>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7"/>
      <c r="H3" s="907"/>
      <c r="I3" s="907"/>
      <c r="J3" s="907"/>
      <c r="K3" s="909"/>
      <c r="L3" s="2728"/>
      <c r="M3" s="2729" t="e">
        <f ca="1">IF(C2="——",IF(B37="元/平方米",ROUND(C39*D3/10000,0),ROUND(F3*C39/10000,0)),IF(B37="元/平方米",ROUND(C39*D3/10000,0),ROUND(F3*C39/10000,0))-D2)</f>
        <v>#DIV/0!</v>
      </c>
      <c r="N3" s="2729"/>
      <c r="O3" s="2729"/>
      <c r="P3" s="1164"/>
      <c r="Q3" s="698"/>
      <c r="R3" s="698"/>
      <c r="S3" s="698"/>
      <c r="T3" s="698"/>
      <c r="U3" s="698"/>
      <c r="V3" s="698"/>
      <c r="W3" s="698"/>
      <c r="X3" s="698"/>
      <c r="Y3" s="698"/>
      <c r="Z3" s="698"/>
      <c r="AA3" s="698"/>
      <c r="AB3" s="715"/>
      <c r="AC3" s="712"/>
    </row>
    <row r="4" spans="1:29" ht="15">
      <c r="A4" s="355" t="s">
        <v>1767</v>
      </c>
      <c r="B4" s="356"/>
      <c r="C4" s="3711" t="s">
        <v>1768</v>
      </c>
      <c r="D4" s="3712"/>
      <c r="E4" s="3713" t="s">
        <v>1769</v>
      </c>
      <c r="F4" s="3714"/>
      <c r="G4" s="3711" t="s">
        <v>1770</v>
      </c>
      <c r="H4" s="3712"/>
      <c r="I4" s="3711" t="s">
        <v>1771</v>
      </c>
      <c r="J4" s="3712"/>
      <c r="K4" s="559" t="s">
        <v>1772</v>
      </c>
      <c r="L4" s="2709"/>
      <c r="M4" s="2710"/>
      <c r="N4" s="2710"/>
      <c r="O4" s="2710"/>
      <c r="P4" s="3715" t="s">
        <v>1773</v>
      </c>
      <c r="Q4" s="3716"/>
      <c r="R4" s="3698" t="s">
        <v>1769</v>
      </c>
      <c r="S4" s="3699"/>
      <c r="T4" s="3698" t="s">
        <v>1770</v>
      </c>
      <c r="U4" s="3699"/>
      <c r="V4" s="3723" t="s">
        <v>1771</v>
      </c>
      <c r="W4" s="3723"/>
      <c r="X4" s="1354"/>
      <c r="Y4" s="3698" t="s">
        <v>1773</v>
      </c>
      <c r="Z4" s="3699"/>
      <c r="AA4" s="3693" t="s">
        <v>1769</v>
      </c>
      <c r="AB4" s="3694" t="s">
        <v>1770</v>
      </c>
      <c r="AC4" s="3693" t="s">
        <v>1771</v>
      </c>
    </row>
    <row r="5" spans="1:29" ht="15">
      <c r="A5" s="358"/>
      <c r="B5" s="359"/>
      <c r="C5" s="3704" t="s">
        <v>1671</v>
      </c>
      <c r="D5" s="3705"/>
      <c r="E5" s="3702" t="s">
        <v>1672</v>
      </c>
      <c r="F5" s="3703"/>
      <c r="G5" s="3704" t="s">
        <v>1673</v>
      </c>
      <c r="H5" s="3705"/>
      <c r="I5" s="3704" t="s">
        <v>1674</v>
      </c>
      <c r="J5" s="3705"/>
      <c r="K5" s="559"/>
      <c r="L5" s="2709"/>
      <c r="M5" s="2710"/>
      <c r="N5" s="2710"/>
      <c r="O5" s="2710"/>
      <c r="P5" s="3717"/>
      <c r="Q5" s="3718"/>
      <c r="R5" s="3700"/>
      <c r="S5" s="3701"/>
      <c r="T5" s="3700"/>
      <c r="U5" s="3701"/>
      <c r="V5" s="3723"/>
      <c r="W5" s="3723"/>
      <c r="X5" s="1354"/>
      <c r="Y5" s="3700"/>
      <c r="Z5" s="3701"/>
      <c r="AA5" s="3694"/>
      <c r="AB5" s="3694"/>
      <c r="AC5" s="3694"/>
    </row>
    <row r="6" spans="1:29" ht="15.75" thickBot="1">
      <c r="A6" s="360"/>
      <c r="B6" s="361"/>
      <c r="C6" s="3706" t="s">
        <v>1675</v>
      </c>
      <c r="D6" s="3707"/>
      <c r="E6" s="3708" t="s">
        <v>1675</v>
      </c>
      <c r="F6" s="3709"/>
      <c r="G6" s="3706" t="s">
        <v>1675</v>
      </c>
      <c r="H6" s="3707"/>
      <c r="I6" s="3706" t="s">
        <v>1675</v>
      </c>
      <c r="J6" s="3707"/>
      <c r="K6" s="559" t="s">
        <v>1676</v>
      </c>
      <c r="L6" s="2709"/>
      <c r="M6" s="2710"/>
      <c r="N6" s="2710"/>
      <c r="O6" s="2710"/>
      <c r="P6" s="3719"/>
      <c r="Q6" s="3720"/>
      <c r="R6" s="3700"/>
      <c r="S6" s="3701"/>
      <c r="T6" s="3721"/>
      <c r="U6" s="3722"/>
      <c r="V6" s="3723"/>
      <c r="W6" s="3723"/>
      <c r="X6" s="1354"/>
      <c r="Y6" s="3721"/>
      <c r="Z6" s="3722"/>
      <c r="AA6" s="3695"/>
      <c r="AB6" s="3695"/>
      <c r="AC6" s="3695"/>
    </row>
    <row r="7" spans="1:29" s="108" customFormat="1" ht="15.75" thickBot="1">
      <c r="A7" s="362" t="s">
        <v>1677</v>
      </c>
      <c r="B7" s="363"/>
      <c r="C7" s="364">
        <f>'数据-取费表'!B2</f>
        <v>45135</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96" t="s">
        <v>1678</v>
      </c>
      <c r="Q7" s="3724"/>
      <c r="R7" s="700" t="s">
        <v>14</v>
      </c>
      <c r="S7" s="701">
        <f t="shared" ref="S7:S14" si="0">F7</f>
        <v>0</v>
      </c>
      <c r="T7" s="700" t="s">
        <v>14</v>
      </c>
      <c r="U7" s="701">
        <f t="shared" ref="U7:U14" si="1">H7</f>
        <v>0</v>
      </c>
      <c r="V7" s="700" t="s">
        <v>14</v>
      </c>
      <c r="W7" s="701">
        <f t="shared" ref="W7:W14" si="2">J7</f>
        <v>0</v>
      </c>
      <c r="X7" s="702"/>
      <c r="Y7" s="3696" t="s">
        <v>1678</v>
      </c>
      <c r="Z7" s="3697"/>
      <c r="AA7" s="703" t="e">
        <f>D7/F7</f>
        <v>#DIV/0!</v>
      </c>
      <c r="AB7" s="703" t="e">
        <f>D7/H7</f>
        <v>#DIV/0!</v>
      </c>
      <c r="AC7" s="703"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96" t="s">
        <v>1681</v>
      </c>
      <c r="Q8" s="3697"/>
      <c r="R8" s="700" t="s">
        <v>14</v>
      </c>
      <c r="S8" s="701">
        <f t="shared" si="0"/>
        <v>100</v>
      </c>
      <c r="T8" s="700" t="s">
        <v>14</v>
      </c>
      <c r="U8" s="701">
        <f t="shared" si="1"/>
        <v>100</v>
      </c>
      <c r="V8" s="700" t="s">
        <v>14</v>
      </c>
      <c r="W8" s="701">
        <f t="shared" si="2"/>
        <v>100</v>
      </c>
      <c r="X8" s="702"/>
      <c r="Y8" s="3696" t="s">
        <v>1681</v>
      </c>
      <c r="Z8" s="3697"/>
      <c r="AA8" s="703">
        <f t="shared" ref="AA8:AA36" si="3">D8/F8</f>
        <v>1</v>
      </c>
      <c r="AB8" s="703">
        <f t="shared" ref="AB8:AB36" si="4">D8/H8</f>
        <v>1</v>
      </c>
      <c r="AC8" s="703">
        <f t="shared" ref="AC8:AC36" si="5">D8/J8</f>
        <v>1</v>
      </c>
    </row>
    <row r="9" spans="1:29" s="108" customFormat="1">
      <c r="A9" s="60" t="s">
        <v>1682</v>
      </c>
      <c r="B9" s="587" t="s">
        <v>1683</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28" t="s">
        <v>1684</v>
      </c>
      <c r="Q9" s="1342" t="str">
        <f t="shared" ref="Q9:Q14" si="6">B9</f>
        <v>用途</v>
      </c>
      <c r="R9" s="700" t="s">
        <v>14</v>
      </c>
      <c r="S9" s="701">
        <f t="shared" si="0"/>
        <v>100</v>
      </c>
      <c r="T9" s="700" t="s">
        <v>14</v>
      </c>
      <c r="U9" s="701">
        <f t="shared" si="1"/>
        <v>100</v>
      </c>
      <c r="V9" s="700" t="s">
        <v>14</v>
      </c>
      <c r="W9" s="701">
        <f t="shared" si="2"/>
        <v>100</v>
      </c>
      <c r="X9" s="702"/>
      <c r="Y9" s="3621" t="s">
        <v>1685</v>
      </c>
      <c r="Z9" s="52" t="str">
        <f t="shared" ref="Z9:Z14" si="7">Q9</f>
        <v>用途</v>
      </c>
      <c r="AA9" s="703">
        <f t="shared" si="3"/>
        <v>1</v>
      </c>
      <c r="AB9" s="703">
        <f t="shared" si="4"/>
        <v>1</v>
      </c>
      <c r="AC9" s="703">
        <f t="shared" si="5"/>
        <v>1</v>
      </c>
    </row>
    <row r="10" spans="1:29" s="378" customFormat="1" ht="27">
      <c r="A10" s="588"/>
      <c r="B10" s="589" t="s">
        <v>1686</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28"/>
      <c r="Q10" s="1342"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28"/>
      <c r="Q11" s="1342">
        <f t="shared" si="6"/>
        <v>111</v>
      </c>
      <c r="R11" s="700" t="s">
        <v>14</v>
      </c>
      <c r="S11" s="701">
        <f t="shared" si="0"/>
        <v>100</v>
      </c>
      <c r="T11" s="700" t="s">
        <v>14</v>
      </c>
      <c r="U11" s="701">
        <f t="shared" si="1"/>
        <v>100</v>
      </c>
      <c r="V11" s="700" t="s">
        <v>14</v>
      </c>
      <c r="W11" s="701">
        <f t="shared" si="2"/>
        <v>100</v>
      </c>
      <c r="X11" s="702"/>
      <c r="Y11" s="3621"/>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28"/>
      <c r="Q12" s="1342">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28"/>
      <c r="Q13" s="1342">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703">
        <f t="shared" si="5"/>
        <v>1</v>
      </c>
    </row>
    <row r="14" spans="1:29" ht="15">
      <c r="A14" s="355" t="s">
        <v>1688</v>
      </c>
      <c r="B14" s="576" t="s">
        <v>1831</v>
      </c>
      <c r="C14" s="1968"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30" t="s">
        <v>1689</v>
      </c>
      <c r="Q14" s="1351" t="str">
        <f t="shared" si="6"/>
        <v>交通便捷度</v>
      </c>
      <c r="R14" s="704" t="s">
        <v>14</v>
      </c>
      <c r="S14" s="705">
        <f t="shared" si="0"/>
        <v>100</v>
      </c>
      <c r="T14" s="704" t="s">
        <v>14</v>
      </c>
      <c r="U14" s="705">
        <f t="shared" si="1"/>
        <v>100</v>
      </c>
      <c r="V14" s="704" t="s">
        <v>14</v>
      </c>
      <c r="W14" s="705">
        <f t="shared" si="2"/>
        <v>100</v>
      </c>
      <c r="X14" s="1354"/>
      <c r="Y14" s="3730" t="s">
        <v>1689</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16"/>
      <c r="M15" s="2710"/>
      <c r="N15" s="2710"/>
      <c r="O15" s="2710"/>
      <c r="P15" s="3731"/>
      <c r="Q15" s="1351"/>
      <c r="R15" s="704"/>
      <c r="S15" s="705"/>
      <c r="T15" s="704"/>
      <c r="U15" s="705"/>
      <c r="V15" s="704"/>
      <c r="W15" s="705"/>
      <c r="X15" s="1354"/>
      <c r="Y15" s="3731"/>
      <c r="Z15" s="1355"/>
      <c r="AA15" s="1352">
        <v>1</v>
      </c>
      <c r="AB15" s="1352">
        <v>1</v>
      </c>
      <c r="AC15" s="1352">
        <v>1</v>
      </c>
    </row>
    <row r="16" spans="1:29" ht="15">
      <c r="A16" s="358"/>
      <c r="B16" s="578" t="s">
        <v>1810</v>
      </c>
      <c r="C16" s="1899" t="str">
        <f>IF(B1="工业",估价对象房地状况!G5,估价对象房地状况!C7)</f>
        <v>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31"/>
      <c r="Q16" s="1351" t="str">
        <f>B16</f>
        <v>公共配套设施</v>
      </c>
      <c r="R16" s="704" t="s">
        <v>14</v>
      </c>
      <c r="S16" s="705">
        <f>F16</f>
        <v>100</v>
      </c>
      <c r="T16" s="704" t="s">
        <v>14</v>
      </c>
      <c r="U16" s="705">
        <f>H16</f>
        <v>100</v>
      </c>
      <c r="V16" s="704" t="s">
        <v>14</v>
      </c>
      <c r="W16" s="705">
        <f>J16</f>
        <v>100</v>
      </c>
      <c r="X16" s="1354"/>
      <c r="Y16" s="3731"/>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16"/>
      <c r="M17" s="2710"/>
      <c r="N17" s="2710"/>
      <c r="O17" s="2710"/>
      <c r="P17" s="3731"/>
      <c r="Q17" s="1351"/>
      <c r="R17" s="704"/>
      <c r="S17" s="705"/>
      <c r="T17" s="704"/>
      <c r="U17" s="705"/>
      <c r="V17" s="704"/>
      <c r="W17" s="705"/>
      <c r="X17" s="1354"/>
      <c r="Y17" s="3731"/>
      <c r="Z17" s="1355"/>
      <c r="AA17" s="1352">
        <v>1</v>
      </c>
      <c r="AB17" s="1352">
        <v>1</v>
      </c>
      <c r="AC17" s="1352">
        <v>1</v>
      </c>
    </row>
    <row r="18" spans="1:29" ht="15">
      <c r="A18" s="358"/>
      <c r="B18" s="580" t="s">
        <v>1811</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31"/>
      <c r="Q18" s="1351" t="str">
        <f>B18</f>
        <v>基础设施水平</v>
      </c>
      <c r="R18" s="704" t="s">
        <v>14</v>
      </c>
      <c r="S18" s="705">
        <f>F18</f>
        <v>100</v>
      </c>
      <c r="T18" s="704" t="s">
        <v>14</v>
      </c>
      <c r="U18" s="705">
        <f>H18</f>
        <v>100</v>
      </c>
      <c r="V18" s="704" t="s">
        <v>14</v>
      </c>
      <c r="W18" s="705">
        <f>J18</f>
        <v>100</v>
      </c>
      <c r="X18" s="1354"/>
      <c r="Y18" s="3731"/>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16"/>
      <c r="M19" s="2710"/>
      <c r="N19" s="2710"/>
      <c r="O19" s="2710"/>
      <c r="P19" s="3731"/>
      <c r="Q19" s="1351"/>
      <c r="R19" s="704"/>
      <c r="S19" s="705"/>
      <c r="T19" s="704"/>
      <c r="U19" s="705"/>
      <c r="V19" s="704"/>
      <c r="W19" s="705"/>
      <c r="X19" s="1354"/>
      <c r="Y19" s="3731"/>
      <c r="Z19" s="1355"/>
      <c r="AA19" s="1352">
        <v>1</v>
      </c>
      <c r="AB19" s="1352">
        <v>1</v>
      </c>
      <c r="AC19" s="1352">
        <v>1</v>
      </c>
    </row>
    <row r="20" spans="1:29" ht="15">
      <c r="A20" s="358"/>
      <c r="B20" s="578" t="s">
        <v>1832</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31"/>
      <c r="Q20" s="1351" t="str">
        <f>B20</f>
        <v>自然及人文环境</v>
      </c>
      <c r="R20" s="704" t="s">
        <v>14</v>
      </c>
      <c r="S20" s="705">
        <f>F20</f>
        <v>100</v>
      </c>
      <c r="T20" s="704" t="s">
        <v>14</v>
      </c>
      <c r="U20" s="705">
        <f>H20</f>
        <v>100</v>
      </c>
      <c r="V20" s="704" t="s">
        <v>14</v>
      </c>
      <c r="W20" s="705">
        <f>J20</f>
        <v>100</v>
      </c>
      <c r="X20" s="1354"/>
      <c r="Y20" s="3731"/>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16"/>
      <c r="M21" s="2710"/>
      <c r="N21" s="2710"/>
      <c r="O21" s="2710"/>
      <c r="P21" s="3731"/>
      <c r="Q21" s="1351"/>
      <c r="R21" s="704"/>
      <c r="S21" s="705"/>
      <c r="T21" s="704"/>
      <c r="U21" s="705"/>
      <c r="V21" s="704"/>
      <c r="W21" s="705"/>
      <c r="X21" s="1354"/>
      <c r="Y21" s="3731"/>
      <c r="Z21" s="1355"/>
      <c r="AA21" s="1352">
        <v>1</v>
      </c>
      <c r="AB21" s="1352">
        <v>1</v>
      </c>
      <c r="AC21" s="1352">
        <v>1</v>
      </c>
    </row>
    <row r="22" spans="1:29" ht="15">
      <c r="A22" s="358"/>
      <c r="B22" s="578" t="s">
        <v>1833</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31"/>
      <c r="Q22" s="1351" t="str">
        <f>B22</f>
        <v>楼层</v>
      </c>
      <c r="R22" s="704" t="s">
        <v>14</v>
      </c>
      <c r="S22" s="705">
        <f>F22</f>
        <v>100</v>
      </c>
      <c r="T22" s="704" t="s">
        <v>14</v>
      </c>
      <c r="U22" s="705">
        <f>H22</f>
        <v>100</v>
      </c>
      <c r="V22" s="704" t="s">
        <v>14</v>
      </c>
      <c r="W22" s="705">
        <f>J22</f>
        <v>100</v>
      </c>
      <c r="X22" s="1354"/>
      <c r="Y22" s="3731"/>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31"/>
      <c r="Q23" s="1351">
        <f>B23</f>
        <v>111</v>
      </c>
      <c r="R23" s="704" t="s">
        <v>14</v>
      </c>
      <c r="S23" s="705">
        <f>F23</f>
        <v>100</v>
      </c>
      <c r="T23" s="704" t="s">
        <v>14</v>
      </c>
      <c r="U23" s="705">
        <f>H23</f>
        <v>100</v>
      </c>
      <c r="V23" s="704" t="s">
        <v>14</v>
      </c>
      <c r="W23" s="705">
        <f>J23</f>
        <v>100</v>
      </c>
      <c r="X23" s="1354"/>
      <c r="Y23" s="3731"/>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31"/>
      <c r="Q24" s="1351">
        <f t="shared" ref="Q24:Q36" si="11">B24</f>
        <v>111</v>
      </c>
      <c r="R24" s="704" t="s">
        <v>14</v>
      </c>
      <c r="S24" s="705">
        <f>F24</f>
        <v>100</v>
      </c>
      <c r="T24" s="704" t="s">
        <v>14</v>
      </c>
      <c r="U24" s="705">
        <f>H24</f>
        <v>100</v>
      </c>
      <c r="V24" s="704" t="s">
        <v>14</v>
      </c>
      <c r="W24" s="705">
        <f>J24</f>
        <v>100</v>
      </c>
      <c r="X24" s="1354"/>
      <c r="Y24" s="3731"/>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1"/>
      <c r="M25" s="2712"/>
      <c r="N25" s="2712"/>
      <c r="O25" s="2712"/>
      <c r="P25" s="3731"/>
      <c r="Q25" s="1342">
        <f t="shared" si="11"/>
        <v>111</v>
      </c>
      <c r="R25" s="700" t="s">
        <v>14</v>
      </c>
      <c r="S25" s="701">
        <f>F25</f>
        <v>100</v>
      </c>
      <c r="T25" s="700" t="s">
        <v>14</v>
      </c>
      <c r="U25" s="701">
        <f>H25</f>
        <v>100</v>
      </c>
      <c r="V25" s="700" t="s">
        <v>14</v>
      </c>
      <c r="W25" s="701">
        <f>J25</f>
        <v>100</v>
      </c>
      <c r="X25" s="702"/>
      <c r="Y25" s="3731"/>
      <c r="Z25" s="52">
        <f>Q25</f>
        <v>111</v>
      </c>
      <c r="AA25" s="1352">
        <f>D25/F25</f>
        <v>1</v>
      </c>
      <c r="AB25" s="1352">
        <f>D25/H25</f>
        <v>1</v>
      </c>
      <c r="AC25" s="1352">
        <f>D25/J25</f>
        <v>1</v>
      </c>
    </row>
    <row r="26" spans="1:29" ht="28.5">
      <c r="A26" s="599" t="s">
        <v>1692</v>
      </c>
      <c r="B26" s="62" t="s">
        <v>1834</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55" t="s">
        <v>1694</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35" t="s">
        <v>1694</v>
      </c>
      <c r="Z26" s="1355" t="str">
        <f t="shared" ref="Z26:Z36" si="15">Q26</f>
        <v>配套类型</v>
      </c>
      <c r="AA26" s="1352" t="e">
        <f t="shared" si="3"/>
        <v>#DIV/0!</v>
      </c>
      <c r="AB26" s="1352" t="e">
        <f t="shared" si="4"/>
        <v>#DIV/0!</v>
      </c>
      <c r="AC26" s="1352" t="e">
        <f t="shared" si="5"/>
        <v>#DIV/0!</v>
      </c>
    </row>
    <row r="27" spans="1:29" s="422" customFormat="1" ht="15">
      <c r="A27" s="600"/>
      <c r="B27" s="601" t="s">
        <v>1835</v>
      </c>
      <c r="C27" s="602"/>
      <c r="D27" s="127">
        <v>100</v>
      </c>
      <c r="E27" s="602"/>
      <c r="F27" s="412">
        <f>SUMIF(81:81,E27,82:82)-SUMIF(81:81,C27,82:82)+100</f>
        <v>100</v>
      </c>
      <c r="G27" s="602"/>
      <c r="H27" s="386">
        <f>SUMIF(81:81,G27,82:82)-SUMIF(81:81,C27,82:82)+100</f>
        <v>100</v>
      </c>
      <c r="I27" s="602"/>
      <c r="J27" s="386">
        <f>SUMIF(81:81,I27,82:82)-SUMIF(81:81,C27,82:82)+100</f>
        <v>100</v>
      </c>
      <c r="K27" s="562"/>
      <c r="L27" s="2715"/>
      <c r="M27" s="2717"/>
      <c r="N27" s="2717"/>
      <c r="O27" s="2717"/>
      <c r="P27" s="3735"/>
      <c r="Q27" s="706" t="str">
        <f t="shared" si="11"/>
        <v>项目停车位配比</v>
      </c>
      <c r="R27" s="707" t="s">
        <v>14</v>
      </c>
      <c r="S27" s="708">
        <f t="shared" si="12"/>
        <v>100</v>
      </c>
      <c r="T27" s="707" t="s">
        <v>14</v>
      </c>
      <c r="U27" s="708">
        <f t="shared" si="13"/>
        <v>100</v>
      </c>
      <c r="V27" s="707" t="s">
        <v>14</v>
      </c>
      <c r="W27" s="708">
        <f t="shared" si="14"/>
        <v>100</v>
      </c>
      <c r="X27" s="709"/>
      <c r="Y27" s="3735"/>
      <c r="Z27" s="710" t="str">
        <f t="shared" si="15"/>
        <v>项目停车位配比</v>
      </c>
      <c r="AA27" s="1352">
        <f t="shared" si="3"/>
        <v>1</v>
      </c>
      <c r="AB27" s="1352">
        <f t="shared" si="4"/>
        <v>1</v>
      </c>
      <c r="AC27" s="1352">
        <f t="shared" si="5"/>
        <v>1</v>
      </c>
    </row>
    <row r="28" spans="1:29" ht="15">
      <c r="A28" s="603"/>
      <c r="B28" s="601" t="s">
        <v>1836</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35"/>
      <c r="Q28" s="1351" t="str">
        <f t="shared" si="11"/>
        <v>公共部分装修</v>
      </c>
      <c r="R28" s="704" t="s">
        <v>14</v>
      </c>
      <c r="S28" s="705">
        <f t="shared" si="12"/>
        <v>100</v>
      </c>
      <c r="T28" s="704" t="s">
        <v>14</v>
      </c>
      <c r="U28" s="705">
        <f t="shared" si="13"/>
        <v>100</v>
      </c>
      <c r="V28" s="704" t="s">
        <v>14</v>
      </c>
      <c r="W28" s="705">
        <f t="shared" si="14"/>
        <v>100</v>
      </c>
      <c r="X28" s="1354"/>
      <c r="Y28" s="3735"/>
      <c r="Z28" s="1355" t="str">
        <f t="shared" si="15"/>
        <v>公共部分装修</v>
      </c>
      <c r="AA28" s="1352">
        <f t="shared" si="3"/>
        <v>1</v>
      </c>
      <c r="AB28" s="1352">
        <f t="shared" si="4"/>
        <v>1</v>
      </c>
      <c r="AC28" s="1352">
        <f t="shared" si="5"/>
        <v>1</v>
      </c>
    </row>
    <row r="29" spans="1:29" ht="15">
      <c r="A29" s="603"/>
      <c r="B29" s="601"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35"/>
      <c r="Q29" s="1351" t="str">
        <f t="shared" si="11"/>
        <v>成新率</v>
      </c>
      <c r="R29" s="704" t="s">
        <v>14</v>
      </c>
      <c r="S29" s="705" t="e">
        <f t="shared" si="12"/>
        <v>#N/A</v>
      </c>
      <c r="T29" s="704" t="s">
        <v>14</v>
      </c>
      <c r="U29" s="705" t="e">
        <f t="shared" si="13"/>
        <v>#N/A</v>
      </c>
      <c r="V29" s="704" t="s">
        <v>14</v>
      </c>
      <c r="W29" s="705" t="e">
        <f t="shared" si="14"/>
        <v>#N/A</v>
      </c>
      <c r="X29" s="1354"/>
      <c r="Y29" s="3735"/>
      <c r="Z29" s="1355" t="str">
        <f t="shared" si="15"/>
        <v>成新率</v>
      </c>
      <c r="AA29" s="1352" t="e">
        <f t="shared" si="3"/>
        <v>#N/A</v>
      </c>
      <c r="AB29" s="1352" t="e">
        <f t="shared" si="4"/>
        <v>#N/A</v>
      </c>
      <c r="AC29" s="1352" t="e">
        <f t="shared" si="5"/>
        <v>#N/A</v>
      </c>
    </row>
    <row r="30" spans="1:29" ht="15">
      <c r="A30" s="603"/>
      <c r="B30" s="601" t="s">
        <v>1838</v>
      </c>
      <c r="C30" s="604"/>
      <c r="D30" s="386">
        <v>100</v>
      </c>
      <c r="E30" s="604"/>
      <c r="F30" s="412">
        <f>SUMIF(88:88,E30,89:89)-SUMIF(88:88,C30,89:89)+100</f>
        <v>100</v>
      </c>
      <c r="G30" s="604"/>
      <c r="H30" s="386">
        <f>SUMIF(88:88,E30,89:89)-SUMIF(88:88,C30,89:89)+100</f>
        <v>100</v>
      </c>
      <c r="I30" s="604"/>
      <c r="J30" s="386">
        <f>SUMIF(88:88,E30,89:89)-SUMIF(88:88,C30,89:89)+100</f>
        <v>100</v>
      </c>
      <c r="K30" s="561"/>
      <c r="L30" s="2716"/>
      <c r="M30" s="2710"/>
      <c r="N30" s="2710"/>
      <c r="O30" s="2710"/>
      <c r="P30" s="3735"/>
      <c r="Q30" s="1351" t="str">
        <f t="shared" si="11"/>
        <v>物业等级</v>
      </c>
      <c r="R30" s="704" t="s">
        <v>14</v>
      </c>
      <c r="S30" s="705">
        <f t="shared" si="12"/>
        <v>100</v>
      </c>
      <c r="T30" s="704" t="s">
        <v>14</v>
      </c>
      <c r="U30" s="705">
        <f t="shared" si="13"/>
        <v>100</v>
      </c>
      <c r="V30" s="704" t="s">
        <v>14</v>
      </c>
      <c r="W30" s="705">
        <f t="shared" si="14"/>
        <v>100</v>
      </c>
      <c r="X30" s="1354"/>
      <c r="Y30" s="3735"/>
      <c r="Z30" s="1355" t="str">
        <f t="shared" si="15"/>
        <v>物业等级</v>
      </c>
      <c r="AA30" s="1352">
        <f t="shared" si="3"/>
        <v>1</v>
      </c>
      <c r="AB30" s="1352">
        <f t="shared" si="4"/>
        <v>1</v>
      </c>
      <c r="AC30" s="1352">
        <f t="shared" si="5"/>
        <v>1</v>
      </c>
    </row>
    <row r="31" spans="1:29" s="108" customFormat="1" ht="15">
      <c r="A31" s="605"/>
      <c r="B31" s="601"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35"/>
      <c r="Q31" s="1342" t="str">
        <f t="shared" si="11"/>
        <v>停车位面积</v>
      </c>
      <c r="R31" s="700" t="s">
        <v>14</v>
      </c>
      <c r="S31" s="701" t="e">
        <f t="shared" si="12"/>
        <v>#N/A</v>
      </c>
      <c r="T31" s="700" t="s">
        <v>14</v>
      </c>
      <c r="U31" s="701" t="e">
        <f t="shared" si="13"/>
        <v>#N/A</v>
      </c>
      <c r="V31" s="700" t="s">
        <v>14</v>
      </c>
      <c r="W31" s="701" t="e">
        <f t="shared" si="14"/>
        <v>#N/A</v>
      </c>
      <c r="X31" s="702"/>
      <c r="Y31" s="3735"/>
      <c r="Z31" s="52" t="str">
        <f t="shared" si="15"/>
        <v>停车位面积</v>
      </c>
      <c r="AA31" s="703" t="e">
        <f t="shared" si="3"/>
        <v>#N/A</v>
      </c>
      <c r="AB31" s="703" t="e">
        <f t="shared" si="4"/>
        <v>#N/A</v>
      </c>
      <c r="AC31" s="703" t="e">
        <f t="shared" si="5"/>
        <v>#N/A</v>
      </c>
    </row>
    <row r="32" spans="1:29" ht="15">
      <c r="A32" s="603"/>
      <c r="B32" s="601" t="s">
        <v>1840</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35" t="s">
        <v>1694</v>
      </c>
      <c r="Q32" s="1351" t="str">
        <f t="shared" si="11"/>
        <v>车位类型</v>
      </c>
      <c r="R32" s="704" t="s">
        <v>14</v>
      </c>
      <c r="S32" s="705">
        <f t="shared" si="12"/>
        <v>100</v>
      </c>
      <c r="T32" s="704" t="s">
        <v>14</v>
      </c>
      <c r="U32" s="705">
        <f t="shared" si="13"/>
        <v>100</v>
      </c>
      <c r="V32" s="704" t="s">
        <v>14</v>
      </c>
      <c r="W32" s="705">
        <f t="shared" si="14"/>
        <v>100</v>
      </c>
      <c r="X32" s="1354"/>
      <c r="Y32" s="3735" t="s">
        <v>1694</v>
      </c>
      <c r="Z32" s="1355" t="str">
        <f t="shared" si="15"/>
        <v>车位类型</v>
      </c>
      <c r="AA32" s="1352">
        <f t="shared" si="3"/>
        <v>1</v>
      </c>
      <c r="AB32" s="1352">
        <f t="shared" si="4"/>
        <v>1</v>
      </c>
      <c r="AC32" s="1352">
        <f t="shared" si="5"/>
        <v>1</v>
      </c>
    </row>
    <row r="33" spans="1:29" ht="15">
      <c r="A33" s="603"/>
      <c r="B33" s="601" t="s">
        <v>1841</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35"/>
      <c r="Q33" s="1351" t="str">
        <f t="shared" si="11"/>
        <v>是否直接入户</v>
      </c>
      <c r="R33" s="704" t="s">
        <v>14</v>
      </c>
      <c r="S33" s="705">
        <f t="shared" si="12"/>
        <v>100</v>
      </c>
      <c r="T33" s="704" t="s">
        <v>14</v>
      </c>
      <c r="U33" s="705">
        <f t="shared" si="13"/>
        <v>100</v>
      </c>
      <c r="V33" s="704" t="s">
        <v>14</v>
      </c>
      <c r="W33" s="705">
        <f t="shared" si="14"/>
        <v>100</v>
      </c>
      <c r="X33" s="1354"/>
      <c r="Y33" s="3735"/>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35"/>
      <c r="Q34" s="1351">
        <f t="shared" si="11"/>
        <v>111</v>
      </c>
      <c r="R34" s="704" t="s">
        <v>14</v>
      </c>
      <c r="S34" s="705">
        <f t="shared" si="12"/>
        <v>100</v>
      </c>
      <c r="T34" s="704" t="s">
        <v>14</v>
      </c>
      <c r="U34" s="705">
        <f t="shared" si="13"/>
        <v>100</v>
      </c>
      <c r="V34" s="704" t="s">
        <v>14</v>
      </c>
      <c r="W34" s="705">
        <f t="shared" si="14"/>
        <v>100</v>
      </c>
      <c r="X34" s="1354"/>
      <c r="Y34" s="3735"/>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35"/>
      <c r="Q35" s="706">
        <f t="shared" si="11"/>
        <v>111</v>
      </c>
      <c r="R35" s="707" t="s">
        <v>14</v>
      </c>
      <c r="S35" s="708">
        <f t="shared" si="12"/>
        <v>100</v>
      </c>
      <c r="T35" s="707" t="s">
        <v>14</v>
      </c>
      <c r="U35" s="708">
        <f t="shared" si="13"/>
        <v>100</v>
      </c>
      <c r="V35" s="707" t="s">
        <v>14</v>
      </c>
      <c r="W35" s="708">
        <f t="shared" si="14"/>
        <v>100</v>
      </c>
      <c r="X35" s="709"/>
      <c r="Y35" s="3735"/>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35"/>
      <c r="Q36" s="1351">
        <f t="shared" si="11"/>
        <v>111</v>
      </c>
      <c r="R36" s="704" t="s">
        <v>14</v>
      </c>
      <c r="S36" s="705">
        <f t="shared" si="12"/>
        <v>100</v>
      </c>
      <c r="T36" s="704" t="s">
        <v>14</v>
      </c>
      <c r="U36" s="705">
        <f t="shared" si="13"/>
        <v>100</v>
      </c>
      <c r="V36" s="704" t="s">
        <v>14</v>
      </c>
      <c r="W36" s="705">
        <f t="shared" si="14"/>
        <v>100</v>
      </c>
      <c r="X36" s="1354"/>
      <c r="Y36" s="3735"/>
      <c r="Z36" s="1355">
        <f t="shared" si="15"/>
        <v>111</v>
      </c>
      <c r="AA36" s="1352">
        <f t="shared" si="3"/>
        <v>1</v>
      </c>
      <c r="AB36" s="1352">
        <f t="shared" si="4"/>
        <v>1</v>
      </c>
      <c r="AC36" s="1352">
        <f t="shared" si="5"/>
        <v>1</v>
      </c>
    </row>
    <row r="37" spans="1:29" ht="15">
      <c r="A37" s="430" t="s">
        <v>1842</v>
      </c>
      <c r="B37" s="1970" t="s">
        <v>3346</v>
      </c>
      <c r="C37" s="1153" t="s">
        <v>0</v>
      </c>
      <c r="D37" s="1154"/>
      <c r="E37" s="1155"/>
      <c r="F37" s="1156"/>
      <c r="G37" s="1157"/>
      <c r="H37" s="1158"/>
      <c r="I37" s="1155"/>
      <c r="J37" s="1158"/>
      <c r="K37" s="567"/>
      <c r="L37" s="2718"/>
      <c r="M37" s="2719"/>
      <c r="N37" s="2710"/>
      <c r="O37" s="2719"/>
      <c r="P37" s="3728" t="str">
        <f>A37</f>
        <v>成交单价</v>
      </c>
      <c r="Q37" s="3728"/>
      <c r="R37" s="3729">
        <f>E37</f>
        <v>0</v>
      </c>
      <c r="S37" s="3729"/>
      <c r="T37" s="3729">
        <f>G37</f>
        <v>0</v>
      </c>
      <c r="U37" s="3729"/>
      <c r="V37" s="3729">
        <f>I37</f>
        <v>0</v>
      </c>
      <c r="W37" s="3729"/>
      <c r="X37" s="689"/>
      <c r="Y37" s="711"/>
      <c r="Z37" s="689"/>
      <c r="AA37" s="689"/>
      <c r="AB37" s="689"/>
      <c r="AC37" s="689"/>
    </row>
    <row r="38" spans="1:29" ht="15.75" thickBot="1">
      <c r="A38" s="437" t="s">
        <v>1843</v>
      </c>
      <c r="B38" s="438" t="str">
        <f>B37</f>
        <v>元/平方米</v>
      </c>
      <c r="C38" s="1159" t="e">
        <f>R39</f>
        <v>#DIV/0!</v>
      </c>
      <c r="D38" s="2314" t="s">
        <v>2136</v>
      </c>
      <c r="E38" s="1160" t="e">
        <f>R38</f>
        <v>#DIV/0!</v>
      </c>
      <c r="F38" s="2315"/>
      <c r="G38" s="1159" t="e">
        <f>T38</f>
        <v>#DIV/0!</v>
      </c>
      <c r="H38" s="2315"/>
      <c r="I38" s="1160" t="e">
        <f>V38</f>
        <v>#DIV/0!</v>
      </c>
      <c r="J38" s="2315"/>
      <c r="K38" s="2317">
        <f>F38+H38+J38</f>
        <v>0</v>
      </c>
      <c r="L38" s="2718"/>
      <c r="M38" s="2719"/>
      <c r="N38" s="2719"/>
      <c r="O38" s="2719"/>
      <c r="P38" s="3728" t="str">
        <f>A38</f>
        <v>比较价值（元/平方米）</v>
      </c>
      <c r="Q38" s="3728"/>
      <c r="R38" s="3729" t="e">
        <f>IF(F1="售价",ROUND(PRODUCT(R37,AA7:AA36),0),ROUND(PRODUCT(R37,AA7:AA36),1))</f>
        <v>#DIV/0!</v>
      </c>
      <c r="S38" s="3729"/>
      <c r="T38" s="3729" t="e">
        <f>IF(F1="售价",ROUND(PRODUCT(T37,AB7:AB36),0),ROUND(PRODUCT(T37,AB7:AB36),1))</f>
        <v>#DIV/0!</v>
      </c>
      <c r="U38" s="3729"/>
      <c r="V38" s="3729" t="e">
        <f>IF(F1="售价",ROUND(PRODUCT(V37,AC7:AC36),0),ROUND(PRODUCT(V37,AC7:AC36),1))</f>
        <v>#DIV/0!</v>
      </c>
      <c r="W38" s="3729"/>
      <c r="X38" s="689"/>
      <c r="Y38" s="689"/>
      <c r="Z38" s="689"/>
      <c r="AA38" s="689"/>
      <c r="AB38" s="689"/>
      <c r="AC38" s="689"/>
    </row>
    <row r="39" spans="1:29" ht="15.75" thickBot="1">
      <c r="A39" s="441" t="s">
        <v>1844</v>
      </c>
      <c r="B39" s="442"/>
      <c r="C39" s="1162" t="e">
        <f>R39</f>
        <v>#DIV/0!</v>
      </c>
      <c r="D39" s="1162"/>
      <c r="E39" s="1162"/>
      <c r="F39" s="1162"/>
      <c r="G39" s="1162"/>
      <c r="H39" s="1162"/>
      <c r="I39" s="1162"/>
      <c r="J39" s="1162"/>
      <c r="K39" s="568"/>
      <c r="L39" s="2718"/>
      <c r="M39" s="2719"/>
      <c r="N39" s="2719"/>
      <c r="O39" s="2719"/>
      <c r="P39" s="3725" t="str">
        <f>A39</f>
        <v>估价对象XX用房的比较价值（楼面单价，元/平方米）</v>
      </c>
      <c r="Q39" s="3726"/>
      <c r="R39" s="3756" t="e">
        <f>IF(F1="售价",ROUND(IF(D38="简单平均",AVERAGE(R38:W38),R38*F38+T38*H38+V38*J38),0),ROUND(IF(D38="简单平均",AVERAGE(R38:V38),R38*F38+T38*H38+V38*J38),1))</f>
        <v>#DIV/0!</v>
      </c>
      <c r="S39" s="3756"/>
      <c r="T39" s="3756"/>
      <c r="U39" s="3756"/>
      <c r="V39" s="3756"/>
      <c r="W39" s="3756"/>
      <c r="X39" s="689"/>
      <c r="Y39" s="689"/>
      <c r="Z39" s="689"/>
      <c r="AA39" s="689"/>
      <c r="AB39" s="689"/>
      <c r="AC39" s="689"/>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5" t="s">
        <v>1848</v>
      </c>
      <c r="B47" s="926"/>
      <c r="C47" s="939"/>
      <c r="D47" s="939"/>
      <c r="E47" s="939"/>
      <c r="F47" s="1166"/>
      <c r="G47" s="1166"/>
      <c r="H47" s="939"/>
      <c r="I47" s="939"/>
      <c r="J47" s="939"/>
      <c r="K47" s="940"/>
      <c r="L47" s="941"/>
      <c r="M47" s="939"/>
      <c r="N47" s="2763"/>
      <c r="O47" s="2763"/>
      <c r="P47" s="2752"/>
      <c r="Q47" s="2733"/>
      <c r="R47" s="2719"/>
      <c r="S47" s="2719"/>
      <c r="T47" s="2719"/>
      <c r="U47" s="2719"/>
      <c r="V47" s="2719"/>
      <c r="W47" s="2719"/>
      <c r="X47" s="2719"/>
      <c r="Y47" s="2719"/>
      <c r="Z47" s="2719"/>
      <c r="AA47" s="2719"/>
      <c r="AB47" s="2719"/>
      <c r="AC47" s="2719"/>
    </row>
    <row r="48" spans="1:29" s="457" customFormat="1" ht="15">
      <c r="A48" s="454" t="s">
        <v>1849</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3"/>
      <c r="Q48" s="2735"/>
      <c r="R48" s="2735"/>
      <c r="S48" s="2735"/>
      <c r="T48" s="2735"/>
      <c r="U48" s="2735"/>
      <c r="V48" s="2735"/>
      <c r="W48" s="2735"/>
      <c r="X48" s="2735"/>
      <c r="Y48" s="2735"/>
      <c r="Z48" s="2735"/>
      <c r="AA48" s="2735"/>
      <c r="AB48" s="2735"/>
      <c r="AC48" s="2735"/>
    </row>
    <row r="49" spans="1:29" s="108" customFormat="1" ht="15">
      <c r="A49" s="458"/>
      <c r="B49" s="459"/>
      <c r="C49" s="1176">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1714</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1679</v>
      </c>
      <c r="B51" s="459"/>
      <c r="C51" s="471" t="s">
        <v>1774</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6">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1717</v>
      </c>
      <c r="B53" s="477" t="s">
        <v>1683</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1686</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7">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1725</v>
      </c>
      <c r="C65" s="527" t="s">
        <v>1719</v>
      </c>
      <c r="D65" s="527" t="s">
        <v>1720</v>
      </c>
      <c r="E65" s="527" t="s">
        <v>1721</v>
      </c>
      <c r="F65" s="527" t="s">
        <v>1722</v>
      </c>
      <c r="G65" s="527" t="s">
        <v>1723</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1811</v>
      </c>
      <c r="C67" s="607" t="s">
        <v>1797</v>
      </c>
      <c r="D67" s="607" t="s">
        <v>1798</v>
      </c>
      <c r="E67" s="607" t="s">
        <v>1799</v>
      </c>
      <c r="F67" s="607" t="s">
        <v>1800</v>
      </c>
      <c r="G67" s="607" t="s">
        <v>1801</v>
      </c>
      <c r="H67" s="488"/>
      <c r="I67" s="488"/>
      <c r="J67" s="488"/>
      <c r="K67" s="488"/>
      <c r="L67" s="488"/>
      <c r="M67" s="1128"/>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1731</v>
      </c>
      <c r="C69" s="527" t="s">
        <v>1719</v>
      </c>
      <c r="D69" s="527" t="s">
        <v>1720</v>
      </c>
      <c r="E69" s="527" t="s">
        <v>1721</v>
      </c>
      <c r="F69" s="527" t="s">
        <v>1722</v>
      </c>
      <c r="G69" s="527" t="s">
        <v>1723</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1850</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1692</v>
      </c>
      <c r="B79" s="477" t="s">
        <v>1851</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1852</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1738</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1854</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1856</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1857</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3">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3326</v>
      </c>
      <c r="C1" s="1223" t="s">
        <v>1660</v>
      </c>
      <c r="D1" s="1224"/>
      <c r="E1" s="3427"/>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29" ht="15">
      <c r="A4" s="355" t="s">
        <v>1767</v>
      </c>
      <c r="B4" s="356"/>
      <c r="C4" s="3711" t="s">
        <v>1768</v>
      </c>
      <c r="D4" s="3712"/>
      <c r="E4" s="3713" t="s">
        <v>1769</v>
      </c>
      <c r="F4" s="3714"/>
      <c r="G4" s="3711" t="s">
        <v>1770</v>
      </c>
      <c r="H4" s="3712"/>
      <c r="I4" s="3711" t="s">
        <v>1771</v>
      </c>
      <c r="J4" s="3712"/>
      <c r="K4" s="559" t="s">
        <v>1772</v>
      </c>
      <c r="L4" s="2709"/>
      <c r="M4" s="2710"/>
      <c r="N4" s="2710"/>
      <c r="O4" s="2710"/>
      <c r="P4" s="3715" t="s">
        <v>1773</v>
      </c>
      <c r="Q4" s="3716"/>
      <c r="R4" s="3698" t="s">
        <v>1769</v>
      </c>
      <c r="S4" s="3699"/>
      <c r="T4" s="3698" t="s">
        <v>1770</v>
      </c>
      <c r="U4" s="3699"/>
      <c r="V4" s="3723" t="s">
        <v>1771</v>
      </c>
      <c r="W4" s="3723"/>
      <c r="X4" s="1354"/>
      <c r="Y4" s="3698" t="s">
        <v>1773</v>
      </c>
      <c r="Z4" s="3699"/>
      <c r="AA4" s="3693" t="s">
        <v>1769</v>
      </c>
      <c r="AB4" s="3694" t="s">
        <v>1770</v>
      </c>
      <c r="AC4" s="3693" t="s">
        <v>1771</v>
      </c>
    </row>
    <row r="5" spans="1:29" ht="15">
      <c r="A5" s="358"/>
      <c r="B5" s="359"/>
      <c r="C5" s="3704" t="s">
        <v>1671</v>
      </c>
      <c r="D5" s="3705"/>
      <c r="E5" s="3702" t="s">
        <v>1672</v>
      </c>
      <c r="F5" s="3703"/>
      <c r="G5" s="3704" t="s">
        <v>1673</v>
      </c>
      <c r="H5" s="3705"/>
      <c r="I5" s="3704" t="s">
        <v>1674</v>
      </c>
      <c r="J5" s="3705"/>
      <c r="K5" s="559"/>
      <c r="L5" s="2709"/>
      <c r="M5" s="2710"/>
      <c r="N5" s="2710"/>
      <c r="O5" s="2710"/>
      <c r="P5" s="3717"/>
      <c r="Q5" s="3718"/>
      <c r="R5" s="3700"/>
      <c r="S5" s="3701"/>
      <c r="T5" s="3700"/>
      <c r="U5" s="3701"/>
      <c r="V5" s="3723"/>
      <c r="W5" s="3723"/>
      <c r="X5" s="1354"/>
      <c r="Y5" s="3700"/>
      <c r="Z5" s="3701"/>
      <c r="AA5" s="3694"/>
      <c r="AB5" s="3694"/>
      <c r="AC5" s="3694"/>
    </row>
    <row r="6" spans="1:29" ht="15.75" thickBot="1">
      <c r="A6" s="360"/>
      <c r="B6" s="361"/>
      <c r="C6" s="3706" t="s">
        <v>1675</v>
      </c>
      <c r="D6" s="3707"/>
      <c r="E6" s="3708" t="s">
        <v>1675</v>
      </c>
      <c r="F6" s="3709"/>
      <c r="G6" s="3706" t="s">
        <v>1675</v>
      </c>
      <c r="H6" s="3707"/>
      <c r="I6" s="3706" t="s">
        <v>1675</v>
      </c>
      <c r="J6" s="3707"/>
      <c r="K6" s="559" t="s">
        <v>1676</v>
      </c>
      <c r="L6" s="2709"/>
      <c r="M6" s="2710"/>
      <c r="N6" s="2710"/>
      <c r="O6" s="2710"/>
      <c r="P6" s="3719"/>
      <c r="Q6" s="3720"/>
      <c r="R6" s="3700"/>
      <c r="S6" s="3701"/>
      <c r="T6" s="3721"/>
      <c r="U6" s="3722"/>
      <c r="V6" s="3723"/>
      <c r="W6" s="3723"/>
      <c r="X6" s="1354"/>
      <c r="Y6" s="3721"/>
      <c r="Z6" s="3722"/>
      <c r="AA6" s="3695"/>
      <c r="AB6" s="3695"/>
      <c r="AC6" s="3695"/>
    </row>
    <row r="7" spans="1:29" s="108" customFormat="1" ht="15.75" thickBot="1">
      <c r="A7" s="362" t="s">
        <v>1677</v>
      </c>
      <c r="B7" s="363"/>
      <c r="C7" s="364">
        <f>'数据-取费表'!B2</f>
        <v>45135</v>
      </c>
      <c r="D7" s="365">
        <v>100</v>
      </c>
      <c r="E7" s="366"/>
      <c r="F7" s="367">
        <f>SUMIF(46:46,YEAR(E7)&amp;"-"&amp;MONTH(E7),47:47)</f>
        <v>0</v>
      </c>
      <c r="G7" s="1971"/>
      <c r="H7" s="365">
        <f>SUMIF(46:46,YEAR(G7)&amp;"-"&amp;MONTH(G7),47:47)</f>
        <v>0</v>
      </c>
      <c r="I7" s="366"/>
      <c r="J7" s="365">
        <f>SUMIF(46:46,YEAR(I7)&amp;"-"&amp;MONTH(I7),47:47)</f>
        <v>0</v>
      </c>
      <c r="K7" s="560"/>
      <c r="L7" s="2711"/>
      <c r="M7" s="2712"/>
      <c r="N7" s="2712"/>
      <c r="O7" s="2712"/>
      <c r="P7" s="3696" t="s">
        <v>1678</v>
      </c>
      <c r="Q7" s="3724"/>
      <c r="R7" s="700" t="s">
        <v>14</v>
      </c>
      <c r="S7" s="701">
        <f t="shared" ref="S7:S14" si="0">F7</f>
        <v>0</v>
      </c>
      <c r="T7" s="700" t="s">
        <v>14</v>
      </c>
      <c r="U7" s="701">
        <f t="shared" ref="U7:U14" si="1">H7</f>
        <v>0</v>
      </c>
      <c r="V7" s="700" t="s">
        <v>14</v>
      </c>
      <c r="W7" s="701">
        <f t="shared" ref="W7:W14" si="2">J7</f>
        <v>0</v>
      </c>
      <c r="X7" s="702"/>
      <c r="Y7" s="3696" t="s">
        <v>1678</v>
      </c>
      <c r="Z7" s="3697"/>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96" t="s">
        <v>1681</v>
      </c>
      <c r="Q8" s="3697"/>
      <c r="R8" s="700" t="s">
        <v>14</v>
      </c>
      <c r="S8" s="701">
        <f t="shared" si="0"/>
        <v>100</v>
      </c>
      <c r="T8" s="700" t="s">
        <v>14</v>
      </c>
      <c r="U8" s="701">
        <f t="shared" si="1"/>
        <v>100</v>
      </c>
      <c r="V8" s="700" t="s">
        <v>14</v>
      </c>
      <c r="W8" s="701">
        <f t="shared" si="2"/>
        <v>100</v>
      </c>
      <c r="X8" s="702"/>
      <c r="Y8" s="3696" t="s">
        <v>1681</v>
      </c>
      <c r="Z8" s="3697"/>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28" t="s">
        <v>1684</v>
      </c>
      <c r="Q9" s="1342" t="str">
        <f t="shared" ref="Q9:Q14" si="6">B9</f>
        <v>用途</v>
      </c>
      <c r="R9" s="700" t="s">
        <v>14</v>
      </c>
      <c r="S9" s="701">
        <f t="shared" si="0"/>
        <v>100</v>
      </c>
      <c r="T9" s="700" t="s">
        <v>14</v>
      </c>
      <c r="U9" s="701">
        <f t="shared" si="1"/>
        <v>100</v>
      </c>
      <c r="V9" s="700" t="s">
        <v>14</v>
      </c>
      <c r="W9" s="701">
        <f t="shared" si="2"/>
        <v>100</v>
      </c>
      <c r="X9" s="702"/>
      <c r="Y9" s="3621" t="s">
        <v>1685</v>
      </c>
      <c r="Z9" s="52" t="str">
        <f t="shared" ref="Z9:Z14" si="7">Q9</f>
        <v>用途</v>
      </c>
      <c r="AA9" s="703">
        <f t="shared" si="3"/>
        <v>1</v>
      </c>
      <c r="AB9" s="703">
        <f t="shared" si="4"/>
        <v>1</v>
      </c>
      <c r="AC9" s="703">
        <f t="shared" si="5"/>
        <v>1</v>
      </c>
    </row>
    <row r="10" spans="1:29" s="378" customFormat="1" ht="27">
      <c r="A10" s="374"/>
      <c r="B10" s="375" t="s">
        <v>1686</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28"/>
      <c r="Q10" s="1342"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28"/>
      <c r="Q11" s="1342">
        <f t="shared" si="6"/>
        <v>111</v>
      </c>
      <c r="R11" s="700" t="s">
        <v>14</v>
      </c>
      <c r="S11" s="701">
        <f t="shared" si="0"/>
        <v>100</v>
      </c>
      <c r="T11" s="700" t="s">
        <v>14</v>
      </c>
      <c r="U11" s="701">
        <f t="shared" si="1"/>
        <v>100</v>
      </c>
      <c r="V11" s="700" t="s">
        <v>14</v>
      </c>
      <c r="W11" s="701">
        <f t="shared" si="2"/>
        <v>100</v>
      </c>
      <c r="X11" s="702"/>
      <c r="Y11" s="3621"/>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28"/>
      <c r="Q12" s="1342">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6"/>
      <c r="M13" s="2710"/>
      <c r="N13" s="2710"/>
      <c r="O13" s="2768"/>
      <c r="P13" s="3728"/>
      <c r="Q13" s="1342">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703">
        <f t="shared" si="5"/>
        <v>1</v>
      </c>
    </row>
    <row r="14" spans="1:29" ht="15">
      <c r="A14" s="391" t="s">
        <v>1688</v>
      </c>
      <c r="B14" s="61" t="s">
        <v>1831</v>
      </c>
      <c r="C14" s="1968"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30" t="s">
        <v>1689</v>
      </c>
      <c r="Q14" s="1351" t="str">
        <f t="shared" si="6"/>
        <v>交通便捷度</v>
      </c>
      <c r="R14" s="704" t="s">
        <v>14</v>
      </c>
      <c r="S14" s="705">
        <f t="shared" si="0"/>
        <v>100</v>
      </c>
      <c r="T14" s="704" t="s">
        <v>14</v>
      </c>
      <c r="U14" s="705">
        <f t="shared" si="1"/>
        <v>100</v>
      </c>
      <c r="V14" s="704" t="s">
        <v>14</v>
      </c>
      <c r="W14" s="705">
        <f t="shared" si="2"/>
        <v>100</v>
      </c>
      <c r="X14" s="1354"/>
      <c r="Y14" s="3730" t="s">
        <v>1689</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6"/>
      <c r="M15" s="2710"/>
      <c r="N15" s="2710"/>
      <c r="O15" s="2768"/>
      <c r="P15" s="3731"/>
      <c r="Q15" s="1351"/>
      <c r="R15" s="704"/>
      <c r="S15" s="705"/>
      <c r="T15" s="704"/>
      <c r="U15" s="705"/>
      <c r="V15" s="704"/>
      <c r="W15" s="705"/>
      <c r="X15" s="1354"/>
      <c r="Y15" s="3731"/>
      <c r="Z15" s="1355"/>
      <c r="AA15" s="1352">
        <v>1</v>
      </c>
      <c r="AB15" s="1352">
        <v>1</v>
      </c>
      <c r="AC15" s="1352">
        <v>1</v>
      </c>
    </row>
    <row r="16" spans="1:29" ht="15">
      <c r="A16" s="379"/>
      <c r="B16" s="402" t="s">
        <v>1810</v>
      </c>
      <c r="C16" s="1899" t="str">
        <f>IF(B1="工业",估价对象房地状况!G5,估价对象房地状况!C7)</f>
        <v>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31"/>
      <c r="Q16" s="1351" t="str">
        <f>B16</f>
        <v>公共配套设施</v>
      </c>
      <c r="R16" s="704" t="s">
        <v>14</v>
      </c>
      <c r="S16" s="705">
        <f>F16</f>
        <v>100</v>
      </c>
      <c r="T16" s="704" t="s">
        <v>14</v>
      </c>
      <c r="U16" s="705">
        <f>H16</f>
        <v>100</v>
      </c>
      <c r="V16" s="704" t="s">
        <v>14</v>
      </c>
      <c r="W16" s="705">
        <f>J16</f>
        <v>100</v>
      </c>
      <c r="X16" s="1354"/>
      <c r="Y16" s="373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6"/>
      <c r="M17" s="2710"/>
      <c r="N17" s="2710"/>
      <c r="O17" s="2768"/>
      <c r="P17" s="3731"/>
      <c r="Q17" s="1351"/>
      <c r="R17" s="704"/>
      <c r="S17" s="705"/>
      <c r="T17" s="704"/>
      <c r="U17" s="705"/>
      <c r="V17" s="704"/>
      <c r="W17" s="705"/>
      <c r="X17" s="1354"/>
      <c r="Y17" s="3731"/>
      <c r="Z17" s="1355"/>
      <c r="AA17" s="1352">
        <v>1</v>
      </c>
      <c r="AB17" s="1352">
        <v>1</v>
      </c>
      <c r="AC17" s="1352">
        <v>1</v>
      </c>
    </row>
    <row r="18" spans="1:29" ht="15">
      <c r="A18" s="379"/>
      <c r="B18" s="1130" t="s">
        <v>1811</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31"/>
      <c r="Q18" s="1351" t="str">
        <f>B18</f>
        <v>基础设施水平</v>
      </c>
      <c r="R18" s="704" t="s">
        <v>14</v>
      </c>
      <c r="S18" s="705">
        <f>F18</f>
        <v>100</v>
      </c>
      <c r="T18" s="704" t="s">
        <v>14</v>
      </c>
      <c r="U18" s="705">
        <f>H18</f>
        <v>100</v>
      </c>
      <c r="V18" s="704" t="s">
        <v>14</v>
      </c>
      <c r="W18" s="705">
        <f>J18</f>
        <v>100</v>
      </c>
      <c r="X18" s="1354"/>
      <c r="Y18" s="3731"/>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6"/>
      <c r="M19" s="2710"/>
      <c r="N19" s="2710"/>
      <c r="O19" s="2768"/>
      <c r="P19" s="3731"/>
      <c r="Q19" s="1351"/>
      <c r="R19" s="704"/>
      <c r="S19" s="705"/>
      <c r="T19" s="704"/>
      <c r="U19" s="705"/>
      <c r="V19" s="704"/>
      <c r="W19" s="705"/>
      <c r="X19" s="1354"/>
      <c r="Y19" s="3731"/>
      <c r="Z19" s="1355"/>
      <c r="AA19" s="1352">
        <v>1</v>
      </c>
      <c r="AB19" s="1352">
        <v>1</v>
      </c>
      <c r="AC19" s="1352">
        <v>1</v>
      </c>
    </row>
    <row r="20" spans="1:29" ht="15">
      <c r="A20" s="379"/>
      <c r="B20" s="402" t="s">
        <v>1832</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31"/>
      <c r="Q20" s="1351" t="str">
        <f>B20</f>
        <v>自然及人文环境</v>
      </c>
      <c r="R20" s="704" t="s">
        <v>14</v>
      </c>
      <c r="S20" s="705">
        <f>F20</f>
        <v>100</v>
      </c>
      <c r="T20" s="704" t="s">
        <v>14</v>
      </c>
      <c r="U20" s="705">
        <f>H20</f>
        <v>100</v>
      </c>
      <c r="V20" s="704" t="s">
        <v>14</v>
      </c>
      <c r="W20" s="705">
        <f>J20</f>
        <v>100</v>
      </c>
      <c r="X20" s="1354"/>
      <c r="Y20" s="373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6"/>
      <c r="M21" s="2710"/>
      <c r="N21" s="2710"/>
      <c r="O21" s="2768"/>
      <c r="P21" s="3731"/>
      <c r="Q21" s="1351"/>
      <c r="R21" s="704"/>
      <c r="S21" s="705"/>
      <c r="T21" s="704"/>
      <c r="U21" s="705"/>
      <c r="V21" s="704"/>
      <c r="W21" s="705"/>
      <c r="X21" s="1354"/>
      <c r="Y21" s="3731"/>
      <c r="Z21" s="1355"/>
      <c r="AA21" s="1352">
        <v>1</v>
      </c>
      <c r="AB21" s="1352">
        <v>1</v>
      </c>
      <c r="AC21" s="1352">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31"/>
      <c r="Q22" s="1351" t="str">
        <f>B22</f>
        <v>楼层</v>
      </c>
      <c r="R22" s="704" t="s">
        <v>14</v>
      </c>
      <c r="S22" s="705">
        <f>F22</f>
        <v>100</v>
      </c>
      <c r="T22" s="704" t="s">
        <v>14</v>
      </c>
      <c r="U22" s="705">
        <f>H22</f>
        <v>100</v>
      </c>
      <c r="V22" s="704" t="s">
        <v>14</v>
      </c>
      <c r="W22" s="705">
        <f>J22</f>
        <v>100</v>
      </c>
      <c r="X22" s="1354"/>
      <c r="Y22" s="373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31"/>
      <c r="Q23" s="1351">
        <f>B23</f>
        <v>111</v>
      </c>
      <c r="R23" s="704" t="s">
        <v>14</v>
      </c>
      <c r="S23" s="705">
        <f>F23</f>
        <v>100</v>
      </c>
      <c r="T23" s="704" t="s">
        <v>14</v>
      </c>
      <c r="U23" s="705">
        <f>H23</f>
        <v>100</v>
      </c>
      <c r="V23" s="704" t="s">
        <v>14</v>
      </c>
      <c r="W23" s="705">
        <f>J23</f>
        <v>100</v>
      </c>
      <c r="X23" s="1354"/>
      <c r="Y23" s="373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31"/>
      <c r="Q24" s="1351">
        <f t="shared" ref="Q24:Q34" si="11">B24</f>
        <v>111</v>
      </c>
      <c r="R24" s="704" t="s">
        <v>14</v>
      </c>
      <c r="S24" s="705">
        <f>F24</f>
        <v>100</v>
      </c>
      <c r="T24" s="704" t="s">
        <v>14</v>
      </c>
      <c r="U24" s="705">
        <f>H24</f>
        <v>100</v>
      </c>
      <c r="V24" s="704" t="s">
        <v>14</v>
      </c>
      <c r="W24" s="705">
        <f>J24</f>
        <v>100</v>
      </c>
      <c r="X24" s="1354"/>
      <c r="Y24" s="3731"/>
      <c r="Z24" s="1355">
        <f>Q24</f>
        <v>111</v>
      </c>
      <c r="AA24" s="1352">
        <f t="shared" si="3"/>
        <v>1</v>
      </c>
      <c r="AB24" s="1352">
        <f t="shared" si="4"/>
        <v>1</v>
      </c>
      <c r="AC24" s="1352">
        <f t="shared" si="5"/>
        <v>1</v>
      </c>
    </row>
    <row r="25" spans="1:29" s="108" customFormat="1" ht="15.75" thickBot="1">
      <c r="A25" s="382"/>
      <c r="B25" s="1892">
        <v>111</v>
      </c>
      <c r="C25" s="1973"/>
      <c r="D25" s="612">
        <v>100</v>
      </c>
      <c r="E25" s="1973"/>
      <c r="F25" s="613">
        <f>SUMIF(75:75,E25,76:76)-SUMIF(75:75,C25,76:76)+100</f>
        <v>100</v>
      </c>
      <c r="G25" s="1973"/>
      <c r="H25" s="612">
        <f>SUMIF(75:75,G25,76:76)-SUMIF(75:75,C25,76:76)+100</f>
        <v>100</v>
      </c>
      <c r="I25" s="1973"/>
      <c r="J25" s="612">
        <f>SUMIF(75:75,I25,76:76)-SUMIF(75:75,C25,76:76)+100</f>
        <v>100</v>
      </c>
      <c r="K25" s="562"/>
      <c r="L25" s="2711"/>
      <c r="M25" s="2712"/>
      <c r="N25" s="2712"/>
      <c r="O25" s="2766"/>
      <c r="P25" s="3731"/>
      <c r="Q25" s="1342">
        <f t="shared" si="11"/>
        <v>111</v>
      </c>
      <c r="R25" s="700" t="s">
        <v>14</v>
      </c>
      <c r="S25" s="701">
        <f>F25</f>
        <v>100</v>
      </c>
      <c r="T25" s="700" t="s">
        <v>14</v>
      </c>
      <c r="U25" s="701">
        <f>H25</f>
        <v>100</v>
      </c>
      <c r="V25" s="700" t="s">
        <v>14</v>
      </c>
      <c r="W25" s="701">
        <f>J25</f>
        <v>100</v>
      </c>
      <c r="X25" s="702"/>
      <c r="Y25" s="3731"/>
      <c r="Z25" s="52">
        <f>Q25</f>
        <v>111</v>
      </c>
      <c r="AA25" s="1352">
        <f>D25/F25</f>
        <v>1</v>
      </c>
      <c r="AB25" s="1352">
        <f>D25/H25</f>
        <v>1</v>
      </c>
      <c r="AC25" s="1352">
        <f>D25/J25</f>
        <v>1</v>
      </c>
    </row>
    <row r="26" spans="1:29" ht="28.5">
      <c r="A26" s="417" t="s">
        <v>1692</v>
      </c>
      <c r="B26" s="63" t="s">
        <v>1836</v>
      </c>
      <c r="C26" s="1964"/>
      <c r="D26" s="418">
        <v>100</v>
      </c>
      <c r="E26" s="1964"/>
      <c r="F26" s="614">
        <f>SUMIF(77:77,E26,78:78)-SUMIF(77:77,C26,78:78)+100</f>
        <v>100</v>
      </c>
      <c r="G26" s="1964"/>
      <c r="H26" s="418">
        <f>SUMIF(77:77,G26,78:78)-SUMIF(77:77,C26,78:78)+100</f>
        <v>100</v>
      </c>
      <c r="I26" s="1964"/>
      <c r="J26" s="418">
        <f>SUMIF(77:77,I26,78:78)-SUMIF(77:77,C26,78:78)+100</f>
        <v>100</v>
      </c>
      <c r="K26" s="561"/>
      <c r="L26" s="2716"/>
      <c r="M26" s="2710"/>
      <c r="N26" s="2710"/>
      <c r="O26" s="2768"/>
      <c r="P26" s="3755" t="s">
        <v>1694</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35" t="s">
        <v>1694</v>
      </c>
      <c r="Z26" s="1355" t="str">
        <f t="shared" ref="Z26:Z34" si="15">Q26</f>
        <v>公共部分装修</v>
      </c>
      <c r="AA26" s="1352">
        <f t="shared" si="3"/>
        <v>1</v>
      </c>
      <c r="AB26" s="1352">
        <f t="shared" si="4"/>
        <v>1</v>
      </c>
      <c r="AC26" s="1352">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35"/>
      <c r="Q27" s="706" t="str">
        <f t="shared" si="11"/>
        <v>成新率</v>
      </c>
      <c r="R27" s="707" t="s">
        <v>14</v>
      </c>
      <c r="S27" s="708" t="e">
        <f t="shared" si="12"/>
        <v>#N/A</v>
      </c>
      <c r="T27" s="707" t="s">
        <v>14</v>
      </c>
      <c r="U27" s="708" t="e">
        <f t="shared" si="13"/>
        <v>#N/A</v>
      </c>
      <c r="V27" s="707" t="s">
        <v>14</v>
      </c>
      <c r="W27" s="708" t="e">
        <f t="shared" si="14"/>
        <v>#N/A</v>
      </c>
      <c r="X27" s="709"/>
      <c r="Y27" s="3735"/>
      <c r="Z27" s="710" t="str">
        <f t="shared" si="15"/>
        <v>成新率</v>
      </c>
      <c r="AA27" s="1352" t="e">
        <f t="shared" si="3"/>
        <v>#N/A</v>
      </c>
      <c r="AB27" s="1352" t="e">
        <f t="shared" si="4"/>
        <v>#N/A</v>
      </c>
      <c r="AC27" s="1352"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35"/>
      <c r="Q28" s="1351" t="str">
        <f t="shared" si="11"/>
        <v>物业等级</v>
      </c>
      <c r="R28" s="704" t="s">
        <v>14</v>
      </c>
      <c r="S28" s="705">
        <f t="shared" si="12"/>
        <v>100</v>
      </c>
      <c r="T28" s="704" t="s">
        <v>14</v>
      </c>
      <c r="U28" s="705">
        <f t="shared" si="13"/>
        <v>100</v>
      </c>
      <c r="V28" s="704" t="s">
        <v>14</v>
      </c>
      <c r="W28" s="705">
        <f t="shared" si="14"/>
        <v>100</v>
      </c>
      <c r="X28" s="1354"/>
      <c r="Y28" s="3735"/>
      <c r="Z28" s="1355" t="str">
        <f t="shared" si="15"/>
        <v>物业等级</v>
      </c>
      <c r="AA28" s="1352">
        <f t="shared" si="3"/>
        <v>1</v>
      </c>
      <c r="AB28" s="1352">
        <f t="shared" si="4"/>
        <v>1</v>
      </c>
      <c r="AC28" s="1352">
        <f t="shared" si="5"/>
        <v>1</v>
      </c>
    </row>
    <row r="29" spans="1:29" ht="15">
      <c r="A29" s="423"/>
      <c r="B29" s="375" t="s">
        <v>1858</v>
      </c>
      <c r="C29" s="604"/>
      <c r="D29" s="386">
        <v>100</v>
      </c>
      <c r="E29" s="604"/>
      <c r="F29" s="412">
        <f>SUMIF(84:84,E29,85:85)-SUMIF(84:84,C29,85:85)+100</f>
        <v>100</v>
      </c>
      <c r="G29" s="604"/>
      <c r="H29" s="386">
        <f>SUMIF(84:84,G29,85:85)-SUMIF(84:84,C29,85:85)+100</f>
        <v>100</v>
      </c>
      <c r="I29" s="604"/>
      <c r="J29" s="386">
        <f>SUMIF(84:84,I29,85:85)-SUMIF(84:84,C29,85:85)+100</f>
        <v>100</v>
      </c>
      <c r="K29" s="561"/>
      <c r="L29" s="2716"/>
      <c r="M29" s="2710"/>
      <c r="N29" s="2710"/>
      <c r="O29" s="2768"/>
      <c r="P29" s="3735"/>
      <c r="Q29" s="1351" t="str">
        <f t="shared" si="11"/>
        <v>有无电梯</v>
      </c>
      <c r="R29" s="704" t="s">
        <v>14</v>
      </c>
      <c r="S29" s="705">
        <f t="shared" si="12"/>
        <v>100</v>
      </c>
      <c r="T29" s="704" t="s">
        <v>14</v>
      </c>
      <c r="U29" s="705">
        <f t="shared" si="13"/>
        <v>100</v>
      </c>
      <c r="V29" s="704" t="s">
        <v>14</v>
      </c>
      <c r="W29" s="705">
        <f t="shared" si="14"/>
        <v>100</v>
      </c>
      <c r="X29" s="1354"/>
      <c r="Y29" s="3735"/>
      <c r="Z29" s="1355" t="str">
        <f t="shared" si="15"/>
        <v>有无电梯</v>
      </c>
      <c r="AA29" s="1352">
        <f t="shared" si="3"/>
        <v>1</v>
      </c>
      <c r="AB29" s="1352">
        <f t="shared" si="4"/>
        <v>1</v>
      </c>
      <c r="AC29" s="1352">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35"/>
      <c r="Q30" s="1351" t="str">
        <f t="shared" si="11"/>
        <v>建筑面积</v>
      </c>
      <c r="R30" s="704" t="s">
        <v>14</v>
      </c>
      <c r="S30" s="705" t="e">
        <f t="shared" si="12"/>
        <v>#N/A</v>
      </c>
      <c r="T30" s="704" t="s">
        <v>14</v>
      </c>
      <c r="U30" s="705" t="e">
        <f t="shared" si="13"/>
        <v>#N/A</v>
      </c>
      <c r="V30" s="704" t="s">
        <v>14</v>
      </c>
      <c r="W30" s="705" t="e">
        <f t="shared" si="14"/>
        <v>#N/A</v>
      </c>
      <c r="X30" s="1354"/>
      <c r="Y30" s="3735"/>
      <c r="Z30" s="1355" t="str">
        <f t="shared" si="15"/>
        <v>建筑面积</v>
      </c>
      <c r="AA30" s="1352" t="e">
        <f t="shared" si="3"/>
        <v>#N/A</v>
      </c>
      <c r="AB30" s="1352" t="e">
        <f t="shared" si="4"/>
        <v>#N/A</v>
      </c>
      <c r="AC30" s="1352" t="e">
        <f t="shared" si="5"/>
        <v>#N/A</v>
      </c>
    </row>
    <row r="31" spans="1:29" s="108" customFormat="1" ht="15">
      <c r="A31" s="424"/>
      <c r="B31" s="375" t="s">
        <v>1860</v>
      </c>
      <c r="C31" s="604"/>
      <c r="D31" s="127">
        <v>100</v>
      </c>
      <c r="E31" s="604"/>
      <c r="F31" s="412">
        <f>SUMIF(89:89,E31,90:90)-SUMIF(89:89,C31,90:90)+100</f>
        <v>100</v>
      </c>
      <c r="G31" s="604"/>
      <c r="H31" s="386">
        <f>SUMIF(89:89,G31,90:90)-SUMIF(89:89,C31,90:90)+100</f>
        <v>100</v>
      </c>
      <c r="I31" s="604"/>
      <c r="J31" s="386">
        <f>SUMIF(89:89,I31,90:90)-SUMIF(89:89,C31,90:90)+100</f>
        <v>100</v>
      </c>
      <c r="K31" s="561"/>
      <c r="L31" s="2711"/>
      <c r="M31" s="2712"/>
      <c r="N31" s="2712"/>
      <c r="O31" s="2766"/>
      <c r="P31" s="3735"/>
      <c r="Q31" s="1342" t="str">
        <f t="shared" si="11"/>
        <v>是否封闭</v>
      </c>
      <c r="R31" s="700" t="s">
        <v>14</v>
      </c>
      <c r="S31" s="701">
        <f t="shared" si="12"/>
        <v>100</v>
      </c>
      <c r="T31" s="700" t="s">
        <v>14</v>
      </c>
      <c r="U31" s="701">
        <f t="shared" si="13"/>
        <v>100</v>
      </c>
      <c r="V31" s="700" t="s">
        <v>14</v>
      </c>
      <c r="W31" s="701">
        <f t="shared" si="14"/>
        <v>100</v>
      </c>
      <c r="X31" s="702"/>
      <c r="Y31" s="3735"/>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35" t="s">
        <v>1694</v>
      </c>
      <c r="Q32" s="1351">
        <f t="shared" si="11"/>
        <v>111</v>
      </c>
      <c r="R32" s="704" t="s">
        <v>14</v>
      </c>
      <c r="S32" s="705">
        <f t="shared" si="12"/>
        <v>100</v>
      </c>
      <c r="T32" s="704" t="s">
        <v>14</v>
      </c>
      <c r="U32" s="705">
        <f t="shared" si="13"/>
        <v>100</v>
      </c>
      <c r="V32" s="704" t="s">
        <v>14</v>
      </c>
      <c r="W32" s="705">
        <f t="shared" si="14"/>
        <v>100</v>
      </c>
      <c r="X32" s="1354"/>
      <c r="Y32" s="3735" t="s">
        <v>1694</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35"/>
      <c r="Q33" s="1351">
        <f t="shared" si="11"/>
        <v>111</v>
      </c>
      <c r="R33" s="704" t="s">
        <v>14</v>
      </c>
      <c r="S33" s="705">
        <f t="shared" si="12"/>
        <v>100</v>
      </c>
      <c r="T33" s="704" t="s">
        <v>14</v>
      </c>
      <c r="U33" s="705">
        <f t="shared" si="13"/>
        <v>100</v>
      </c>
      <c r="V33" s="704" t="s">
        <v>14</v>
      </c>
      <c r="W33" s="705">
        <f t="shared" si="14"/>
        <v>100</v>
      </c>
      <c r="X33" s="1354"/>
      <c r="Y33" s="3735"/>
      <c r="Z33" s="1355">
        <f t="shared" si="15"/>
        <v>111</v>
      </c>
      <c r="AA33" s="1352">
        <f t="shared" si="3"/>
        <v>1</v>
      </c>
      <c r="AB33" s="1352">
        <f t="shared" si="4"/>
        <v>1</v>
      </c>
      <c r="AC33" s="1352">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6"/>
      <c r="M34" s="2710"/>
      <c r="N34" s="2710"/>
      <c r="O34" s="2768"/>
      <c r="P34" s="3735"/>
      <c r="Q34" s="1351">
        <f t="shared" si="11"/>
        <v>111</v>
      </c>
      <c r="R34" s="704" t="s">
        <v>14</v>
      </c>
      <c r="S34" s="705">
        <f t="shared" si="12"/>
        <v>100</v>
      </c>
      <c r="T34" s="704" t="s">
        <v>14</v>
      </c>
      <c r="U34" s="705">
        <f t="shared" si="13"/>
        <v>100</v>
      </c>
      <c r="V34" s="704" t="s">
        <v>14</v>
      </c>
      <c r="W34" s="705">
        <f t="shared" si="14"/>
        <v>100</v>
      </c>
      <c r="X34" s="1354"/>
      <c r="Y34" s="3735"/>
      <c r="Z34" s="1355">
        <f t="shared" si="15"/>
        <v>111</v>
      </c>
      <c r="AA34" s="1352">
        <f t="shared" si="3"/>
        <v>1</v>
      </c>
      <c r="AB34" s="1352">
        <f t="shared" si="4"/>
        <v>1</v>
      </c>
      <c r="AC34" s="1352">
        <f t="shared" si="5"/>
        <v>1</v>
      </c>
    </row>
    <row r="35" spans="1:30" ht="15">
      <c r="A35" s="430" t="s">
        <v>1706</v>
      </c>
      <c r="B35" s="431"/>
      <c r="C35" s="1153" t="s">
        <v>0</v>
      </c>
      <c r="D35" s="1154"/>
      <c r="E35" s="1155"/>
      <c r="F35" s="1156"/>
      <c r="G35" s="1157"/>
      <c r="H35" s="1158"/>
      <c r="I35" s="1155"/>
      <c r="J35" s="1158"/>
      <c r="K35" s="713"/>
      <c r="L35" s="2718"/>
      <c r="M35" s="2719"/>
      <c r="N35" s="2710"/>
      <c r="O35" s="2719"/>
      <c r="P35" s="3728" t="str">
        <f>A35</f>
        <v>成交单价（元/平方米）</v>
      </c>
      <c r="Q35" s="3728"/>
      <c r="R35" s="3729">
        <f>E35</f>
        <v>0</v>
      </c>
      <c r="S35" s="3729"/>
      <c r="T35" s="3729">
        <f>G35</f>
        <v>0</v>
      </c>
      <c r="U35" s="3729"/>
      <c r="V35" s="3729">
        <f>I35</f>
        <v>0</v>
      </c>
      <c r="W35" s="3729"/>
      <c r="X35" s="689"/>
      <c r="Y35" s="711"/>
      <c r="Z35" s="689"/>
      <c r="AA35" s="689"/>
      <c r="AB35" s="689"/>
      <c r="AC35" s="689"/>
    </row>
    <row r="36" spans="1:30" ht="15.75" thickBot="1">
      <c r="A36" s="437" t="s">
        <v>1791</v>
      </c>
      <c r="B36" s="438"/>
      <c r="C36" s="1159" t="e">
        <f>R37</f>
        <v>#DIV/0!</v>
      </c>
      <c r="D36" s="2314" t="s">
        <v>2136</v>
      </c>
      <c r="E36" s="1160" t="e">
        <f>R36</f>
        <v>#DIV/0!</v>
      </c>
      <c r="F36" s="2315"/>
      <c r="G36" s="1159" t="e">
        <f>T36</f>
        <v>#DIV/0!</v>
      </c>
      <c r="H36" s="2315"/>
      <c r="I36" s="1160" t="e">
        <f>V36</f>
        <v>#DIV/0!</v>
      </c>
      <c r="J36" s="2315"/>
      <c r="K36" s="2317">
        <f>F36+H36+J36</f>
        <v>0</v>
      </c>
      <c r="L36" s="2718"/>
      <c r="M36" s="2719"/>
      <c r="N36" s="2710"/>
      <c r="O36" s="2719"/>
      <c r="P36" s="3728" t="str">
        <f>A36</f>
        <v>比较价值（元/平方米）</v>
      </c>
      <c r="Q36" s="3728"/>
      <c r="R36" s="3729" t="e">
        <f>IF(F1="售价",ROUND(PRODUCT(R35,AA7:AA34),0),ROUND(PRODUCT(R35,AA7:AA34),1))</f>
        <v>#DIV/0!</v>
      </c>
      <c r="S36" s="3729"/>
      <c r="T36" s="3729" t="e">
        <f>IF(F1="售价",ROUND(PRODUCT(T35,AB7:AB34),0),ROUND(PRODUCT(T35,AB7:AB34),1))</f>
        <v>#DIV/0!</v>
      </c>
      <c r="U36" s="3729"/>
      <c r="V36" s="3729" t="e">
        <f>IF(F1="售价",ROUND(PRODUCT(V35,AC7:AC34),0),ROUND(PRODUCT(V35,AC7:AC34),1))</f>
        <v>#DIV/0!</v>
      </c>
      <c r="W36" s="3729"/>
      <c r="X36" s="689"/>
      <c r="Y36" s="689"/>
      <c r="Z36" s="689"/>
      <c r="AA36" s="689"/>
      <c r="AB36" s="689"/>
      <c r="AC36" s="689"/>
    </row>
    <row r="37" spans="1:30" ht="15.75" thickBot="1">
      <c r="A37" s="441" t="s">
        <v>1792</v>
      </c>
      <c r="B37" s="442"/>
      <c r="C37" s="1162" t="e">
        <f>R37</f>
        <v>#DIV/0!</v>
      </c>
      <c r="D37" s="1162"/>
      <c r="E37" s="1162"/>
      <c r="F37" s="1162"/>
      <c r="G37" s="1162"/>
      <c r="H37" s="1162"/>
      <c r="I37" s="1162"/>
      <c r="J37" s="1162"/>
      <c r="K37" s="714"/>
      <c r="L37" s="2718"/>
      <c r="M37" s="2719"/>
      <c r="N37" s="2719"/>
      <c r="O37" s="2719"/>
      <c r="P37" s="3725" t="str">
        <f>A37</f>
        <v>估价对象XX用房的比较价值（楼面单价，元/平方米）</v>
      </c>
      <c r="Q37" s="3726"/>
      <c r="R37" s="3756" t="e">
        <f>IF(F1="售价",ROUND(IF(D36="简单平均",AVERAGE(R36:W36),R36*F36+T36*H36+V36*J36),0),ROUND(IF(D36="简单平均",AVERAGE(R36:V36),R36*F36+T36*H36+V36*J36),1))</f>
        <v>#DIV/0!</v>
      </c>
      <c r="S37" s="3756"/>
      <c r="T37" s="3756"/>
      <c r="U37" s="3756"/>
      <c r="V37" s="3756"/>
      <c r="W37" s="3756"/>
      <c r="X37" s="689"/>
      <c r="Y37" s="689"/>
      <c r="Z37" s="689"/>
      <c r="AA37" s="689"/>
      <c r="AB37" s="689"/>
      <c r="AC37" s="689"/>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3" t="s">
        <v>1796</v>
      </c>
      <c r="B45" s="689"/>
      <c r="C45" s="694"/>
      <c r="D45" s="694"/>
      <c r="E45" s="694"/>
      <c r="F45" s="695"/>
      <c r="G45" s="695"/>
      <c r="H45" s="694"/>
      <c r="I45" s="694"/>
      <c r="J45" s="694"/>
      <c r="K45" s="696"/>
      <c r="L45" s="697"/>
      <c r="M45" s="694"/>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1677</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2">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1714</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1679</v>
      </c>
      <c r="B49" s="459"/>
      <c r="C49" s="471" t="s">
        <v>1774</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6">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1717</v>
      </c>
      <c r="B51" s="477" t="s">
        <v>1683</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1686</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7">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1861</v>
      </c>
      <c r="C63" s="527" t="s">
        <v>1719</v>
      </c>
      <c r="D63" s="527" t="s">
        <v>1720</v>
      </c>
      <c r="E63" s="527" t="s">
        <v>1721</v>
      </c>
      <c r="F63" s="527" t="s">
        <v>1722</v>
      </c>
      <c r="G63" s="527" t="s">
        <v>1723</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1811</v>
      </c>
      <c r="C65" s="607" t="s">
        <v>1797</v>
      </c>
      <c r="D65" s="607" t="s">
        <v>1798</v>
      </c>
      <c r="E65" s="607" t="s">
        <v>1799</v>
      </c>
      <c r="F65" s="607" t="s">
        <v>1800</v>
      </c>
      <c r="G65" s="607" t="s">
        <v>1801</v>
      </c>
      <c r="H65" s="488"/>
      <c r="I65" s="488"/>
      <c r="J65" s="488"/>
      <c r="K65" s="488"/>
      <c r="L65" s="488"/>
      <c r="M65" s="1128"/>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1731</v>
      </c>
      <c r="C67" s="527" t="s">
        <v>1719</v>
      </c>
      <c r="D67" s="527" t="s">
        <v>1720</v>
      </c>
      <c r="E67" s="527" t="s">
        <v>1721</v>
      </c>
      <c r="F67" s="527" t="s">
        <v>1722</v>
      </c>
      <c r="G67" s="527" t="s">
        <v>1723</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1850</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1692</v>
      </c>
      <c r="B77" s="477" t="s">
        <v>1738</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1854</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1862</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1864</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3">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5"/>
      <c r="B98" s="935"/>
      <c r="C98" s="935"/>
      <c r="D98" s="935"/>
      <c r="E98" s="935"/>
      <c r="F98" s="935"/>
      <c r="G98" s="935"/>
      <c r="H98" s="935"/>
      <c r="I98" s="935"/>
      <c r="J98" s="935"/>
      <c r="K98" s="936"/>
      <c r="L98" s="937"/>
      <c r="M98" s="935"/>
      <c r="N98" s="2719"/>
      <c r="O98" s="2719"/>
      <c r="P98" s="2719"/>
      <c r="Q98" s="2719"/>
      <c r="R98" s="2719"/>
      <c r="S98" s="2719"/>
      <c r="T98" s="2719"/>
      <c r="U98" s="2719"/>
      <c r="V98" s="2719"/>
      <c r="W98" s="2719"/>
      <c r="X98" s="2719"/>
      <c r="Y98" s="2719"/>
      <c r="Z98" s="2719"/>
      <c r="AA98" s="2719"/>
      <c r="AB98" s="2719"/>
      <c r="AC98" s="2719"/>
      <c r="AD98" s="2719"/>
    </row>
    <row r="99" spans="1:30">
      <c r="A99" s="935"/>
      <c r="B99" s="935"/>
      <c r="C99" s="935"/>
      <c r="D99" s="935"/>
      <c r="E99" s="935"/>
      <c r="F99" s="935"/>
      <c r="G99" s="935"/>
      <c r="H99" s="935"/>
      <c r="I99" s="935"/>
      <c r="J99" s="935"/>
      <c r="K99" s="936"/>
      <c r="L99" s="937"/>
      <c r="M99" s="935"/>
      <c r="N99" s="2719"/>
      <c r="O99" s="2719"/>
      <c r="P99" s="2719"/>
      <c r="Q99" s="2719"/>
      <c r="R99" s="2719"/>
      <c r="S99" s="2719"/>
      <c r="T99" s="2719"/>
      <c r="U99" s="2719"/>
      <c r="V99" s="2719"/>
      <c r="W99" s="2719"/>
      <c r="X99" s="2719"/>
      <c r="Y99" s="2719"/>
      <c r="Z99" s="2719"/>
      <c r="AA99" s="2719"/>
      <c r="AB99" s="2719"/>
      <c r="AC99" s="2719"/>
      <c r="AD99" s="2719"/>
    </row>
    <row r="100" spans="1:30">
      <c r="A100" s="935"/>
      <c r="B100" s="935"/>
      <c r="C100" s="935"/>
      <c r="D100" s="935"/>
      <c r="E100" s="935"/>
      <c r="F100" s="935"/>
      <c r="G100" s="935"/>
      <c r="H100" s="935"/>
      <c r="I100" s="935"/>
      <c r="J100" s="935"/>
      <c r="K100" s="936"/>
      <c r="L100" s="937"/>
      <c r="M100" s="935"/>
      <c r="N100" s="2719"/>
      <c r="O100" s="2719"/>
      <c r="P100" s="2719"/>
      <c r="Q100" s="2719"/>
      <c r="R100" s="2719"/>
      <c r="S100" s="2719"/>
      <c r="T100" s="2719"/>
      <c r="U100" s="2719"/>
      <c r="V100" s="2719"/>
      <c r="W100" s="2719"/>
      <c r="X100" s="2719"/>
      <c r="Y100" s="2719"/>
      <c r="Z100" s="2719"/>
      <c r="AA100" s="2719"/>
      <c r="AB100" s="2719"/>
      <c r="AC100" s="2719"/>
      <c r="AD100" s="2719"/>
    </row>
    <row r="101" spans="1:30">
      <c r="A101" s="935"/>
      <c r="B101" s="935"/>
      <c r="C101" s="935"/>
      <c r="D101" s="935"/>
      <c r="E101" s="935"/>
      <c r="F101" s="935"/>
      <c r="G101" s="935"/>
      <c r="H101" s="935"/>
      <c r="I101" s="935"/>
      <c r="J101" s="935"/>
      <c r="K101" s="936"/>
      <c r="L101" s="937"/>
      <c r="M101" s="935"/>
      <c r="N101" s="2719"/>
      <c r="O101" s="2719"/>
      <c r="P101" s="2719"/>
      <c r="Q101" s="2719"/>
      <c r="R101" s="2719"/>
      <c r="S101" s="2719"/>
      <c r="T101" s="2719"/>
      <c r="U101" s="2719"/>
      <c r="V101" s="2719"/>
      <c r="W101" s="2719"/>
      <c r="X101" s="2719"/>
      <c r="Y101" s="2719"/>
      <c r="Z101" s="2719"/>
      <c r="AA101" s="2719"/>
      <c r="AB101" s="2719"/>
      <c r="AC101" s="2719"/>
      <c r="AD101" s="2719"/>
    </row>
    <row r="102" spans="1:30">
      <c r="A102" s="935"/>
      <c r="B102" s="935"/>
      <c r="C102" s="935"/>
      <c r="D102" s="935"/>
      <c r="E102" s="935"/>
      <c r="F102" s="935"/>
      <c r="G102" s="935"/>
      <c r="H102" s="935"/>
      <c r="I102" s="935"/>
      <c r="J102" s="935"/>
      <c r="K102" s="936"/>
      <c r="L102" s="937"/>
      <c r="M102" s="935"/>
      <c r="N102" s="2719"/>
      <c r="O102" s="2719"/>
      <c r="P102" s="2719"/>
      <c r="Q102" s="2719"/>
      <c r="R102" s="2719"/>
      <c r="S102" s="2719"/>
      <c r="T102" s="2719"/>
      <c r="U102" s="2719"/>
      <c r="V102" s="2719"/>
      <c r="W102" s="2719"/>
      <c r="X102" s="2719"/>
      <c r="Y102" s="2719"/>
      <c r="Z102" s="2719"/>
      <c r="AA102" s="2719"/>
      <c r="AB102" s="2719"/>
      <c r="AC102" s="2719"/>
      <c r="AD102" s="2719"/>
    </row>
    <row r="103" spans="1:30">
      <c r="A103" s="935"/>
      <c r="B103" s="935"/>
      <c r="C103" s="935"/>
      <c r="D103" s="935"/>
      <c r="E103" s="935"/>
      <c r="F103" s="935"/>
      <c r="G103" s="935"/>
      <c r="H103" s="935"/>
      <c r="I103" s="935"/>
      <c r="J103" s="935"/>
      <c r="K103" s="936"/>
      <c r="L103" s="937"/>
      <c r="M103" s="935"/>
      <c r="N103" s="935"/>
      <c r="O103" s="935"/>
      <c r="P103" s="2719"/>
      <c r="Q103" s="2719"/>
      <c r="R103" s="2719"/>
      <c r="S103" s="2719"/>
      <c r="T103" s="2719"/>
      <c r="U103" s="2719"/>
      <c r="V103" s="2719"/>
      <c r="W103" s="2719"/>
      <c r="X103" s="2719"/>
      <c r="Y103" s="2719"/>
      <c r="Z103" s="2719"/>
      <c r="AA103" s="2719"/>
      <c r="AB103" s="2719"/>
      <c r="AC103" s="2719"/>
      <c r="AD103" s="2719"/>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8" t="e">
        <f>F65</f>
        <v>#DIV/0!</v>
      </c>
      <c r="C2" s="906"/>
      <c r="D2" s="906"/>
      <c r="E2" s="907"/>
      <c r="F2" s="908"/>
      <c r="G2" s="907"/>
      <c r="H2" s="907"/>
      <c r="I2" s="907"/>
      <c r="J2" s="907"/>
      <c r="K2" s="909"/>
      <c r="L2" s="2728"/>
      <c r="M2" s="2729"/>
      <c r="N2" s="2729"/>
      <c r="O2" s="2729"/>
      <c r="P2" s="698"/>
      <c r="Q2" s="698"/>
      <c r="R2" s="698"/>
      <c r="S2" s="698"/>
      <c r="T2" s="698"/>
      <c r="U2" s="698"/>
      <c r="V2" s="698"/>
      <c r="W2" s="698"/>
      <c r="X2" s="698"/>
      <c r="Y2" s="698"/>
      <c r="Z2" s="698"/>
      <c r="AA2" s="698"/>
      <c r="AB2" s="698"/>
      <c r="AC2" s="699"/>
      <c r="AD2" s="351"/>
    </row>
    <row r="3" spans="1:30" s="352" customFormat="1" ht="28.5" customHeight="1" thickBot="1">
      <c r="A3" s="203" t="s">
        <v>1462</v>
      </c>
      <c r="B3" s="558" t="e">
        <f>ROUND(IF(D3="",B2*10000/'数据-汇总表'!E3,B2*10000/D3),0)</f>
        <v>#DIV/0!</v>
      </c>
      <c r="C3" s="203" t="s">
        <v>1867</v>
      </c>
      <c r="D3" s="1192"/>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30" ht="15">
      <c r="A4" s="355" t="s">
        <v>1767</v>
      </c>
      <c r="B4" s="356"/>
      <c r="C4" s="3711" t="s">
        <v>1768</v>
      </c>
      <c r="D4" s="3712"/>
      <c r="E4" s="3713" t="s">
        <v>1769</v>
      </c>
      <c r="F4" s="3714"/>
      <c r="G4" s="3711" t="s">
        <v>1770</v>
      </c>
      <c r="H4" s="3712"/>
      <c r="I4" s="3711" t="s">
        <v>1771</v>
      </c>
      <c r="J4" s="3712"/>
      <c r="K4" s="559" t="s">
        <v>1772</v>
      </c>
      <c r="L4" s="2709"/>
      <c r="M4" s="2710"/>
      <c r="N4" s="2710"/>
      <c r="O4" s="2710"/>
      <c r="P4" s="3715" t="s">
        <v>1773</v>
      </c>
      <c r="Q4" s="3716"/>
      <c r="R4" s="3698" t="s">
        <v>1769</v>
      </c>
      <c r="S4" s="3699"/>
      <c r="T4" s="3698" t="s">
        <v>1770</v>
      </c>
      <c r="U4" s="3699"/>
      <c r="V4" s="3723" t="s">
        <v>1771</v>
      </c>
      <c r="W4" s="3723"/>
      <c r="X4" s="1354"/>
      <c r="Y4" s="3698" t="s">
        <v>1773</v>
      </c>
      <c r="Z4" s="3699"/>
      <c r="AA4" s="3693" t="s">
        <v>1769</v>
      </c>
      <c r="AB4" s="3694" t="s">
        <v>1770</v>
      </c>
      <c r="AC4" s="3693" t="s">
        <v>1771</v>
      </c>
    </row>
    <row r="5" spans="1:30" ht="15">
      <c r="A5" s="358"/>
      <c r="B5" s="359"/>
      <c r="C5" s="3704" t="s">
        <v>1671</v>
      </c>
      <c r="D5" s="3705"/>
      <c r="E5" s="3702" t="s">
        <v>1672</v>
      </c>
      <c r="F5" s="3703"/>
      <c r="G5" s="3704" t="s">
        <v>1673</v>
      </c>
      <c r="H5" s="3705"/>
      <c r="I5" s="3704" t="s">
        <v>1674</v>
      </c>
      <c r="J5" s="3705"/>
      <c r="K5" s="559"/>
      <c r="L5" s="2709"/>
      <c r="M5" s="2710"/>
      <c r="N5" s="2710"/>
      <c r="O5" s="2710"/>
      <c r="P5" s="3717"/>
      <c r="Q5" s="3718"/>
      <c r="R5" s="3700"/>
      <c r="S5" s="3701"/>
      <c r="T5" s="3700"/>
      <c r="U5" s="3701"/>
      <c r="V5" s="3723"/>
      <c r="W5" s="3723"/>
      <c r="X5" s="1354"/>
      <c r="Y5" s="3700"/>
      <c r="Z5" s="3701"/>
      <c r="AA5" s="3694"/>
      <c r="AB5" s="3694"/>
      <c r="AC5" s="3694"/>
    </row>
    <row r="6" spans="1:30" ht="15.75" thickBot="1">
      <c r="A6" s="360"/>
      <c r="B6" s="361"/>
      <c r="C6" s="3706" t="s">
        <v>1675</v>
      </c>
      <c r="D6" s="3707"/>
      <c r="E6" s="3708" t="s">
        <v>1675</v>
      </c>
      <c r="F6" s="3709"/>
      <c r="G6" s="3706" t="s">
        <v>1675</v>
      </c>
      <c r="H6" s="3707"/>
      <c r="I6" s="3706" t="s">
        <v>1675</v>
      </c>
      <c r="J6" s="3707"/>
      <c r="K6" s="559" t="s">
        <v>1676</v>
      </c>
      <c r="L6" s="2709"/>
      <c r="M6" s="2710"/>
      <c r="N6" s="2710"/>
      <c r="O6" s="2710"/>
      <c r="P6" s="3719"/>
      <c r="Q6" s="3720"/>
      <c r="R6" s="3700"/>
      <c r="S6" s="3701"/>
      <c r="T6" s="3721"/>
      <c r="U6" s="3722"/>
      <c r="V6" s="3723"/>
      <c r="W6" s="3723"/>
      <c r="X6" s="1354"/>
      <c r="Y6" s="3721"/>
      <c r="Z6" s="3722"/>
      <c r="AA6" s="3695"/>
      <c r="AB6" s="3695"/>
      <c r="AC6" s="3695"/>
    </row>
    <row r="7" spans="1:30" s="108" customFormat="1" ht="15.75" thickBot="1">
      <c r="A7" s="362" t="s">
        <v>1677</v>
      </c>
      <c r="B7" s="363"/>
      <c r="C7" s="364">
        <f>'数据-取费表'!B2</f>
        <v>45135</v>
      </c>
      <c r="D7" s="365">
        <v>100</v>
      </c>
      <c r="E7" s="366"/>
      <c r="F7" s="367">
        <f>SUMIF(69:69,YEAR(E7)&amp;"-"&amp;INT((MONTH(E7)+2)/3),70:70)</f>
        <v>0</v>
      </c>
      <c r="G7" s="1971"/>
      <c r="H7" s="365">
        <f>SUMIF(69:69,YEAR(G7)&amp;"-"&amp;INT((MONTH(G7)+2)/3),70:70)</f>
        <v>0</v>
      </c>
      <c r="I7" s="1971"/>
      <c r="J7" s="365">
        <f>SUMIF(69:69,YEAR(I7)&amp;"-"&amp;INT((MONTH(I7)+2)/3),70:70)</f>
        <v>0</v>
      </c>
      <c r="K7" s="560"/>
      <c r="L7" s="2711"/>
      <c r="M7" s="2712"/>
      <c r="N7" s="2712"/>
      <c r="O7" s="2712"/>
      <c r="P7" s="3696" t="s">
        <v>1678</v>
      </c>
      <c r="Q7" s="3724"/>
      <c r="R7" s="700" t="s">
        <v>14</v>
      </c>
      <c r="S7" s="701">
        <f t="shared" ref="S7:S15" si="0">F7</f>
        <v>0</v>
      </c>
      <c r="T7" s="700" t="s">
        <v>14</v>
      </c>
      <c r="U7" s="701">
        <f t="shared" ref="U7:U15" si="1">H7</f>
        <v>0</v>
      </c>
      <c r="V7" s="700" t="s">
        <v>14</v>
      </c>
      <c r="W7" s="701">
        <f t="shared" ref="W7:W15" si="2">J7</f>
        <v>0</v>
      </c>
      <c r="X7" s="702"/>
      <c r="Y7" s="3696" t="s">
        <v>1678</v>
      </c>
      <c r="Z7" s="3697"/>
      <c r="AA7" s="703" t="e">
        <f>D7/F7</f>
        <v>#DIV/0!</v>
      </c>
      <c r="AB7" s="703" t="e">
        <f>D7/H7</f>
        <v>#DIV/0!</v>
      </c>
      <c r="AC7" s="703"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96" t="s">
        <v>1681</v>
      </c>
      <c r="Q8" s="3697"/>
      <c r="R8" s="700" t="s">
        <v>14</v>
      </c>
      <c r="S8" s="701">
        <f t="shared" si="0"/>
        <v>0</v>
      </c>
      <c r="T8" s="700" t="s">
        <v>14</v>
      </c>
      <c r="U8" s="701">
        <f t="shared" si="1"/>
        <v>0</v>
      </c>
      <c r="V8" s="700" t="s">
        <v>14</v>
      </c>
      <c r="W8" s="701">
        <f t="shared" si="2"/>
        <v>0</v>
      </c>
      <c r="X8" s="702"/>
      <c r="Y8" s="3696" t="s">
        <v>1681</v>
      </c>
      <c r="Z8" s="3697"/>
      <c r="AA8" s="703" t="e">
        <f t="shared" ref="AA8:AA45" si="3">D8/F8</f>
        <v>#DIV/0!</v>
      </c>
      <c r="AB8" s="703" t="e">
        <f t="shared" ref="AB8:AB45" si="4">D8/H8</f>
        <v>#DIV/0!</v>
      </c>
      <c r="AC8" s="703" t="e">
        <f t="shared" ref="AC8:AC45" si="5">D8/J8</f>
        <v>#DIV/0!</v>
      </c>
    </row>
    <row r="9" spans="1:30" s="108" customFormat="1">
      <c r="A9" s="369" t="s">
        <v>1682</v>
      </c>
      <c r="B9" s="63" t="s">
        <v>1683</v>
      </c>
      <c r="C9" s="1974"/>
      <c r="D9" s="126">
        <v>100</v>
      </c>
      <c r="E9" s="1974"/>
      <c r="F9" s="126">
        <f>SUMIF(74:74,E9,75:75)-SUMIF(74:74,C9,75:75)+100</f>
        <v>100</v>
      </c>
      <c r="G9" s="1974"/>
      <c r="H9" s="126">
        <f>SUMIF(74:74,G9,75:75)-SUMIF(74:74,C9,75:75)+100</f>
        <v>100</v>
      </c>
      <c r="I9" s="1974"/>
      <c r="J9" s="126">
        <f>SUMIF(74:74,I9,75:75)-SUMIF(74:74,C9,75:75)+100</f>
        <v>100</v>
      </c>
      <c r="K9" s="560"/>
      <c r="L9" s="2711"/>
      <c r="M9" s="2712"/>
      <c r="N9" s="2712"/>
      <c r="O9" s="2766"/>
      <c r="P9" s="3728" t="s">
        <v>1684</v>
      </c>
      <c r="Q9" s="1342" t="str">
        <f t="shared" ref="Q9:Q15" si="6">B9</f>
        <v>用途</v>
      </c>
      <c r="R9" s="700" t="s">
        <v>14</v>
      </c>
      <c r="S9" s="701">
        <f t="shared" si="0"/>
        <v>100</v>
      </c>
      <c r="T9" s="700" t="s">
        <v>14</v>
      </c>
      <c r="U9" s="701">
        <f t="shared" si="1"/>
        <v>100</v>
      </c>
      <c r="V9" s="700" t="s">
        <v>14</v>
      </c>
      <c r="W9" s="701">
        <f t="shared" si="2"/>
        <v>100</v>
      </c>
      <c r="X9" s="702"/>
      <c r="Y9" s="3621" t="s">
        <v>1685</v>
      </c>
      <c r="Z9" s="52" t="str">
        <f t="shared" ref="Z9:Z15" si="7">Q9</f>
        <v>用途</v>
      </c>
      <c r="AA9" s="703">
        <f t="shared" si="3"/>
        <v>1</v>
      </c>
      <c r="AB9" s="703">
        <f t="shared" si="4"/>
        <v>1</v>
      </c>
      <c r="AC9" s="703">
        <f t="shared" si="5"/>
        <v>1</v>
      </c>
    </row>
    <row r="10" spans="1:30" s="378" customFormat="1" ht="27">
      <c r="A10" s="374"/>
      <c r="B10" s="375" t="s">
        <v>1686</v>
      </c>
      <c r="C10" s="383"/>
      <c r="D10" s="127">
        <v>100</v>
      </c>
      <c r="E10" s="416"/>
      <c r="F10" s="127">
        <f>ROUND(100/'数据-取费表'!G16,0)</f>
        <v>122</v>
      </c>
      <c r="G10" s="414"/>
      <c r="H10" s="127">
        <f>ROUND(100/'数据-取费表'!G16,0)</f>
        <v>122</v>
      </c>
      <c r="I10" s="414"/>
      <c r="J10" s="127">
        <f>ROUND(100/'数据-取费表'!G16,0)</f>
        <v>122</v>
      </c>
      <c r="K10" s="619"/>
      <c r="L10" s="2713"/>
      <c r="M10" s="2714"/>
      <c r="N10" s="2714"/>
      <c r="O10" s="2767"/>
      <c r="P10" s="3728"/>
      <c r="Q10" s="1342" t="str">
        <f t="shared" si="6"/>
        <v>土地使用年限（年）</v>
      </c>
      <c r="R10" s="700" t="s">
        <v>14</v>
      </c>
      <c r="S10" s="701">
        <f t="shared" si="0"/>
        <v>122</v>
      </c>
      <c r="T10" s="700" t="s">
        <v>14</v>
      </c>
      <c r="U10" s="701">
        <f t="shared" si="1"/>
        <v>122</v>
      </c>
      <c r="V10" s="700" t="s">
        <v>14</v>
      </c>
      <c r="W10" s="701">
        <f t="shared" si="2"/>
        <v>122</v>
      </c>
      <c r="X10" s="702"/>
      <c r="Y10" s="3621"/>
      <c r="Z10" s="52" t="str">
        <f t="shared" si="7"/>
        <v>土地使用年限（年）</v>
      </c>
      <c r="AA10" s="703">
        <f t="shared" si="3"/>
        <v>0.81967213114754101</v>
      </c>
      <c r="AB10" s="703">
        <f t="shared" si="4"/>
        <v>0.81967213114754101</v>
      </c>
      <c r="AC10" s="703">
        <f t="shared" si="5"/>
        <v>0.81967213114754101</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5"/>
      <c r="M11" s="2710"/>
      <c r="N11" s="2710"/>
      <c r="O11" s="2768"/>
      <c r="P11" s="3728"/>
      <c r="Q11" s="1342" t="str">
        <f t="shared" si="6"/>
        <v>容积率</v>
      </c>
      <c r="R11" s="700" t="s">
        <v>14</v>
      </c>
      <c r="S11" s="701" t="e">
        <f t="shared" si="0"/>
        <v>#N/A</v>
      </c>
      <c r="T11" s="700" t="s">
        <v>14</v>
      </c>
      <c r="U11" s="701" t="e">
        <f t="shared" si="1"/>
        <v>#N/A</v>
      </c>
      <c r="V11" s="700" t="s">
        <v>14</v>
      </c>
      <c r="W11" s="701" t="e">
        <f t="shared" si="2"/>
        <v>#N/A</v>
      </c>
      <c r="X11" s="702"/>
      <c r="Y11" s="3621"/>
      <c r="Z11" s="52" t="str">
        <f t="shared" si="7"/>
        <v>容积率</v>
      </c>
      <c r="AA11" s="703" t="e">
        <f t="shared" si="3"/>
        <v>#N/A</v>
      </c>
      <c r="AB11" s="703" t="e">
        <f t="shared" si="4"/>
        <v>#N/A</v>
      </c>
      <c r="AC11" s="703" t="e">
        <f t="shared" si="5"/>
        <v>#N/A</v>
      </c>
    </row>
    <row r="12" spans="1:30" s="108" customFormat="1" ht="15">
      <c r="A12" s="382"/>
      <c r="B12" s="1892" t="s">
        <v>1868</v>
      </c>
      <c r="C12" s="383"/>
      <c r="D12" s="384">
        <v>100</v>
      </c>
      <c r="E12" s="416"/>
      <c r="F12" s="127">
        <f>SUMIF(81:81,E12,82:82)-SUMIF(81:81,C12,82:82)+100</f>
        <v>100</v>
      </c>
      <c r="G12" s="414"/>
      <c r="H12" s="127">
        <f>SUMIF(81:81,G12,82:82)-SUMIF(81:81,C12,82:82)+100</f>
        <v>100</v>
      </c>
      <c r="I12" s="416"/>
      <c r="J12" s="127">
        <f>SUMIF(81:81,I12,82:82)-SUMIF(81:81,C12,82:82)+100</f>
        <v>100</v>
      </c>
      <c r="K12" s="619"/>
      <c r="L12" s="2711"/>
      <c r="M12" s="2712"/>
      <c r="N12" s="2712"/>
      <c r="O12" s="2766"/>
      <c r="P12" s="3728"/>
      <c r="Q12" s="1342" t="str">
        <f t="shared" si="6"/>
        <v>配建</v>
      </c>
      <c r="R12" s="700" t="s">
        <v>14</v>
      </c>
      <c r="S12" s="701">
        <f t="shared" si="0"/>
        <v>100</v>
      </c>
      <c r="T12" s="700" t="s">
        <v>14</v>
      </c>
      <c r="U12" s="701">
        <f t="shared" si="1"/>
        <v>100</v>
      </c>
      <c r="V12" s="700" t="s">
        <v>14</v>
      </c>
      <c r="W12" s="701">
        <f t="shared" si="2"/>
        <v>100</v>
      </c>
      <c r="X12" s="702"/>
      <c r="Y12" s="3621"/>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16"/>
      <c r="M13" s="2710"/>
      <c r="N13" s="2710"/>
      <c r="O13" s="2768"/>
      <c r="P13" s="3728"/>
      <c r="Q13" s="1342">
        <f t="shared" si="6"/>
        <v>111</v>
      </c>
      <c r="R13" s="700" t="s">
        <v>14</v>
      </c>
      <c r="S13" s="701">
        <f t="shared" si="0"/>
        <v>100</v>
      </c>
      <c r="T13" s="700" t="s">
        <v>14</v>
      </c>
      <c r="U13" s="701">
        <f t="shared" si="1"/>
        <v>100</v>
      </c>
      <c r="V13" s="700" t="s">
        <v>14</v>
      </c>
      <c r="W13" s="701">
        <f t="shared" si="2"/>
        <v>100</v>
      </c>
      <c r="X13" s="702"/>
      <c r="Y13" s="3621"/>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16"/>
      <c r="M14" s="2710"/>
      <c r="N14" s="2710"/>
      <c r="O14" s="2768"/>
      <c r="P14" s="3728"/>
      <c r="Q14" s="1342">
        <f t="shared" si="6"/>
        <v>111</v>
      </c>
      <c r="R14" s="700" t="s">
        <v>14</v>
      </c>
      <c r="S14" s="701">
        <f t="shared" si="0"/>
        <v>100</v>
      </c>
      <c r="T14" s="700" t="s">
        <v>14</v>
      </c>
      <c r="U14" s="701">
        <f t="shared" si="1"/>
        <v>100</v>
      </c>
      <c r="V14" s="700" t="s">
        <v>14</v>
      </c>
      <c r="W14" s="701">
        <f t="shared" si="2"/>
        <v>100</v>
      </c>
      <c r="X14" s="702"/>
      <c r="Y14" s="3621"/>
      <c r="Z14" s="52">
        <f t="shared" si="7"/>
        <v>111</v>
      </c>
      <c r="AA14" s="703">
        <f>D14/F14</f>
        <v>1</v>
      </c>
      <c r="AB14" s="703">
        <f>D14/H14</f>
        <v>1</v>
      </c>
      <c r="AC14" s="703">
        <f>D14/J14</f>
        <v>1</v>
      </c>
    </row>
    <row r="15" spans="1:30" ht="15">
      <c r="A15" s="391" t="s">
        <v>1688</v>
      </c>
      <c r="B15" s="61" t="s">
        <v>1255</v>
      </c>
      <c r="C15" s="1895" t="str">
        <f>估价对象房地状况!C15</f>
        <v>好</v>
      </c>
      <c r="D15" s="392">
        <v>100</v>
      </c>
      <c r="E15" s="393"/>
      <c r="F15" s="392">
        <f>SUMIF(87:87,E16,88:88)-SUMIF(87:87,C16,88:88)+100</f>
        <v>100</v>
      </c>
      <c r="G15" s="393"/>
      <c r="H15" s="392">
        <f>SUMIF(87:87,G16,88:88)-SUMIF(87:87,C16,88:88)+100</f>
        <v>100</v>
      </c>
      <c r="I15" s="395"/>
      <c r="J15" s="392">
        <f>SUMIF(87:87,I16,88:88)-SUMIF(87:87,C16,88:88)+100</f>
        <v>100</v>
      </c>
      <c r="K15" s="620"/>
      <c r="L15" s="2716"/>
      <c r="M15" s="2710"/>
      <c r="N15" s="2710"/>
      <c r="O15" s="2768"/>
      <c r="P15" s="3730" t="s">
        <v>1689</v>
      </c>
      <c r="Q15" s="1351" t="str">
        <f t="shared" si="6"/>
        <v>居住社区成熟度</v>
      </c>
      <c r="R15" s="704" t="s">
        <v>14</v>
      </c>
      <c r="S15" s="705">
        <f t="shared" si="0"/>
        <v>100</v>
      </c>
      <c r="T15" s="704" t="s">
        <v>14</v>
      </c>
      <c r="U15" s="705">
        <f t="shared" si="1"/>
        <v>100</v>
      </c>
      <c r="V15" s="704" t="s">
        <v>14</v>
      </c>
      <c r="W15" s="705">
        <f t="shared" si="2"/>
        <v>100</v>
      </c>
      <c r="X15" s="1354"/>
      <c r="Y15" s="3730" t="s">
        <v>1689</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16"/>
      <c r="M16" s="2710"/>
      <c r="N16" s="2710"/>
      <c r="O16" s="2768"/>
      <c r="P16" s="3731"/>
      <c r="Q16" s="1351"/>
      <c r="R16" s="704"/>
      <c r="S16" s="705"/>
      <c r="T16" s="704"/>
      <c r="U16" s="705"/>
      <c r="V16" s="704"/>
      <c r="W16" s="705"/>
      <c r="X16" s="1354"/>
      <c r="Y16" s="3731"/>
      <c r="Z16" s="1355"/>
      <c r="AA16" s="1352">
        <v>1</v>
      </c>
      <c r="AB16" s="1352">
        <v>1</v>
      </c>
      <c r="AC16" s="1352">
        <v>1</v>
      </c>
    </row>
    <row r="17" spans="1:29" ht="15">
      <c r="A17" s="379"/>
      <c r="B17" s="402" t="s">
        <v>1775</v>
      </c>
      <c r="C17" s="1952" t="str">
        <f>估价对象房地状况!C16</f>
        <v>好</v>
      </c>
      <c r="D17" s="401">
        <v>100</v>
      </c>
      <c r="E17" s="403"/>
      <c r="F17" s="401">
        <f>SUMIF(89:89,E18,90:90)-SUMIF(89:89,C18,90:90)+100</f>
        <v>100</v>
      </c>
      <c r="G17" s="403"/>
      <c r="H17" s="406">
        <f>SUMIF(89:89,G18,90:90)-SUMIF(89:89,C18,90:90)+100</f>
        <v>100</v>
      </c>
      <c r="I17" s="405"/>
      <c r="J17" s="406">
        <f>SUMIF(89:89,I18,90:90)-SUMIF(89:89,C18,90:90)+100</f>
        <v>100</v>
      </c>
      <c r="K17" s="620"/>
      <c r="L17" s="2716"/>
      <c r="M17" s="2710"/>
      <c r="N17" s="2710"/>
      <c r="O17" s="2768"/>
      <c r="P17" s="3731"/>
      <c r="Q17" s="1351" t="str">
        <f>B17</f>
        <v>商业繁华度</v>
      </c>
      <c r="R17" s="704" t="s">
        <v>14</v>
      </c>
      <c r="S17" s="705">
        <f>F17</f>
        <v>100</v>
      </c>
      <c r="T17" s="704" t="s">
        <v>14</v>
      </c>
      <c r="U17" s="705">
        <f>H17</f>
        <v>100</v>
      </c>
      <c r="V17" s="704" t="s">
        <v>14</v>
      </c>
      <c r="W17" s="705">
        <f>J17</f>
        <v>100</v>
      </c>
      <c r="X17" s="1354"/>
      <c r="Y17" s="3731"/>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16"/>
      <c r="M18" s="2710"/>
      <c r="N18" s="2710"/>
      <c r="O18" s="2768"/>
      <c r="P18" s="3731"/>
      <c r="Q18" s="1351"/>
      <c r="R18" s="704"/>
      <c r="S18" s="705"/>
      <c r="T18" s="704"/>
      <c r="U18" s="705"/>
      <c r="V18" s="704"/>
      <c r="W18" s="705"/>
      <c r="X18" s="1354"/>
      <c r="Y18" s="3731"/>
      <c r="Z18" s="1355"/>
      <c r="AA18" s="1352">
        <v>1</v>
      </c>
      <c r="AB18" s="1352">
        <v>1</v>
      </c>
      <c r="AC18" s="1352">
        <v>1</v>
      </c>
    </row>
    <row r="19" spans="1:29" ht="15">
      <c r="A19" s="379"/>
      <c r="B19" s="402" t="s">
        <v>1809</v>
      </c>
      <c r="C19" s="1952"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0"/>
      <c r="L19" s="2716"/>
      <c r="M19" s="2710"/>
      <c r="N19" s="2710"/>
      <c r="O19" s="2768"/>
      <c r="P19" s="3731"/>
      <c r="Q19" s="1351" t="str">
        <f>B19</f>
        <v>办公集聚程度</v>
      </c>
      <c r="R19" s="704" t="s">
        <v>14</v>
      </c>
      <c r="S19" s="705">
        <f>F19</f>
        <v>100</v>
      </c>
      <c r="T19" s="704" t="s">
        <v>14</v>
      </c>
      <c r="U19" s="705">
        <f>H19</f>
        <v>100</v>
      </c>
      <c r="V19" s="704" t="s">
        <v>14</v>
      </c>
      <c r="W19" s="705">
        <f>J19</f>
        <v>100</v>
      </c>
      <c r="X19" s="1354"/>
      <c r="Y19" s="3731"/>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16"/>
      <c r="M20" s="2710"/>
      <c r="N20" s="2710"/>
      <c r="O20" s="2768"/>
      <c r="P20" s="3731"/>
      <c r="Q20" s="1351"/>
      <c r="R20" s="704"/>
      <c r="S20" s="705"/>
      <c r="T20" s="704"/>
      <c r="U20" s="705"/>
      <c r="V20" s="704"/>
      <c r="W20" s="705"/>
      <c r="X20" s="1354"/>
      <c r="Y20" s="3731"/>
      <c r="Z20" s="1355"/>
      <c r="AA20" s="1352">
        <v>1</v>
      </c>
      <c r="AB20" s="1352">
        <v>1</v>
      </c>
      <c r="AC20" s="1352">
        <v>1</v>
      </c>
    </row>
    <row r="21" spans="1:29" ht="15">
      <c r="A21" s="379"/>
      <c r="B21" s="402" t="s">
        <v>1831</v>
      </c>
      <c r="C21" s="1899"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0"/>
      <c r="L21" s="2716"/>
      <c r="M21" s="2710"/>
      <c r="N21" s="2710"/>
      <c r="O21" s="2768"/>
      <c r="P21" s="3731"/>
      <c r="Q21" s="1351" t="str">
        <f>B21</f>
        <v>交通便捷度</v>
      </c>
      <c r="R21" s="704" t="s">
        <v>14</v>
      </c>
      <c r="S21" s="705">
        <f>F21</f>
        <v>100</v>
      </c>
      <c r="T21" s="704" t="s">
        <v>14</v>
      </c>
      <c r="U21" s="705">
        <f>H21</f>
        <v>100</v>
      </c>
      <c r="V21" s="704" t="s">
        <v>14</v>
      </c>
      <c r="W21" s="705">
        <f>J21</f>
        <v>100</v>
      </c>
      <c r="X21" s="1354"/>
      <c r="Y21" s="3731"/>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16"/>
      <c r="M22" s="2710"/>
      <c r="N22" s="2710"/>
      <c r="O22" s="2768"/>
      <c r="P22" s="3731"/>
      <c r="Q22" s="1351"/>
      <c r="R22" s="704"/>
      <c r="S22" s="705"/>
      <c r="T22" s="704"/>
      <c r="U22" s="705"/>
      <c r="V22" s="704"/>
      <c r="W22" s="705"/>
      <c r="X22" s="1354"/>
      <c r="Y22" s="3731"/>
      <c r="Z22" s="1355"/>
      <c r="AA22" s="1352">
        <v>1</v>
      </c>
      <c r="AB22" s="1352">
        <v>1</v>
      </c>
      <c r="AC22" s="1352">
        <v>1</v>
      </c>
    </row>
    <row r="23" spans="1:29" ht="15">
      <c r="A23" s="358"/>
      <c r="B23" s="402" t="s">
        <v>1869</v>
      </c>
      <c r="C23" s="1135"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0"/>
      <c r="L23" s="2716"/>
      <c r="M23" s="2710"/>
      <c r="N23" s="2710"/>
      <c r="O23" s="2768"/>
      <c r="P23" s="3731"/>
      <c r="Q23" s="1351" t="str">
        <f t="shared" ref="Q23:Q37" si="8">B23</f>
        <v>区域土地利用方向</v>
      </c>
      <c r="R23" s="704" t="s">
        <v>14</v>
      </c>
      <c r="S23" s="705">
        <f>F23</f>
        <v>100</v>
      </c>
      <c r="T23" s="704" t="s">
        <v>14</v>
      </c>
      <c r="U23" s="705">
        <f>H23</f>
        <v>100</v>
      </c>
      <c r="V23" s="704" t="s">
        <v>14</v>
      </c>
      <c r="W23" s="705">
        <f>J23</f>
        <v>100</v>
      </c>
      <c r="X23" s="1354"/>
      <c r="Y23" s="3731"/>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16"/>
      <c r="M24" s="2710"/>
      <c r="N24" s="2710"/>
      <c r="O24" s="2768"/>
      <c r="P24" s="3731"/>
      <c r="Q24" s="1351"/>
      <c r="R24" s="704"/>
      <c r="S24" s="705"/>
      <c r="T24" s="704"/>
      <c r="U24" s="705"/>
      <c r="V24" s="704"/>
      <c r="W24" s="705"/>
      <c r="X24" s="1354"/>
      <c r="Y24" s="3731"/>
      <c r="Z24" s="1355"/>
      <c r="AA24" s="1352"/>
      <c r="AB24" s="1352"/>
      <c r="AC24" s="1352"/>
    </row>
    <row r="25" spans="1:29" ht="27">
      <c r="A25" s="358"/>
      <c r="B25" s="1130" t="s">
        <v>1870</v>
      </c>
      <c r="C25" s="1952"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0"/>
      <c r="L25" s="2716"/>
      <c r="M25" s="2710"/>
      <c r="N25" s="2710"/>
      <c r="O25" s="2768"/>
      <c r="P25" s="3731"/>
      <c r="Q25" s="1351" t="str">
        <f t="shared" si="8"/>
        <v>自然及人文环境状况</v>
      </c>
      <c r="R25" s="704" t="s">
        <v>14</v>
      </c>
      <c r="S25" s="705">
        <f>F25</f>
        <v>100</v>
      </c>
      <c r="T25" s="704" t="s">
        <v>14</v>
      </c>
      <c r="U25" s="705">
        <f>H25</f>
        <v>100</v>
      </c>
      <c r="V25" s="704" t="s">
        <v>14</v>
      </c>
      <c r="W25" s="705">
        <f>J25</f>
        <v>100</v>
      </c>
      <c r="X25" s="1354"/>
      <c r="Y25" s="3731"/>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16"/>
      <c r="M26" s="2710"/>
      <c r="N26" s="2710"/>
      <c r="O26" s="2768"/>
      <c r="P26" s="3731"/>
      <c r="Q26" s="1351"/>
      <c r="R26" s="704"/>
      <c r="S26" s="705"/>
      <c r="T26" s="704"/>
      <c r="U26" s="705"/>
      <c r="V26" s="704"/>
      <c r="W26" s="705"/>
      <c r="X26" s="1354"/>
      <c r="Y26" s="3731"/>
      <c r="Z26" s="1355"/>
      <c r="AA26" s="1352">
        <v>1</v>
      </c>
      <c r="AB26" s="1352">
        <v>1</v>
      </c>
      <c r="AC26" s="1352">
        <v>1</v>
      </c>
    </row>
    <row r="27" spans="1:29" s="108" customFormat="1" ht="15">
      <c r="A27" s="596"/>
      <c r="B27" s="1130" t="s">
        <v>1776</v>
      </c>
      <c r="C27" s="1899" t="str">
        <f>估价对象房地状况!C21</f>
        <v>好</v>
      </c>
      <c r="D27" s="401">
        <v>100</v>
      </c>
      <c r="E27" s="403"/>
      <c r="F27" s="401">
        <f>SUMIF(99:99,E28,100:100)-SUMIF(99:99,C28,100:100)+100</f>
        <v>100</v>
      </c>
      <c r="G27" s="403"/>
      <c r="H27" s="401">
        <f>SUMIF(99:99,G28,100:100)-SUMIF(99:99,C28,100:100)+100</f>
        <v>100</v>
      </c>
      <c r="I27" s="405"/>
      <c r="J27" s="401">
        <f>SUMIF(99:99,I28,100:100)-SUMIF(99:99,C28,100:100)+100</f>
        <v>100</v>
      </c>
      <c r="K27" s="620"/>
      <c r="L27" s="2711"/>
      <c r="M27" s="2712"/>
      <c r="N27" s="2712"/>
      <c r="O27" s="2766"/>
      <c r="P27" s="3731"/>
      <c r="Q27" s="1342" t="str">
        <f t="shared" si="8"/>
        <v>公共配套设施</v>
      </c>
      <c r="R27" s="700" t="s">
        <v>14</v>
      </c>
      <c r="S27" s="701">
        <f>F27</f>
        <v>100</v>
      </c>
      <c r="T27" s="700" t="s">
        <v>14</v>
      </c>
      <c r="U27" s="701">
        <f>H27</f>
        <v>100</v>
      </c>
      <c r="V27" s="700" t="s">
        <v>14</v>
      </c>
      <c r="W27" s="701">
        <f>J27</f>
        <v>100</v>
      </c>
      <c r="X27" s="702"/>
      <c r="Y27" s="3731"/>
      <c r="Z27" s="52" t="str">
        <f>Q27</f>
        <v>公共配套设施</v>
      </c>
      <c r="AA27" s="1352">
        <f>D27/F27</f>
        <v>1</v>
      </c>
      <c r="AB27" s="1352">
        <f>D27/H27</f>
        <v>1</v>
      </c>
      <c r="AC27" s="1352">
        <f>D27/J27</f>
        <v>1</v>
      </c>
    </row>
    <row r="28" spans="1:29" s="108" customFormat="1" ht="15">
      <c r="A28" s="596"/>
      <c r="B28" s="407"/>
      <c r="C28" s="1975"/>
      <c r="D28" s="399"/>
      <c r="E28" s="1903"/>
      <c r="F28" s="399"/>
      <c r="G28" s="1903"/>
      <c r="H28" s="399"/>
      <c r="I28" s="398"/>
      <c r="J28" s="399"/>
      <c r="K28" s="619"/>
      <c r="L28" s="2711"/>
      <c r="M28" s="2712"/>
      <c r="N28" s="2712"/>
      <c r="O28" s="2766"/>
      <c r="P28" s="3731"/>
      <c r="Q28" s="1342"/>
      <c r="R28" s="700"/>
      <c r="S28" s="701"/>
      <c r="T28" s="700"/>
      <c r="U28" s="701"/>
      <c r="V28" s="700"/>
      <c r="W28" s="701"/>
      <c r="X28" s="702"/>
      <c r="Y28" s="3731"/>
      <c r="Z28" s="52"/>
      <c r="AA28" s="1352">
        <v>1</v>
      </c>
      <c r="AB28" s="1352">
        <v>1</v>
      </c>
      <c r="AC28" s="1352">
        <v>1</v>
      </c>
    </row>
    <row r="29" spans="1:29" s="108" customFormat="1" ht="15">
      <c r="A29" s="596"/>
      <c r="B29" s="1130" t="s">
        <v>1777</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1"/>
      <c r="M29" s="2712"/>
      <c r="N29" s="2712"/>
      <c r="O29" s="2766"/>
      <c r="P29" s="3731"/>
      <c r="Q29" s="1342" t="str">
        <f t="shared" ref="Q29" si="9">B29</f>
        <v>基础设施水平</v>
      </c>
      <c r="R29" s="700" t="s">
        <v>14</v>
      </c>
      <c r="S29" s="701">
        <f>F29</f>
        <v>100</v>
      </c>
      <c r="T29" s="700" t="s">
        <v>14</v>
      </c>
      <c r="U29" s="701">
        <f>H29</f>
        <v>100</v>
      </c>
      <c r="V29" s="700" t="s">
        <v>14</v>
      </c>
      <c r="W29" s="701">
        <f>J29</f>
        <v>100</v>
      </c>
      <c r="X29" s="702"/>
      <c r="Y29" s="3731"/>
      <c r="Z29" s="52" t="str">
        <f>Q29</f>
        <v>基础设施水平</v>
      </c>
      <c r="AA29" s="1352">
        <f>D29/F29</f>
        <v>1</v>
      </c>
      <c r="AB29" s="1352">
        <f>D29/H29</f>
        <v>1</v>
      </c>
      <c r="AC29" s="1352">
        <f>D29/J29</f>
        <v>1</v>
      </c>
    </row>
    <row r="30" spans="1:29" s="108" customFormat="1" ht="15">
      <c r="A30" s="596"/>
      <c r="B30" s="407"/>
      <c r="C30" s="1975"/>
      <c r="D30" s="399"/>
      <c r="E30" s="1976"/>
      <c r="F30" s="399"/>
      <c r="G30" s="1976"/>
      <c r="H30" s="399"/>
      <c r="I30" s="1976"/>
      <c r="J30" s="399"/>
      <c r="K30" s="619"/>
      <c r="L30" s="2711"/>
      <c r="M30" s="2712"/>
      <c r="N30" s="2712"/>
      <c r="O30" s="2766"/>
      <c r="P30" s="3731"/>
      <c r="Q30" s="1342"/>
      <c r="R30" s="700"/>
      <c r="S30" s="701"/>
      <c r="T30" s="700"/>
      <c r="U30" s="701"/>
      <c r="V30" s="700"/>
      <c r="W30" s="701"/>
      <c r="X30" s="702"/>
      <c r="Y30" s="3731"/>
      <c r="Z30" s="52"/>
      <c r="AA30" s="1352">
        <v>1</v>
      </c>
      <c r="AB30" s="1352">
        <v>1</v>
      </c>
      <c r="AC30" s="1352">
        <v>1</v>
      </c>
    </row>
    <row r="31" spans="1:29" ht="15">
      <c r="A31" s="379"/>
      <c r="B31" s="407" t="s">
        <v>1778</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6"/>
      <c r="M31" s="2710"/>
      <c r="N31" s="2710"/>
      <c r="O31" s="2768"/>
      <c r="P31" s="3731"/>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31"/>
      <c r="Z31" s="1355" t="str">
        <f t="shared" ref="Z31:Z45" si="13">Q31</f>
        <v>临街状况</v>
      </c>
      <c r="AA31" s="1352">
        <f t="shared" si="3"/>
        <v>1</v>
      </c>
      <c r="AB31" s="1352">
        <f t="shared" si="4"/>
        <v>1</v>
      </c>
      <c r="AC31" s="1352">
        <f t="shared" si="5"/>
        <v>1</v>
      </c>
    </row>
    <row r="32" spans="1:29" ht="27">
      <c r="A32" s="379"/>
      <c r="B32" s="1130"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6"/>
      <c r="M32" s="2710"/>
      <c r="N32" s="2710"/>
      <c r="O32" s="2768"/>
      <c r="P32" s="3731"/>
      <c r="Q32" s="1351" t="str">
        <f t="shared" si="8"/>
        <v>毗邻道路的类型与等级</v>
      </c>
      <c r="R32" s="704" t="s">
        <v>14</v>
      </c>
      <c r="S32" s="705">
        <f t="shared" si="10"/>
        <v>100</v>
      </c>
      <c r="T32" s="704" t="s">
        <v>14</v>
      </c>
      <c r="U32" s="705">
        <f t="shared" si="11"/>
        <v>100</v>
      </c>
      <c r="V32" s="704" t="s">
        <v>14</v>
      </c>
      <c r="W32" s="705">
        <f t="shared" si="12"/>
        <v>100</v>
      </c>
      <c r="X32" s="1354"/>
      <c r="Y32" s="373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6"/>
      <c r="M33" s="2710"/>
      <c r="N33" s="2710"/>
      <c r="O33" s="2768"/>
      <c r="P33" s="3731"/>
      <c r="Q33" s="1351"/>
      <c r="R33" s="704"/>
      <c r="S33" s="705"/>
      <c r="T33" s="704"/>
      <c r="U33" s="705"/>
      <c r="V33" s="704"/>
      <c r="W33" s="705"/>
      <c r="X33" s="1354"/>
      <c r="Y33" s="3731"/>
      <c r="Z33" s="1355"/>
      <c r="AA33" s="1352">
        <v>1</v>
      </c>
      <c r="AB33" s="1352">
        <v>1</v>
      </c>
      <c r="AC33" s="1352">
        <v>1</v>
      </c>
    </row>
    <row r="34" spans="1:29" ht="15">
      <c r="A34" s="379"/>
      <c r="B34" s="375" t="s">
        <v>1871</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6"/>
      <c r="M34" s="2710"/>
      <c r="N34" s="2710"/>
      <c r="O34" s="2768"/>
      <c r="P34" s="3731"/>
      <c r="Q34" s="1351" t="str">
        <f t="shared" si="8"/>
        <v>土地级别</v>
      </c>
      <c r="R34" s="704" t="s">
        <v>14</v>
      </c>
      <c r="S34" s="705">
        <f t="shared" si="10"/>
        <v>100</v>
      </c>
      <c r="T34" s="704" t="s">
        <v>14</v>
      </c>
      <c r="U34" s="705">
        <f t="shared" si="11"/>
        <v>100</v>
      </c>
      <c r="V34" s="704" t="s">
        <v>14</v>
      </c>
      <c r="W34" s="705">
        <f t="shared" si="12"/>
        <v>100</v>
      </c>
      <c r="X34" s="1354"/>
      <c r="Y34" s="3731"/>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6"/>
      <c r="M35" s="2710"/>
      <c r="N35" s="2710"/>
      <c r="O35" s="2768"/>
      <c r="P35" s="3731"/>
      <c r="Q35" s="1351">
        <f t="shared" si="8"/>
        <v>111</v>
      </c>
      <c r="R35" s="704" t="s">
        <v>14</v>
      </c>
      <c r="S35" s="705">
        <f t="shared" si="10"/>
        <v>100</v>
      </c>
      <c r="T35" s="704" t="s">
        <v>14</v>
      </c>
      <c r="U35" s="705">
        <f t="shared" si="11"/>
        <v>100</v>
      </c>
      <c r="V35" s="704" t="s">
        <v>14</v>
      </c>
      <c r="W35" s="705">
        <f t="shared" si="12"/>
        <v>100</v>
      </c>
      <c r="X35" s="1354"/>
      <c r="Y35" s="3731"/>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6"/>
      <c r="M36" s="2710"/>
      <c r="N36" s="2710"/>
      <c r="O36" s="2768"/>
      <c r="P36" s="3755" t="s">
        <v>1694</v>
      </c>
      <c r="Q36" s="1351">
        <f t="shared" si="8"/>
        <v>111</v>
      </c>
      <c r="R36" s="704" t="s">
        <v>14</v>
      </c>
      <c r="S36" s="705">
        <f t="shared" si="10"/>
        <v>100</v>
      </c>
      <c r="T36" s="704" t="s">
        <v>14</v>
      </c>
      <c r="U36" s="705">
        <f t="shared" si="11"/>
        <v>100</v>
      </c>
      <c r="V36" s="704" t="s">
        <v>14</v>
      </c>
      <c r="W36" s="705">
        <f t="shared" si="12"/>
        <v>100</v>
      </c>
      <c r="X36" s="1354"/>
      <c r="Y36" s="3735" t="s">
        <v>1694</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5"/>
      <c r="M37" s="2717"/>
      <c r="N37" s="2717"/>
      <c r="O37" s="2769"/>
      <c r="P37" s="3735"/>
      <c r="Q37" s="1351">
        <f t="shared" si="8"/>
        <v>111</v>
      </c>
      <c r="R37" s="707" t="s">
        <v>14</v>
      </c>
      <c r="S37" s="708">
        <f t="shared" si="10"/>
        <v>100</v>
      </c>
      <c r="T37" s="707" t="s">
        <v>14</v>
      </c>
      <c r="U37" s="708">
        <f t="shared" si="11"/>
        <v>100</v>
      </c>
      <c r="V37" s="707" t="s">
        <v>14</v>
      </c>
      <c r="W37" s="708">
        <f t="shared" si="12"/>
        <v>100</v>
      </c>
      <c r="X37" s="709"/>
      <c r="Y37" s="3735"/>
      <c r="Z37" s="710">
        <f t="shared" si="13"/>
        <v>111</v>
      </c>
      <c r="AA37" s="1352">
        <f t="shared" si="3"/>
        <v>1</v>
      </c>
      <c r="AB37" s="1352">
        <f t="shared" si="4"/>
        <v>1</v>
      </c>
      <c r="AC37" s="1352">
        <f t="shared" si="5"/>
        <v>1</v>
      </c>
    </row>
    <row r="38" spans="1:29" ht="15">
      <c r="A38" s="423" t="s">
        <v>1692</v>
      </c>
      <c r="B38" s="407" t="s">
        <v>1872</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6"/>
      <c r="M38" s="2710"/>
      <c r="N38" s="2710"/>
      <c r="O38" s="2768"/>
      <c r="P38" s="3735"/>
      <c r="Q38" s="1351" t="str">
        <f>B38</f>
        <v>宗地面积</v>
      </c>
      <c r="R38" s="704" t="s">
        <v>14</v>
      </c>
      <c r="S38" s="705" t="e">
        <f t="shared" si="10"/>
        <v>#N/A</v>
      </c>
      <c r="T38" s="704" t="s">
        <v>14</v>
      </c>
      <c r="U38" s="705" t="e">
        <f t="shared" si="11"/>
        <v>#N/A</v>
      </c>
      <c r="V38" s="704" t="s">
        <v>14</v>
      </c>
      <c r="W38" s="705" t="e">
        <f t="shared" si="12"/>
        <v>#N/A</v>
      </c>
      <c r="X38" s="1354"/>
      <c r="Y38" s="3735"/>
      <c r="Z38" s="1355" t="str">
        <f t="shared" si="13"/>
        <v>宗地面积</v>
      </c>
      <c r="AA38" s="1352" t="e">
        <f t="shared" si="3"/>
        <v>#N/A</v>
      </c>
      <c r="AB38" s="1352" t="e">
        <f t="shared" si="4"/>
        <v>#N/A</v>
      </c>
      <c r="AC38" s="1352" t="e">
        <f t="shared" si="5"/>
        <v>#N/A</v>
      </c>
    </row>
    <row r="39" spans="1:29" ht="15">
      <c r="A39" s="423"/>
      <c r="B39" s="375" t="s">
        <v>1873</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6"/>
      <c r="M39" s="2710"/>
      <c r="N39" s="2710"/>
      <c r="O39" s="2768"/>
      <c r="P39" s="3735"/>
      <c r="Q39" s="1351" t="str">
        <f t="shared" ref="Q39:Q45" si="14">B39</f>
        <v>宗地形状</v>
      </c>
      <c r="R39" s="704" t="s">
        <v>14</v>
      </c>
      <c r="S39" s="705">
        <f t="shared" si="10"/>
        <v>100</v>
      </c>
      <c r="T39" s="704" t="s">
        <v>14</v>
      </c>
      <c r="U39" s="705">
        <f t="shared" si="11"/>
        <v>100</v>
      </c>
      <c r="V39" s="704" t="s">
        <v>14</v>
      </c>
      <c r="W39" s="705">
        <f t="shared" si="12"/>
        <v>100</v>
      </c>
      <c r="X39" s="1354"/>
      <c r="Y39" s="3735"/>
      <c r="Z39" s="1355" t="str">
        <f t="shared" si="13"/>
        <v>宗地形状</v>
      </c>
      <c r="AA39" s="1352">
        <f t="shared" si="3"/>
        <v>1</v>
      </c>
      <c r="AB39" s="1352">
        <f t="shared" si="4"/>
        <v>1</v>
      </c>
      <c r="AC39" s="1352">
        <f t="shared" si="5"/>
        <v>1</v>
      </c>
    </row>
    <row r="40" spans="1:29" ht="15">
      <c r="A40" s="423"/>
      <c r="B40" s="375" t="s">
        <v>1874</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6"/>
      <c r="M40" s="2710"/>
      <c r="N40" s="2710"/>
      <c r="O40" s="2768"/>
      <c r="P40" s="3735"/>
      <c r="Q40" s="1351" t="str">
        <f t="shared" si="14"/>
        <v>临街宽度及深度</v>
      </c>
      <c r="R40" s="704" t="s">
        <v>14</v>
      </c>
      <c r="S40" s="705">
        <f t="shared" si="10"/>
        <v>100</v>
      </c>
      <c r="T40" s="704" t="s">
        <v>14</v>
      </c>
      <c r="U40" s="705">
        <f t="shared" si="11"/>
        <v>100</v>
      </c>
      <c r="V40" s="704" t="s">
        <v>14</v>
      </c>
      <c r="W40" s="705">
        <f t="shared" si="12"/>
        <v>100</v>
      </c>
      <c r="X40" s="1354"/>
      <c r="Y40" s="3735"/>
      <c r="Z40" s="1355" t="str">
        <f t="shared" si="13"/>
        <v>临街宽度及深度</v>
      </c>
      <c r="AA40" s="1352">
        <f t="shared" si="3"/>
        <v>1</v>
      </c>
      <c r="AB40" s="1352">
        <f t="shared" si="4"/>
        <v>1</v>
      </c>
      <c r="AC40" s="1352">
        <f t="shared" si="5"/>
        <v>1</v>
      </c>
    </row>
    <row r="41" spans="1:29" s="108" customFormat="1" ht="15">
      <c r="A41" s="424"/>
      <c r="B41" s="375" t="s">
        <v>1875</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1"/>
      <c r="M41" s="2712"/>
      <c r="N41" s="2712"/>
      <c r="O41" s="2766"/>
      <c r="P41" s="3735"/>
      <c r="Q41" s="1351" t="str">
        <f t="shared" si="14"/>
        <v>宗地开发程度</v>
      </c>
      <c r="R41" s="700" t="s">
        <v>14</v>
      </c>
      <c r="S41" s="701">
        <f t="shared" si="10"/>
        <v>100</v>
      </c>
      <c r="T41" s="700" t="s">
        <v>14</v>
      </c>
      <c r="U41" s="701">
        <f t="shared" si="11"/>
        <v>100</v>
      </c>
      <c r="V41" s="700" t="s">
        <v>14</v>
      </c>
      <c r="W41" s="701">
        <f t="shared" si="12"/>
        <v>100</v>
      </c>
      <c r="X41" s="702"/>
      <c r="Y41" s="3735"/>
      <c r="Z41" s="52" t="str">
        <f t="shared" si="13"/>
        <v>宗地开发程度</v>
      </c>
      <c r="AA41" s="703">
        <f t="shared" si="3"/>
        <v>1</v>
      </c>
      <c r="AB41" s="703">
        <f t="shared" si="4"/>
        <v>1</v>
      </c>
      <c r="AC41" s="703">
        <f t="shared" si="5"/>
        <v>1</v>
      </c>
    </row>
    <row r="42" spans="1:29" ht="15">
      <c r="A42" s="423"/>
      <c r="B42" s="375" t="s">
        <v>1876</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6"/>
      <c r="M42" s="2710"/>
      <c r="N42" s="2710"/>
      <c r="O42" s="2768"/>
      <c r="P42" s="3735" t="s">
        <v>1694</v>
      </c>
      <c r="Q42" s="1351" t="str">
        <f t="shared" si="14"/>
        <v>工程地质条件</v>
      </c>
      <c r="R42" s="704" t="s">
        <v>14</v>
      </c>
      <c r="S42" s="705">
        <f t="shared" si="10"/>
        <v>100</v>
      </c>
      <c r="T42" s="704" t="s">
        <v>14</v>
      </c>
      <c r="U42" s="705">
        <f t="shared" si="11"/>
        <v>100</v>
      </c>
      <c r="V42" s="704" t="s">
        <v>14</v>
      </c>
      <c r="W42" s="705">
        <f t="shared" si="12"/>
        <v>100</v>
      </c>
      <c r="X42" s="1354"/>
      <c r="Y42" s="3735" t="s">
        <v>1694</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6"/>
      <c r="M43" s="2710"/>
      <c r="N43" s="2710"/>
      <c r="O43" s="2768"/>
      <c r="P43" s="3735"/>
      <c r="Q43" s="1351">
        <f t="shared" si="14"/>
        <v>111</v>
      </c>
      <c r="R43" s="704" t="s">
        <v>14</v>
      </c>
      <c r="S43" s="705">
        <f t="shared" si="10"/>
        <v>100</v>
      </c>
      <c r="T43" s="704" t="s">
        <v>14</v>
      </c>
      <c r="U43" s="705">
        <f t="shared" si="11"/>
        <v>100</v>
      </c>
      <c r="V43" s="704" t="s">
        <v>14</v>
      </c>
      <c r="W43" s="705">
        <f t="shared" si="12"/>
        <v>100</v>
      </c>
      <c r="X43" s="1354"/>
      <c r="Y43" s="3735"/>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6"/>
      <c r="M44" s="2710"/>
      <c r="N44" s="2710"/>
      <c r="O44" s="2768"/>
      <c r="P44" s="3735"/>
      <c r="Q44" s="1351">
        <f t="shared" si="14"/>
        <v>111</v>
      </c>
      <c r="R44" s="704" t="s">
        <v>14</v>
      </c>
      <c r="S44" s="705">
        <f t="shared" si="10"/>
        <v>100</v>
      </c>
      <c r="T44" s="704" t="s">
        <v>14</v>
      </c>
      <c r="U44" s="705">
        <f t="shared" si="11"/>
        <v>100</v>
      </c>
      <c r="V44" s="704" t="s">
        <v>14</v>
      </c>
      <c r="W44" s="705">
        <f t="shared" si="12"/>
        <v>100</v>
      </c>
      <c r="X44" s="1354"/>
      <c r="Y44" s="3735"/>
      <c r="Z44" s="1355">
        <f t="shared" si="13"/>
        <v>111</v>
      </c>
      <c r="AA44" s="1352">
        <f t="shared" si="3"/>
        <v>1</v>
      </c>
      <c r="AB44" s="1352">
        <f t="shared" si="4"/>
        <v>1</v>
      </c>
      <c r="AC44" s="1352">
        <f t="shared" si="5"/>
        <v>1</v>
      </c>
    </row>
    <row r="45" spans="1:29" s="422" customFormat="1" ht="15.75" thickBot="1">
      <c r="A45" s="419"/>
      <c r="B45" s="1133">
        <v>111</v>
      </c>
      <c r="C45" s="1978"/>
      <c r="D45" s="627">
        <v>100</v>
      </c>
      <c r="E45" s="621"/>
      <c r="F45" s="389">
        <f>SUMIF(130:130,E45,131:131)-SUMIF(130:130,C45,131:131)+100</f>
        <v>100</v>
      </c>
      <c r="G45" s="621"/>
      <c r="H45" s="389">
        <f>SUMIF(130:130,G45,131:131)-SUMIF(130:130,C45,131:131)+100</f>
        <v>100</v>
      </c>
      <c r="I45" s="621"/>
      <c r="J45" s="389">
        <f>SUMIF(130:130,I45,131:131)-SUMIF(130:130,C45,131:131)+100</f>
        <v>100</v>
      </c>
      <c r="K45" s="628"/>
      <c r="L45" s="2715"/>
      <c r="M45" s="2717"/>
      <c r="N45" s="2717"/>
      <c r="O45" s="2769"/>
      <c r="P45" s="3735"/>
      <c r="Q45" s="1351">
        <f t="shared" si="14"/>
        <v>111</v>
      </c>
      <c r="R45" s="707" t="s">
        <v>14</v>
      </c>
      <c r="S45" s="708">
        <f t="shared" si="10"/>
        <v>100</v>
      </c>
      <c r="T45" s="707" t="s">
        <v>14</v>
      </c>
      <c r="U45" s="708">
        <f t="shared" si="11"/>
        <v>100</v>
      </c>
      <c r="V45" s="707" t="s">
        <v>14</v>
      </c>
      <c r="W45" s="708">
        <f t="shared" si="12"/>
        <v>100</v>
      </c>
      <c r="X45" s="709"/>
      <c r="Y45" s="3735"/>
      <c r="Z45" s="710">
        <f t="shared" si="13"/>
        <v>111</v>
      </c>
      <c r="AA45" s="1352">
        <f t="shared" si="3"/>
        <v>1</v>
      </c>
      <c r="AB45" s="1352">
        <f t="shared" si="4"/>
        <v>1</v>
      </c>
      <c r="AC45" s="1352">
        <f t="shared" si="5"/>
        <v>1</v>
      </c>
    </row>
    <row r="46" spans="1:29" ht="15">
      <c r="A46" s="430" t="s">
        <v>1842</v>
      </c>
      <c r="B46" s="1979" t="s">
        <v>1877</v>
      </c>
      <c r="C46" s="629" t="s">
        <v>0</v>
      </c>
      <c r="D46" s="432"/>
      <c r="E46" s="433"/>
      <c r="F46" s="434"/>
      <c r="G46" s="435"/>
      <c r="H46" s="436"/>
      <c r="I46" s="433"/>
      <c r="J46" s="436"/>
      <c r="K46" s="713"/>
      <c r="L46" s="2718"/>
      <c r="M46" s="2719"/>
      <c r="N46" s="2710"/>
      <c r="O46" s="2719"/>
      <c r="P46" s="3728" t="str">
        <f>A46</f>
        <v>成交单价</v>
      </c>
      <c r="Q46" s="3728"/>
      <c r="R46" s="3723">
        <f>E46</f>
        <v>0</v>
      </c>
      <c r="S46" s="3723"/>
      <c r="T46" s="3723">
        <f>G46</f>
        <v>0</v>
      </c>
      <c r="U46" s="3723"/>
      <c r="V46" s="3723">
        <f>I46</f>
        <v>0</v>
      </c>
      <c r="W46" s="3723"/>
      <c r="X46" s="689"/>
      <c r="Y46" s="711"/>
      <c r="Z46" s="689"/>
      <c r="AA46" s="689"/>
      <c r="AB46" s="689"/>
      <c r="AC46" s="689"/>
    </row>
    <row r="47" spans="1:29" ht="15.75" thickBot="1">
      <c r="A47" s="437" t="s">
        <v>1791</v>
      </c>
      <c r="B47" s="630"/>
      <c r="C47" s="440" t="e">
        <f>R48</f>
        <v>#DIV/0!</v>
      </c>
      <c r="D47" s="2314" t="s">
        <v>2136</v>
      </c>
      <c r="E47" s="440" t="e">
        <f>R47</f>
        <v>#DIV/0!</v>
      </c>
      <c r="F47" s="2315"/>
      <c r="G47" s="439" t="e">
        <f>T47</f>
        <v>#DIV/0!</v>
      </c>
      <c r="H47" s="2315"/>
      <c r="I47" s="440" t="e">
        <f>V47</f>
        <v>#DIV/0!</v>
      </c>
      <c r="J47" s="2315"/>
      <c r="K47" s="2317">
        <f>F47+H47+J47</f>
        <v>0</v>
      </c>
      <c r="L47" s="2718"/>
      <c r="M47" s="2719"/>
      <c r="N47" s="2719"/>
      <c r="O47" s="2719"/>
      <c r="P47" s="3728" t="str">
        <f>A47</f>
        <v>比较价值（元/平方米）</v>
      </c>
      <c r="Q47" s="3728"/>
      <c r="R47" s="3757" t="e">
        <f>ROUND(PRODUCT(R46,AA7:AA45),0)</f>
        <v>#DIV/0!</v>
      </c>
      <c r="S47" s="3757"/>
      <c r="T47" s="3757" t="e">
        <f>ROUND(PRODUCT(T46,AB7:AB45),0)</f>
        <v>#DIV/0!</v>
      </c>
      <c r="U47" s="3757"/>
      <c r="V47" s="3757" t="e">
        <f>ROUND(PRODUCT(V46,AC7:AC45),0)</f>
        <v>#DIV/0!</v>
      </c>
      <c r="W47" s="3757"/>
      <c r="X47" s="689"/>
      <c r="Y47" s="689"/>
      <c r="Z47" s="689"/>
      <c r="AA47" s="689"/>
      <c r="AB47" s="689"/>
      <c r="AC47" s="689"/>
    </row>
    <row r="48" spans="1:29" ht="15.75" thickBot="1">
      <c r="A48" s="441" t="s">
        <v>1878</v>
      </c>
      <c r="B48" s="442"/>
      <c r="C48" s="443" t="e">
        <f>R48</f>
        <v>#DIV/0!</v>
      </c>
      <c r="D48" s="443"/>
      <c r="E48" s="443"/>
      <c r="F48" s="443"/>
      <c r="G48" s="443"/>
      <c r="H48" s="443"/>
      <c r="I48" s="443"/>
      <c r="J48" s="443"/>
      <c r="K48" s="714"/>
      <c r="L48" s="2718"/>
      <c r="M48" s="2719"/>
      <c r="N48" s="2719"/>
      <c r="O48" s="2719"/>
      <c r="P48" s="3725" t="str">
        <f>A48</f>
        <v>估价对象XX用房的比较价值（楼面单价，元/平方米）</v>
      </c>
      <c r="Q48" s="3726"/>
      <c r="R48" s="3758" t="e">
        <f>ROUND(IF(D47="简单平均",AVERAGE(R47:W47),R47*F47+T47*H47+V47*J47),0)</f>
        <v>#DIV/0!</v>
      </c>
      <c r="S48" s="3758"/>
      <c r="T48" s="3758"/>
      <c r="U48" s="3758"/>
      <c r="V48" s="3758"/>
      <c r="W48" s="3758"/>
      <c r="X48" s="689"/>
      <c r="Y48" s="689"/>
      <c r="Z48" s="689"/>
      <c r="AA48" s="689"/>
      <c r="AB48" s="689"/>
      <c r="AC48" s="689"/>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2"/>
      <c r="D54" s="690"/>
      <c r="E54" s="690"/>
      <c r="F54" s="690"/>
      <c r="G54" s="690"/>
      <c r="H54" s="690"/>
      <c r="I54" s="690"/>
      <c r="J54" s="690"/>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1879</v>
      </c>
      <c r="B55" s="632" t="s">
        <v>1880</v>
      </c>
      <c r="C55" s="1980" t="s">
        <v>1881</v>
      </c>
      <c r="D55" s="1981" t="s">
        <v>1882</v>
      </c>
      <c r="E55" s="633" t="s">
        <v>1883</v>
      </c>
      <c r="F55" s="889" t="s">
        <v>1884</v>
      </c>
      <c r="G55" s="3711" t="s">
        <v>1885</v>
      </c>
      <c r="H55" s="3759"/>
      <c r="I55" s="135" t="s">
        <v>1886</v>
      </c>
      <c r="J55" s="1982">
        <f>项目基本情况!F35</f>
        <v>0</v>
      </c>
      <c r="K55" s="1983" t="s">
        <v>1887</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1888</v>
      </c>
      <c r="B56" s="636" t="e">
        <f>C48</f>
        <v>#DIV/0!</v>
      </c>
      <c r="C56" s="637">
        <v>1</v>
      </c>
      <c r="D56" s="943">
        <v>1</v>
      </c>
      <c r="E56" s="637">
        <f>'数据-汇总表'!E8+'数据-汇总表'!E9</f>
        <v>120.57</v>
      </c>
      <c r="F56" s="885" t="e">
        <f t="shared" ref="F56:F64" si="15">ROUND(B56*E56/10000,0)</f>
        <v>#DIV/0!</v>
      </c>
      <c r="G56" s="3710"/>
      <c r="H56" s="3728"/>
      <c r="I56" s="890">
        <v>1</v>
      </c>
      <c r="J56" s="893">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1889</v>
      </c>
      <c r="B57" s="218" t="e">
        <f>ROUND($C$48*C57*D57,0)</f>
        <v>#DIV/0!</v>
      </c>
      <c r="C57" s="171">
        <f t="shared" ref="C57:C64" si="16">IF($C$55="北京市系数",I57,J57)</f>
        <v>0</v>
      </c>
      <c r="D57" s="944">
        <v>0.25</v>
      </c>
      <c r="E57" s="641"/>
      <c r="F57" s="885" t="e">
        <f t="shared" si="15"/>
        <v>#DIV/0!</v>
      </c>
      <c r="G57" s="3000" t="s">
        <v>1890</v>
      </c>
      <c r="H57" s="886">
        <f>项目基本情况!B37</f>
        <v>0</v>
      </c>
      <c r="I57" s="890">
        <f>SUMIF(修正!A57:A68,H57,修正!B57:B68)</f>
        <v>0</v>
      </c>
      <c r="J57" s="894"/>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1891</v>
      </c>
      <c r="B58" s="218" t="e">
        <f t="shared" ref="B58:B64" si="17">ROUND($C$48*C58*D58,0)</f>
        <v>#DIV/0!</v>
      </c>
      <c r="C58" s="171">
        <f t="shared" si="16"/>
        <v>0</v>
      </c>
      <c r="D58" s="944">
        <v>0.25</v>
      </c>
      <c r="E58" s="641"/>
      <c r="F58" s="885" t="e">
        <f t="shared" si="15"/>
        <v>#DIV/0!</v>
      </c>
      <c r="G58" s="3001"/>
      <c r="H58" s="886">
        <f>项目基本情况!B37</f>
        <v>0</v>
      </c>
      <c r="I58" s="890">
        <f>SUMIF(修正!A57:A68,H58,修正!C57:C68)</f>
        <v>0</v>
      </c>
      <c r="J58" s="894"/>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1892</v>
      </c>
      <c r="B59" s="218" t="e">
        <f t="shared" si="17"/>
        <v>#DIV/0!</v>
      </c>
      <c r="C59" s="171">
        <f t="shared" si="16"/>
        <v>0</v>
      </c>
      <c r="D59" s="944">
        <v>0.25</v>
      </c>
      <c r="E59" s="641"/>
      <c r="F59" s="885" t="e">
        <f t="shared" si="15"/>
        <v>#DIV/0!</v>
      </c>
      <c r="G59" s="3001"/>
      <c r="H59" s="886">
        <f>项目基本情况!B37</f>
        <v>0</v>
      </c>
      <c r="I59" s="890">
        <f>SUMIF(修正!A57:A68,H59,修正!D57:D68)</f>
        <v>0</v>
      </c>
      <c r="J59" s="894"/>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1893</v>
      </c>
      <c r="B60" s="218" t="e">
        <f t="shared" si="17"/>
        <v>#DIV/0!</v>
      </c>
      <c r="C60" s="171">
        <f t="shared" si="16"/>
        <v>0.3</v>
      </c>
      <c r="D60" s="944">
        <v>0.25</v>
      </c>
      <c r="E60" s="217">
        <f>'数据-汇总表'!E11</f>
        <v>0</v>
      </c>
      <c r="F60" s="885" t="e">
        <f t="shared" si="15"/>
        <v>#DIV/0!</v>
      </c>
      <c r="G60" s="1984" t="s">
        <v>1894</v>
      </c>
      <c r="H60" s="886" t="str">
        <f>项目基本情况!C37</f>
        <v>一级</v>
      </c>
      <c r="I60" s="890">
        <f>SUMIF(修正!A57:A68,H60,修正!E57:E68)</f>
        <v>0.3</v>
      </c>
      <c r="J60" s="894"/>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1895</v>
      </c>
      <c r="B61" s="218" t="e">
        <f t="shared" si="17"/>
        <v>#DIV/0!</v>
      </c>
      <c r="C61" s="171">
        <f t="shared" si="16"/>
        <v>0.3</v>
      </c>
      <c r="D61" s="944">
        <v>0.25</v>
      </c>
      <c r="E61" s="217">
        <f>'数据-汇总表'!E12</f>
        <v>0</v>
      </c>
      <c r="F61" s="885" t="e">
        <f t="shared" si="15"/>
        <v>#DIV/0!</v>
      </c>
      <c r="G61" s="891" t="s">
        <v>1896</v>
      </c>
      <c r="H61" s="886" t="str">
        <f>IF(G61="商业",项目基本情况!B37,IF(G61="办公",项目基本情况!C37,IF(G61="住宅",项目基本情况!D37,项目基本情况!E37)))</f>
        <v>一级</v>
      </c>
      <c r="I61" s="890">
        <f>SUMIF(修正!A57:A68,H61,修正!F57:F68)</f>
        <v>0.3</v>
      </c>
      <c r="J61" s="894"/>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1897</v>
      </c>
      <c r="B62" s="218" t="e">
        <f t="shared" si="17"/>
        <v>#DIV/0!</v>
      </c>
      <c r="C62" s="171">
        <f t="shared" si="16"/>
        <v>0</v>
      </c>
      <c r="D62" s="944">
        <v>0.25</v>
      </c>
      <c r="E62" s="217">
        <f>'数据-汇总表'!E13</f>
        <v>0</v>
      </c>
      <c r="F62" s="885" t="e">
        <f t="shared" si="15"/>
        <v>#DIV/0!</v>
      </c>
      <c r="G62" s="891" t="s">
        <v>1898</v>
      </c>
      <c r="H62" s="886">
        <f>IF(G62="商业",项目基本情况!B37,IF(G62="办公",项目基本情况!C37,IF(G62="住宅",项目基本情况!D37,项目基本情况!E37)))</f>
        <v>0</v>
      </c>
      <c r="I62" s="890">
        <f>SUMIF(修正!A57:A68,H62,修正!G57:G68)</f>
        <v>0</v>
      </c>
      <c r="J62" s="894"/>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1899</v>
      </c>
      <c r="B63" s="218" t="e">
        <f t="shared" si="17"/>
        <v>#DIV/0!</v>
      </c>
      <c r="C63" s="171">
        <f t="shared" si="16"/>
        <v>0</v>
      </c>
      <c r="D63" s="944">
        <v>0.25</v>
      </c>
      <c r="E63" s="217">
        <f>'数据-汇总表'!E14</f>
        <v>0</v>
      </c>
      <c r="F63" s="885" t="e">
        <f t="shared" si="15"/>
        <v>#DIV/0!</v>
      </c>
      <c r="G63" s="1984" t="s">
        <v>1890</v>
      </c>
      <c r="H63" s="886">
        <f>项目基本情况!B37</f>
        <v>0</v>
      </c>
      <c r="I63" s="890">
        <f>SUMIF(修正!A57:A68,H63,修正!G57:G68)</f>
        <v>0</v>
      </c>
      <c r="J63" s="894"/>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1900</v>
      </c>
      <c r="B64" s="218" t="e">
        <f t="shared" si="17"/>
        <v>#DIV/0!</v>
      </c>
      <c r="C64" s="171">
        <f t="shared" si="16"/>
        <v>0.2</v>
      </c>
      <c r="D64" s="944">
        <v>0.25</v>
      </c>
      <c r="E64" s="217">
        <f>'数据-汇总表'!E15</f>
        <v>0</v>
      </c>
      <c r="F64" s="885" t="e">
        <f t="shared" si="15"/>
        <v>#DIV/0!</v>
      </c>
      <c r="G64" s="1985" t="s">
        <v>1894</v>
      </c>
      <c r="H64" s="896" t="str">
        <f>项目基本情况!C37</f>
        <v>一级</v>
      </c>
      <c r="I64" s="892">
        <f>SUMIF(修正!A57:A68,H64,修正!G57:G68)</f>
        <v>0.2</v>
      </c>
      <c r="J64" s="895"/>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1901</v>
      </c>
      <c r="B65" s="643" t="s">
        <v>22</v>
      </c>
      <c r="C65" s="643" t="s">
        <v>23</v>
      </c>
      <c r="D65" s="643" t="s">
        <v>392</v>
      </c>
      <c r="E65" s="643">
        <f>IF(B46="楼面地价",SUM(E56:E64),'数据-汇总表'!D3)</f>
        <v>120.57</v>
      </c>
      <c r="F65" s="644" t="e">
        <f>IF(B46="楼面地价",SUM(F56:F64),ROUND(C48*E65/10000,0))</f>
        <v>#DIV/0!</v>
      </c>
      <c r="G65" s="716"/>
      <c r="H65" s="716"/>
      <c r="I65" s="716"/>
      <c r="J65" s="716"/>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9"/>
      <c r="B66" s="691"/>
      <c r="C66" s="692"/>
      <c r="D66" s="689"/>
      <c r="E66" s="689"/>
      <c r="F66" s="689"/>
      <c r="G66" s="689"/>
      <c r="H66" s="689"/>
      <c r="I66" s="689"/>
      <c r="J66" s="926"/>
      <c r="K66" s="887"/>
      <c r="L66" s="888"/>
      <c r="M66" s="926"/>
      <c r="N66" s="926"/>
      <c r="O66" s="926"/>
      <c r="P66" s="2719"/>
      <c r="Q66" s="2719"/>
      <c r="R66" s="2719"/>
      <c r="S66" s="2719"/>
      <c r="T66" s="2719"/>
      <c r="U66" s="2719"/>
      <c r="V66" s="2719"/>
      <c r="W66" s="2719"/>
      <c r="X66" s="2719"/>
      <c r="Y66" s="2719"/>
      <c r="Z66" s="2719"/>
      <c r="AA66" s="2719"/>
      <c r="AB66" s="2719"/>
      <c r="AC66" s="2719"/>
    </row>
    <row r="67" spans="1:29">
      <c r="A67" s="689"/>
      <c r="B67" s="691"/>
      <c r="C67" s="691" t="str">
        <f>YEAR(C7)&amp;"-"&amp;MONTH(C7)&amp;"-1"</f>
        <v>2023-7-1</v>
      </c>
      <c r="D67" s="691">
        <f>EDATE(C67,-3)</f>
        <v>45017</v>
      </c>
      <c r="E67" s="691">
        <f>EDATE(D67,-3)</f>
        <v>44927</v>
      </c>
      <c r="F67" s="691">
        <f t="shared" ref="F67:O67" si="18">EDATE(E67,-3)</f>
        <v>44835</v>
      </c>
      <c r="G67" s="691">
        <f t="shared" si="18"/>
        <v>44743</v>
      </c>
      <c r="H67" s="691">
        <f t="shared" si="18"/>
        <v>44652</v>
      </c>
      <c r="I67" s="691">
        <f t="shared" si="18"/>
        <v>44562</v>
      </c>
      <c r="J67" s="691">
        <f t="shared" si="18"/>
        <v>44470</v>
      </c>
      <c r="K67" s="691">
        <f t="shared" si="18"/>
        <v>44378</v>
      </c>
      <c r="L67" s="691">
        <f t="shared" si="18"/>
        <v>44287</v>
      </c>
      <c r="M67" s="691">
        <f t="shared" si="18"/>
        <v>44197</v>
      </c>
      <c r="N67" s="691">
        <f t="shared" si="18"/>
        <v>44105</v>
      </c>
      <c r="O67" s="691">
        <f t="shared" si="18"/>
        <v>44013</v>
      </c>
      <c r="P67" s="2719"/>
      <c r="Q67" s="2719"/>
      <c r="R67" s="2719"/>
      <c r="S67" s="2719"/>
      <c r="T67" s="2719"/>
      <c r="U67" s="2719"/>
      <c r="V67" s="2719"/>
      <c r="W67" s="2719"/>
      <c r="X67" s="2719"/>
      <c r="Y67" s="2719"/>
      <c r="Z67" s="2719"/>
      <c r="AA67" s="2719"/>
      <c r="AB67" s="2719"/>
      <c r="AC67" s="2719"/>
    </row>
    <row r="68" spans="1:29" ht="21.75" thickBot="1">
      <c r="A68" s="693" t="s">
        <v>1796</v>
      </c>
      <c r="B68" s="689"/>
      <c r="C68" s="694"/>
      <c r="D68" s="694"/>
      <c r="E68" s="694"/>
      <c r="F68" s="695"/>
      <c r="G68" s="695"/>
      <c r="H68" s="694"/>
      <c r="I68" s="694"/>
      <c r="J68" s="939"/>
      <c r="K68" s="940"/>
      <c r="L68" s="941"/>
      <c r="M68" s="939"/>
      <c r="N68" s="2763"/>
      <c r="O68" s="2763"/>
      <c r="P68" s="2763"/>
      <c r="Q68" s="2733"/>
      <c r="R68" s="2719"/>
      <c r="S68" s="2719"/>
      <c r="T68" s="2719"/>
      <c r="U68" s="2719"/>
      <c r="V68" s="2719"/>
      <c r="W68" s="2719"/>
      <c r="X68" s="2719"/>
      <c r="Y68" s="2719"/>
      <c r="Z68" s="2719"/>
      <c r="AA68" s="2719"/>
      <c r="AB68" s="2719"/>
      <c r="AC68" s="2719"/>
    </row>
    <row r="69" spans="1:29" s="457" customFormat="1" ht="15">
      <c r="A69" s="1986" t="s">
        <v>1902</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0"/>
      <c r="Q69" s="2735"/>
      <c r="R69" s="2735"/>
      <c r="S69" s="2735"/>
      <c r="T69" s="2735"/>
      <c r="U69" s="2735"/>
      <c r="V69" s="2735"/>
      <c r="W69" s="2735"/>
      <c r="X69" s="2735"/>
      <c r="Y69" s="2735"/>
      <c r="Z69" s="2735"/>
      <c r="AA69" s="2735"/>
      <c r="AB69" s="2735"/>
      <c r="AC69" s="2735"/>
    </row>
    <row r="70" spans="1:29" s="108" customFormat="1" ht="30" customHeight="1">
      <c r="A70" s="1987"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3"/>
      <c r="Q70" s="2655"/>
      <c r="R70" s="2655"/>
      <c r="S70" s="2655"/>
      <c r="T70" s="2655"/>
      <c r="U70" s="2655"/>
      <c r="V70" s="2655"/>
      <c r="W70" s="2655"/>
      <c r="X70" s="2655"/>
      <c r="Y70" s="2655"/>
      <c r="Z70" s="2655"/>
      <c r="AA70" s="2655"/>
      <c r="AB70" s="2655"/>
      <c r="AC70" s="2655"/>
    </row>
    <row r="71" spans="1:29" s="108" customFormat="1" ht="15.75" thickBot="1">
      <c r="A71" s="464" t="s">
        <v>1714</v>
      </c>
      <c r="B71" s="465"/>
      <c r="C71" s="466"/>
      <c r="D71" s="467"/>
      <c r="E71" s="467"/>
      <c r="F71" s="467"/>
      <c r="G71" s="467"/>
      <c r="H71" s="467"/>
      <c r="I71" s="467"/>
      <c r="J71" s="467"/>
      <c r="K71" s="467"/>
      <c r="L71" s="467"/>
      <c r="M71" s="468"/>
      <c r="N71" s="467"/>
      <c r="O71" s="942"/>
      <c r="P71" s="2733"/>
      <c r="Q71" s="2733"/>
      <c r="R71" s="2655"/>
      <c r="S71" s="2655"/>
      <c r="T71" s="2655"/>
      <c r="U71" s="2655"/>
      <c r="V71" s="2655"/>
      <c r="W71" s="2655"/>
      <c r="X71" s="2655"/>
      <c r="Y71" s="2655"/>
      <c r="Z71" s="2655"/>
      <c r="AA71" s="2655"/>
      <c r="AB71" s="2655"/>
      <c r="AC71" s="2655"/>
    </row>
    <row r="72" spans="1:29" s="108" customFormat="1" ht="15">
      <c r="A72" s="470" t="s">
        <v>1679</v>
      </c>
      <c r="B72" s="459"/>
      <c r="C72" s="471" t="s">
        <v>1774</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6">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1717</v>
      </c>
      <c r="B74" s="477" t="s">
        <v>1683</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1686</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1688</v>
      </c>
      <c r="B87" s="477" t="s">
        <v>1718</v>
      </c>
      <c r="C87" s="522" t="s">
        <v>1719</v>
      </c>
      <c r="D87" s="522" t="s">
        <v>1720</v>
      </c>
      <c r="E87" s="522" t="s">
        <v>1721</v>
      </c>
      <c r="F87" s="522" t="s">
        <v>1722</v>
      </c>
      <c r="G87" s="522" t="s">
        <v>1723</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1904</v>
      </c>
      <c r="C89" s="527" t="s">
        <v>1719</v>
      </c>
      <c r="D89" s="527" t="s">
        <v>1720</v>
      </c>
      <c r="E89" s="527" t="s">
        <v>1721</v>
      </c>
      <c r="F89" s="527" t="s">
        <v>1722</v>
      </c>
      <c r="G89" s="527" t="s">
        <v>1723</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1819</v>
      </c>
      <c r="C91" s="527" t="s">
        <v>1719</v>
      </c>
      <c r="D91" s="527" t="s">
        <v>1720</v>
      </c>
      <c r="E91" s="527" t="s">
        <v>1721</v>
      </c>
      <c r="F91" s="527" t="s">
        <v>1722</v>
      </c>
      <c r="G91" s="527" t="s">
        <v>1723</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1724</v>
      </c>
      <c r="C93" s="527" t="s">
        <v>1719</v>
      </c>
      <c r="D93" s="527" t="s">
        <v>1720</v>
      </c>
      <c r="E93" s="527" t="s">
        <v>1721</v>
      </c>
      <c r="F93" s="527" t="s">
        <v>1722</v>
      </c>
      <c r="G93" s="527" t="s">
        <v>1723</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1905</v>
      </c>
      <c r="C95" s="527" t="s">
        <v>1719</v>
      </c>
      <c r="D95" s="527" t="s">
        <v>1720</v>
      </c>
      <c r="E95" s="527" t="s">
        <v>1721</v>
      </c>
      <c r="F95" s="527" t="s">
        <v>1722</v>
      </c>
      <c r="G95" s="527" t="s">
        <v>1723</v>
      </c>
      <c r="H95" s="527"/>
      <c r="I95" s="527"/>
      <c r="J95" s="527"/>
      <c r="K95" s="527"/>
      <c r="L95" s="645"/>
      <c r="M95" s="569"/>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69"/>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1777</v>
      </c>
      <c r="C101" s="607" t="s">
        <v>1797</v>
      </c>
      <c r="D101" s="607" t="s">
        <v>1798</v>
      </c>
      <c r="E101" s="607" t="s">
        <v>1799</v>
      </c>
      <c r="F101" s="607" t="s">
        <v>1800</v>
      </c>
      <c r="G101" s="607" t="s">
        <v>1801</v>
      </c>
      <c r="H101" s="549"/>
      <c r="I101" s="549"/>
      <c r="J101" s="549"/>
      <c r="K101" s="549"/>
      <c r="L101" s="549"/>
      <c r="M101" s="1131"/>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1813</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1871</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1912</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1913</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1914</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1915</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7"/>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8" t="e">
        <f>F61</f>
        <v>#DIV/0!</v>
      </c>
      <c r="C2" s="907"/>
      <c r="D2" s="907"/>
      <c r="E2" s="907"/>
      <c r="F2" s="908"/>
      <c r="G2" s="907"/>
      <c r="H2" s="907"/>
      <c r="I2" s="907"/>
      <c r="J2" s="907"/>
      <c r="K2" s="909"/>
      <c r="L2" s="2728"/>
      <c r="M2" s="2729"/>
      <c r="N2" s="2729"/>
      <c r="O2" s="2729"/>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2"/>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29" ht="15">
      <c r="A4" s="355" t="s">
        <v>1767</v>
      </c>
      <c r="B4" s="356"/>
      <c r="C4" s="3711" t="s">
        <v>1768</v>
      </c>
      <c r="D4" s="3712"/>
      <c r="E4" s="3713" t="s">
        <v>1769</v>
      </c>
      <c r="F4" s="3714"/>
      <c r="G4" s="3711" t="s">
        <v>1770</v>
      </c>
      <c r="H4" s="3712"/>
      <c r="I4" s="3711" t="s">
        <v>1771</v>
      </c>
      <c r="J4" s="3712"/>
      <c r="K4" s="559" t="s">
        <v>1772</v>
      </c>
      <c r="L4" s="2709"/>
      <c r="M4" s="2710"/>
      <c r="N4" s="2710"/>
      <c r="O4" s="2710"/>
      <c r="P4" s="3715" t="s">
        <v>1773</v>
      </c>
      <c r="Q4" s="3716"/>
      <c r="R4" s="3698" t="s">
        <v>1769</v>
      </c>
      <c r="S4" s="3699"/>
      <c r="T4" s="3698" t="s">
        <v>1770</v>
      </c>
      <c r="U4" s="3699"/>
      <c r="V4" s="3723" t="s">
        <v>1771</v>
      </c>
      <c r="W4" s="3723"/>
      <c r="X4" s="1354"/>
      <c r="Y4" s="3698" t="s">
        <v>1773</v>
      </c>
      <c r="Z4" s="3699"/>
      <c r="AA4" s="3693" t="s">
        <v>1769</v>
      </c>
      <c r="AB4" s="3694" t="s">
        <v>1770</v>
      </c>
      <c r="AC4" s="3693" t="s">
        <v>1771</v>
      </c>
    </row>
    <row r="5" spans="1:29" ht="15">
      <c r="A5" s="358"/>
      <c r="B5" s="359"/>
      <c r="C5" s="3704" t="s">
        <v>1671</v>
      </c>
      <c r="D5" s="3705"/>
      <c r="E5" s="3702" t="s">
        <v>1672</v>
      </c>
      <c r="F5" s="3703"/>
      <c r="G5" s="3704" t="s">
        <v>1673</v>
      </c>
      <c r="H5" s="3705"/>
      <c r="I5" s="3704" t="s">
        <v>1674</v>
      </c>
      <c r="J5" s="3705"/>
      <c r="K5" s="559"/>
      <c r="L5" s="2709"/>
      <c r="M5" s="2710"/>
      <c r="N5" s="2710"/>
      <c r="O5" s="2710"/>
      <c r="P5" s="3717"/>
      <c r="Q5" s="3718"/>
      <c r="R5" s="3700"/>
      <c r="S5" s="3701"/>
      <c r="T5" s="3700"/>
      <c r="U5" s="3701"/>
      <c r="V5" s="3723"/>
      <c r="W5" s="3723"/>
      <c r="X5" s="1354"/>
      <c r="Y5" s="3700"/>
      <c r="Z5" s="3701"/>
      <c r="AA5" s="3694"/>
      <c r="AB5" s="3694"/>
      <c r="AC5" s="3694"/>
    </row>
    <row r="6" spans="1:29" ht="15.75" thickBot="1">
      <c r="A6" s="360"/>
      <c r="B6" s="361"/>
      <c r="C6" s="3760" t="s">
        <v>1917</v>
      </c>
      <c r="D6" s="3761"/>
      <c r="E6" s="3762" t="s">
        <v>1917</v>
      </c>
      <c r="F6" s="3763"/>
      <c r="G6" s="3760" t="s">
        <v>1917</v>
      </c>
      <c r="H6" s="3761"/>
      <c r="I6" s="3760" t="s">
        <v>1917</v>
      </c>
      <c r="J6" s="3761"/>
      <c r="K6" s="559" t="s">
        <v>1676</v>
      </c>
      <c r="L6" s="2709"/>
      <c r="M6" s="2710"/>
      <c r="N6" s="2710"/>
      <c r="O6" s="2710"/>
      <c r="P6" s="3719"/>
      <c r="Q6" s="3720"/>
      <c r="R6" s="3700"/>
      <c r="S6" s="3701"/>
      <c r="T6" s="3721"/>
      <c r="U6" s="3722"/>
      <c r="V6" s="3723"/>
      <c r="W6" s="3723"/>
      <c r="X6" s="1354"/>
      <c r="Y6" s="3721"/>
      <c r="Z6" s="3722"/>
      <c r="AA6" s="3695"/>
      <c r="AB6" s="3695"/>
      <c r="AC6" s="3695"/>
    </row>
    <row r="7" spans="1:29" s="108" customFormat="1" ht="15.75" thickBot="1">
      <c r="A7" s="362" t="s">
        <v>1677</v>
      </c>
      <c r="B7" s="363"/>
      <c r="C7" s="364">
        <f>'数据-取费表'!B2</f>
        <v>45135</v>
      </c>
      <c r="D7" s="365">
        <v>100</v>
      </c>
      <c r="E7" s="366"/>
      <c r="F7" s="367">
        <f>SUMIF(65:65,YEAR(E7)&amp;"-"&amp;INT((MONTH(E7)+2)/3),66:66)</f>
        <v>0</v>
      </c>
      <c r="G7" s="1971"/>
      <c r="H7" s="365">
        <f>SUMIF(65:65,YEAR(G7)&amp;"-"&amp;INT((MONTH(G7)+2)/3),66:66)</f>
        <v>0</v>
      </c>
      <c r="I7" s="1971"/>
      <c r="J7" s="365">
        <f>SUMIF(65:65,YEAR(I7)&amp;"-"&amp;INT((MONTH(I7)+2)/3),66:66)</f>
        <v>0</v>
      </c>
      <c r="K7" s="560"/>
      <c r="L7" s="2711"/>
      <c r="M7" s="2712"/>
      <c r="N7" s="2712"/>
      <c r="O7" s="2712"/>
      <c r="P7" s="3696" t="s">
        <v>1678</v>
      </c>
      <c r="Q7" s="3724"/>
      <c r="R7" s="700" t="s">
        <v>14</v>
      </c>
      <c r="S7" s="701">
        <f t="shared" ref="S7:S15" si="0">F7</f>
        <v>0</v>
      </c>
      <c r="T7" s="700" t="s">
        <v>14</v>
      </c>
      <c r="U7" s="701">
        <f t="shared" ref="U7:U15" si="1">H7</f>
        <v>0</v>
      </c>
      <c r="V7" s="700" t="s">
        <v>14</v>
      </c>
      <c r="W7" s="701">
        <f t="shared" ref="W7:W15" si="2">J7</f>
        <v>0</v>
      </c>
      <c r="X7" s="702"/>
      <c r="Y7" s="3696" t="s">
        <v>1678</v>
      </c>
      <c r="Z7" s="3697"/>
      <c r="AA7" s="703" t="e">
        <f>D7/F7</f>
        <v>#DIV/0!</v>
      </c>
      <c r="AB7" s="703" t="e">
        <f>D7/H7</f>
        <v>#DIV/0!</v>
      </c>
      <c r="AC7" s="703"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96" t="s">
        <v>1681</v>
      </c>
      <c r="Q8" s="3697"/>
      <c r="R8" s="700" t="s">
        <v>14</v>
      </c>
      <c r="S8" s="701">
        <f t="shared" si="0"/>
        <v>0</v>
      </c>
      <c r="T8" s="700" t="s">
        <v>14</v>
      </c>
      <c r="U8" s="701">
        <f t="shared" si="1"/>
        <v>0</v>
      </c>
      <c r="V8" s="700" t="s">
        <v>14</v>
      </c>
      <c r="W8" s="701">
        <f t="shared" si="2"/>
        <v>0</v>
      </c>
      <c r="X8" s="702"/>
      <c r="Y8" s="3696" t="s">
        <v>1681</v>
      </c>
      <c r="Z8" s="3697"/>
      <c r="AA8" s="703" t="e">
        <f t="shared" ref="AA8:AA40" si="3">D8/F8</f>
        <v>#DIV/0!</v>
      </c>
      <c r="AB8" s="703" t="e">
        <f t="shared" ref="AB8:AB40" si="4">D8/H8</f>
        <v>#DIV/0!</v>
      </c>
      <c r="AC8" s="703" t="e">
        <f t="shared" ref="AC8:AC40" si="5">D8/J8</f>
        <v>#DIV/0!</v>
      </c>
    </row>
    <row r="9" spans="1:29" s="108" customFormat="1">
      <c r="A9" s="369" t="s">
        <v>1682</v>
      </c>
      <c r="B9" s="63" t="s">
        <v>1683</v>
      </c>
      <c r="C9" s="1974"/>
      <c r="D9" s="126">
        <v>100</v>
      </c>
      <c r="E9" s="1974"/>
      <c r="F9" s="126">
        <f>SUMIF(70:70,E9,71:71)-SUMIF(70:70,C9,71:71)+100</f>
        <v>100</v>
      </c>
      <c r="G9" s="1974"/>
      <c r="H9" s="126">
        <f>SUMIF(70:70,G9,71:71)-SUMIF(70:70,C9,71:71)+100</f>
        <v>100</v>
      </c>
      <c r="I9" s="1974"/>
      <c r="J9" s="126">
        <f>SUMIF(70:70,I9,71:71)-SUMIF(70:70,C9,71:71)+100</f>
        <v>100</v>
      </c>
      <c r="K9" s="560"/>
      <c r="L9" s="2711"/>
      <c r="M9" s="2712"/>
      <c r="N9" s="2712"/>
      <c r="O9" s="2766"/>
      <c r="P9" s="3728" t="s">
        <v>1684</v>
      </c>
      <c r="Q9" s="1342" t="str">
        <f t="shared" ref="Q9:Q15" si="6">B9</f>
        <v>用途</v>
      </c>
      <c r="R9" s="700" t="s">
        <v>14</v>
      </c>
      <c r="S9" s="701">
        <f t="shared" si="0"/>
        <v>100</v>
      </c>
      <c r="T9" s="700" t="s">
        <v>14</v>
      </c>
      <c r="U9" s="701">
        <f t="shared" si="1"/>
        <v>100</v>
      </c>
      <c r="V9" s="700" t="s">
        <v>14</v>
      </c>
      <c r="W9" s="701">
        <f t="shared" si="2"/>
        <v>100</v>
      </c>
      <c r="X9" s="702"/>
      <c r="Y9" s="3621"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122</v>
      </c>
      <c r="G10" s="383"/>
      <c r="H10" s="127">
        <f>ROUND(100/'数据-取费表'!G16,0)</f>
        <v>122</v>
      </c>
      <c r="I10" s="383"/>
      <c r="J10" s="127">
        <f>ROUND(100/'数据-取费表'!G16,0)</f>
        <v>122</v>
      </c>
      <c r="K10" s="619"/>
      <c r="L10" s="2713"/>
      <c r="M10" s="2714"/>
      <c r="N10" s="2714"/>
      <c r="O10" s="2767"/>
      <c r="P10" s="3728"/>
      <c r="Q10" s="1342" t="str">
        <f t="shared" si="6"/>
        <v>土地使用年限（年）</v>
      </c>
      <c r="R10" s="700" t="s">
        <v>14</v>
      </c>
      <c r="S10" s="701">
        <f t="shared" si="0"/>
        <v>122</v>
      </c>
      <c r="T10" s="700" t="s">
        <v>14</v>
      </c>
      <c r="U10" s="701">
        <f t="shared" si="1"/>
        <v>122</v>
      </c>
      <c r="V10" s="700" t="s">
        <v>14</v>
      </c>
      <c r="W10" s="701">
        <f t="shared" si="2"/>
        <v>122</v>
      </c>
      <c r="X10" s="702"/>
      <c r="Y10" s="3621"/>
      <c r="Z10" s="52" t="str">
        <f t="shared" si="7"/>
        <v>土地使用年限（年）</v>
      </c>
      <c r="AA10" s="703">
        <f t="shared" si="3"/>
        <v>0.81967213114754101</v>
      </c>
      <c r="AB10" s="703">
        <f t="shared" si="4"/>
        <v>0.81967213114754101</v>
      </c>
      <c r="AC10" s="703">
        <f t="shared" si="5"/>
        <v>0.81967213114754101</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5"/>
      <c r="M11" s="2710"/>
      <c r="N11" s="2710"/>
      <c r="O11" s="2768"/>
      <c r="P11" s="3728"/>
      <c r="Q11" s="1342" t="str">
        <f t="shared" si="6"/>
        <v>容积率</v>
      </c>
      <c r="R11" s="700" t="s">
        <v>14</v>
      </c>
      <c r="S11" s="701" t="e">
        <f t="shared" si="0"/>
        <v>#N/A</v>
      </c>
      <c r="T11" s="700" t="s">
        <v>14</v>
      </c>
      <c r="U11" s="701" t="e">
        <f t="shared" si="1"/>
        <v>#N/A</v>
      </c>
      <c r="V11" s="700" t="s">
        <v>14</v>
      </c>
      <c r="W11" s="701" t="e">
        <f t="shared" si="2"/>
        <v>#N/A</v>
      </c>
      <c r="X11" s="702"/>
      <c r="Y11" s="3621"/>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1"/>
      <c r="M12" s="2712"/>
      <c r="N12" s="2712"/>
      <c r="O12" s="2766"/>
      <c r="P12" s="3728"/>
      <c r="Q12" s="1342">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16"/>
      <c r="M13" s="2710"/>
      <c r="N13" s="2710"/>
      <c r="O13" s="2768"/>
      <c r="P13" s="3728"/>
      <c r="Q13" s="1342">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16"/>
      <c r="M14" s="2710"/>
      <c r="N14" s="2710"/>
      <c r="O14" s="2768"/>
      <c r="P14" s="3728"/>
      <c r="Q14" s="1342">
        <f t="shared" si="6"/>
        <v>111</v>
      </c>
      <c r="R14" s="700" t="s">
        <v>14</v>
      </c>
      <c r="S14" s="701">
        <f t="shared" si="0"/>
        <v>100</v>
      </c>
      <c r="T14" s="700" t="s">
        <v>14</v>
      </c>
      <c r="U14" s="701">
        <f t="shared" si="1"/>
        <v>100</v>
      </c>
      <c r="V14" s="700" t="s">
        <v>14</v>
      </c>
      <c r="W14" s="701">
        <f t="shared" si="2"/>
        <v>100</v>
      </c>
      <c r="X14" s="702"/>
      <c r="Y14" s="3621"/>
      <c r="Z14" s="52">
        <f t="shared" si="7"/>
        <v>111</v>
      </c>
      <c r="AA14" s="703">
        <f t="shared" si="3"/>
        <v>1</v>
      </c>
      <c r="AB14" s="703">
        <f t="shared" si="4"/>
        <v>1</v>
      </c>
      <c r="AC14" s="703">
        <f t="shared" si="5"/>
        <v>1</v>
      </c>
    </row>
    <row r="15" spans="1:29" ht="15">
      <c r="A15" s="391" t="s">
        <v>1688</v>
      </c>
      <c r="B15" s="576" t="s">
        <v>1918</v>
      </c>
      <c r="C15" s="1968"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0"/>
      <c r="L15" s="2716"/>
      <c r="M15" s="2710"/>
      <c r="N15" s="2710"/>
      <c r="O15" s="2768"/>
      <c r="P15" s="3730" t="s">
        <v>1689</v>
      </c>
      <c r="Q15" s="1351" t="str">
        <f t="shared" si="6"/>
        <v>产业集聚程度</v>
      </c>
      <c r="R15" s="704" t="s">
        <v>14</v>
      </c>
      <c r="S15" s="705">
        <f t="shared" si="0"/>
        <v>100</v>
      </c>
      <c r="T15" s="704" t="s">
        <v>14</v>
      </c>
      <c r="U15" s="705">
        <f t="shared" si="1"/>
        <v>100</v>
      </c>
      <c r="V15" s="704" t="s">
        <v>14</v>
      </c>
      <c r="W15" s="705">
        <f t="shared" si="2"/>
        <v>100</v>
      </c>
      <c r="X15" s="1354"/>
      <c r="Y15" s="3730" t="s">
        <v>1689</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16"/>
      <c r="M16" s="2710"/>
      <c r="N16" s="2710"/>
      <c r="O16" s="2768"/>
      <c r="P16" s="3731"/>
      <c r="Q16" s="1351"/>
      <c r="R16" s="704"/>
      <c r="S16" s="705"/>
      <c r="T16" s="704"/>
      <c r="U16" s="705"/>
      <c r="V16" s="704"/>
      <c r="W16" s="705"/>
      <c r="X16" s="1354"/>
      <c r="Y16" s="3731"/>
      <c r="Z16" s="1355"/>
      <c r="AA16" s="1352">
        <v>1</v>
      </c>
      <c r="AB16" s="1352">
        <v>1</v>
      </c>
      <c r="AC16" s="1352">
        <v>1</v>
      </c>
    </row>
    <row r="17" spans="1:29" ht="15">
      <c r="A17" s="379"/>
      <c r="B17" s="578" t="s">
        <v>1831</v>
      </c>
      <c r="C17" s="1899"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0"/>
      <c r="L17" s="2716"/>
      <c r="M17" s="2710"/>
      <c r="N17" s="2710"/>
      <c r="O17" s="2768"/>
      <c r="P17" s="3731"/>
      <c r="Q17" s="1351" t="str">
        <f>B17</f>
        <v>交通便捷度</v>
      </c>
      <c r="R17" s="704" t="s">
        <v>14</v>
      </c>
      <c r="S17" s="705">
        <f>F17</f>
        <v>100</v>
      </c>
      <c r="T17" s="704" t="s">
        <v>14</v>
      </c>
      <c r="U17" s="705">
        <f>H17</f>
        <v>100</v>
      </c>
      <c r="V17" s="704" t="s">
        <v>14</v>
      </c>
      <c r="W17" s="705">
        <f>J17</f>
        <v>100</v>
      </c>
      <c r="X17" s="1354"/>
      <c r="Y17" s="3731"/>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16"/>
      <c r="M18" s="2710"/>
      <c r="N18" s="2710"/>
      <c r="O18" s="2768"/>
      <c r="P18" s="3731"/>
      <c r="Q18" s="1351"/>
      <c r="R18" s="704"/>
      <c r="S18" s="705"/>
      <c r="T18" s="704"/>
      <c r="U18" s="705"/>
      <c r="V18" s="704"/>
      <c r="W18" s="705"/>
      <c r="X18" s="1354"/>
      <c r="Y18" s="3731"/>
      <c r="Z18" s="1355"/>
      <c r="AA18" s="1352">
        <v>1</v>
      </c>
      <c r="AB18" s="1352">
        <v>1</v>
      </c>
      <c r="AC18" s="1352">
        <v>1</v>
      </c>
    </row>
    <row r="19" spans="1:29" ht="15">
      <c r="A19" s="379"/>
      <c r="B19" s="578" t="s">
        <v>1869</v>
      </c>
      <c r="C19" s="1899"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0"/>
      <c r="L19" s="2716"/>
      <c r="M19" s="2710"/>
      <c r="N19" s="2710"/>
      <c r="O19" s="2768"/>
      <c r="P19" s="3731"/>
      <c r="Q19" s="1351" t="str">
        <f t="shared" ref="Q19:Q33" si="8">B19</f>
        <v>区域土地利用方向</v>
      </c>
      <c r="R19" s="704" t="s">
        <v>14</v>
      </c>
      <c r="S19" s="705">
        <f>F19</f>
        <v>100</v>
      </c>
      <c r="T19" s="704" t="s">
        <v>14</v>
      </c>
      <c r="U19" s="705">
        <f>H19</f>
        <v>100</v>
      </c>
      <c r="V19" s="704" t="s">
        <v>14</v>
      </c>
      <c r="W19" s="705">
        <f>J19</f>
        <v>100</v>
      </c>
      <c r="X19" s="1354"/>
      <c r="Y19" s="3731"/>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16"/>
      <c r="M20" s="2710"/>
      <c r="N20" s="2710"/>
      <c r="O20" s="2768"/>
      <c r="P20" s="3731"/>
      <c r="Q20" s="1351"/>
      <c r="R20" s="704"/>
      <c r="S20" s="705"/>
      <c r="T20" s="704"/>
      <c r="U20" s="705"/>
      <c r="V20" s="704"/>
      <c r="W20" s="705"/>
      <c r="X20" s="1354"/>
      <c r="Y20" s="3731"/>
      <c r="Z20" s="1355"/>
      <c r="AA20" s="1352"/>
      <c r="AB20" s="1352"/>
      <c r="AC20" s="1352"/>
    </row>
    <row r="21" spans="1:29" ht="15">
      <c r="A21" s="358"/>
      <c r="B21" s="578" t="s">
        <v>1919</v>
      </c>
      <c r="C21" s="1899"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0"/>
      <c r="L21" s="2716"/>
      <c r="M21" s="2710"/>
      <c r="N21" s="2710"/>
      <c r="O21" s="2768"/>
      <c r="P21" s="3731"/>
      <c r="Q21" s="1351" t="str">
        <f t="shared" si="8"/>
        <v>环境状况</v>
      </c>
      <c r="R21" s="704" t="s">
        <v>14</v>
      </c>
      <c r="S21" s="705">
        <f>F21</f>
        <v>100</v>
      </c>
      <c r="T21" s="704" t="s">
        <v>14</v>
      </c>
      <c r="U21" s="705">
        <f>H21</f>
        <v>100</v>
      </c>
      <c r="V21" s="704" t="s">
        <v>14</v>
      </c>
      <c r="W21" s="705">
        <f>J21</f>
        <v>100</v>
      </c>
      <c r="X21" s="1354"/>
      <c r="Y21" s="3731"/>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16"/>
      <c r="M22" s="2710"/>
      <c r="N22" s="2710"/>
      <c r="O22" s="2768"/>
      <c r="P22" s="3731"/>
      <c r="Q22" s="1351"/>
      <c r="R22" s="704"/>
      <c r="S22" s="705"/>
      <c r="T22" s="704"/>
      <c r="U22" s="705"/>
      <c r="V22" s="704"/>
      <c r="W22" s="705"/>
      <c r="X22" s="1354"/>
      <c r="Y22" s="3731"/>
      <c r="Z22" s="1355"/>
      <c r="AA22" s="1352">
        <v>1</v>
      </c>
      <c r="AB22" s="1352">
        <v>1</v>
      </c>
      <c r="AC22" s="1352">
        <v>1</v>
      </c>
    </row>
    <row r="23" spans="1:29" s="108" customFormat="1" ht="15">
      <c r="A23" s="596"/>
      <c r="B23" s="580" t="s">
        <v>1776</v>
      </c>
      <c r="C23" s="1899"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0"/>
      <c r="L23" s="2711"/>
      <c r="M23" s="2712"/>
      <c r="N23" s="2712"/>
      <c r="O23" s="2766"/>
      <c r="P23" s="3731"/>
      <c r="Q23" s="1342" t="str">
        <f t="shared" si="8"/>
        <v>公共配套设施</v>
      </c>
      <c r="R23" s="700" t="s">
        <v>14</v>
      </c>
      <c r="S23" s="701">
        <f>F23</f>
        <v>100</v>
      </c>
      <c r="T23" s="700" t="s">
        <v>14</v>
      </c>
      <c r="U23" s="701">
        <f>H23</f>
        <v>100</v>
      </c>
      <c r="V23" s="700" t="s">
        <v>14</v>
      </c>
      <c r="W23" s="701">
        <f>J23</f>
        <v>100</v>
      </c>
      <c r="X23" s="702"/>
      <c r="Y23" s="3731"/>
      <c r="Z23" s="52" t="str">
        <f>Q23</f>
        <v>公共配套设施</v>
      </c>
      <c r="AA23" s="1352">
        <f>D23/F23</f>
        <v>1</v>
      </c>
      <c r="AB23" s="1352">
        <f>D23/H23</f>
        <v>1</v>
      </c>
      <c r="AC23" s="1352">
        <f>D23/J23</f>
        <v>1</v>
      </c>
    </row>
    <row r="24" spans="1:29" s="108" customFormat="1" ht="15">
      <c r="A24" s="596"/>
      <c r="B24" s="579"/>
      <c r="C24" s="1975"/>
      <c r="D24" s="399"/>
      <c r="E24" s="1903"/>
      <c r="F24" s="399"/>
      <c r="G24" s="1903"/>
      <c r="H24" s="399"/>
      <c r="I24" s="398"/>
      <c r="J24" s="399"/>
      <c r="K24" s="619"/>
      <c r="L24" s="2711"/>
      <c r="M24" s="2712"/>
      <c r="N24" s="2712"/>
      <c r="O24" s="2766"/>
      <c r="P24" s="3731"/>
      <c r="Q24" s="1342"/>
      <c r="R24" s="700"/>
      <c r="S24" s="701"/>
      <c r="T24" s="700"/>
      <c r="U24" s="701"/>
      <c r="V24" s="700"/>
      <c r="W24" s="701"/>
      <c r="X24" s="702"/>
      <c r="Y24" s="3731"/>
      <c r="Z24" s="52"/>
      <c r="AA24" s="703">
        <v>1</v>
      </c>
      <c r="AB24" s="703">
        <v>1</v>
      </c>
      <c r="AC24" s="703">
        <v>1</v>
      </c>
    </row>
    <row r="25" spans="1:29" s="108" customFormat="1" ht="15">
      <c r="A25" s="596"/>
      <c r="B25" s="580" t="s">
        <v>1777</v>
      </c>
      <c r="C25" s="1899"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0"/>
      <c r="L25" s="2711"/>
      <c r="M25" s="2712"/>
      <c r="N25" s="2712"/>
      <c r="O25" s="2766"/>
      <c r="P25" s="3731"/>
      <c r="Q25" s="1342" t="str">
        <f t="shared" ref="Q25" si="9">B25</f>
        <v>基础设施水平</v>
      </c>
      <c r="R25" s="700" t="s">
        <v>14</v>
      </c>
      <c r="S25" s="701">
        <f>F25</f>
        <v>100</v>
      </c>
      <c r="T25" s="700" t="s">
        <v>14</v>
      </c>
      <c r="U25" s="701">
        <f>H25</f>
        <v>100</v>
      </c>
      <c r="V25" s="700" t="s">
        <v>14</v>
      </c>
      <c r="W25" s="701">
        <f>J25</f>
        <v>100</v>
      </c>
      <c r="X25" s="702"/>
      <c r="Y25" s="3731"/>
      <c r="Z25" s="52" t="str">
        <f>Q25</f>
        <v>基础设施水平</v>
      </c>
      <c r="AA25" s="1352">
        <f>D25/F25</f>
        <v>1</v>
      </c>
      <c r="AB25" s="1352">
        <f>D25/H25</f>
        <v>1</v>
      </c>
      <c r="AC25" s="1352">
        <f>D25/J25</f>
        <v>1</v>
      </c>
    </row>
    <row r="26" spans="1:29" s="108" customFormat="1" ht="15">
      <c r="A26" s="596"/>
      <c r="B26" s="579"/>
      <c r="C26" s="1975"/>
      <c r="D26" s="399"/>
      <c r="E26" s="1976"/>
      <c r="F26" s="399"/>
      <c r="G26" s="1976"/>
      <c r="H26" s="399"/>
      <c r="I26" s="1976"/>
      <c r="J26" s="399"/>
      <c r="K26" s="619"/>
      <c r="L26" s="2711"/>
      <c r="M26" s="2712"/>
      <c r="N26" s="2712"/>
      <c r="O26" s="2766"/>
      <c r="P26" s="3731"/>
      <c r="Q26" s="1342"/>
      <c r="R26" s="700"/>
      <c r="S26" s="701"/>
      <c r="T26" s="700"/>
      <c r="U26" s="701"/>
      <c r="V26" s="700"/>
      <c r="W26" s="701"/>
      <c r="X26" s="702"/>
      <c r="Y26" s="3731"/>
      <c r="Z26" s="52"/>
      <c r="AA26" s="703">
        <v>1</v>
      </c>
      <c r="AB26" s="703">
        <v>1</v>
      </c>
      <c r="AC26" s="703">
        <v>1</v>
      </c>
    </row>
    <row r="27" spans="1:29" ht="15">
      <c r="A27" s="379"/>
      <c r="B27" s="579" t="s">
        <v>1778</v>
      </c>
      <c r="C27" s="565"/>
      <c r="D27" s="386">
        <v>100</v>
      </c>
      <c r="E27" s="581"/>
      <c r="F27" s="386">
        <f>SUMIF(95:95,E27,96:96)-SUMIF(95:95,C27,96:96)+100</f>
        <v>100</v>
      </c>
      <c r="G27" s="581"/>
      <c r="H27" s="386">
        <f>SUMIF(95:95,G27,96:96)-SUMIF(95:95,C27,96:96)+100</f>
        <v>100</v>
      </c>
      <c r="I27" s="581"/>
      <c r="J27" s="386">
        <f>SUMIF(95:95,I27,96:96)-SUMIF(95:95,C27,96:96)+100</f>
        <v>100</v>
      </c>
      <c r="K27" s="620"/>
      <c r="L27" s="2716"/>
      <c r="M27" s="2710"/>
      <c r="N27" s="2710"/>
      <c r="O27" s="2768"/>
      <c r="P27" s="3731"/>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31"/>
      <c r="Z27" s="1355" t="str">
        <f t="shared" ref="Z27:Z40" si="13">Q27</f>
        <v>临街状况</v>
      </c>
      <c r="AA27" s="1352">
        <f t="shared" si="3"/>
        <v>1</v>
      </c>
      <c r="AB27" s="1352">
        <f t="shared" si="4"/>
        <v>1</v>
      </c>
      <c r="AC27" s="1352">
        <f t="shared" si="5"/>
        <v>1</v>
      </c>
    </row>
    <row r="28" spans="1:29" ht="27">
      <c r="A28" s="379"/>
      <c r="B28" s="580" t="s">
        <v>1813</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6"/>
      <c r="M28" s="2710"/>
      <c r="N28" s="2710"/>
      <c r="O28" s="2768"/>
      <c r="P28" s="3731"/>
      <c r="Q28" s="1351" t="str">
        <f t="shared" si="8"/>
        <v>毗邻道路的类型与等级</v>
      </c>
      <c r="R28" s="704" t="s">
        <v>14</v>
      </c>
      <c r="S28" s="705">
        <f t="shared" si="10"/>
        <v>100</v>
      </c>
      <c r="T28" s="704" t="s">
        <v>14</v>
      </c>
      <c r="U28" s="705">
        <f t="shared" si="11"/>
        <v>100</v>
      </c>
      <c r="V28" s="704" t="s">
        <v>14</v>
      </c>
      <c r="W28" s="705">
        <f t="shared" si="12"/>
        <v>100</v>
      </c>
      <c r="X28" s="1354"/>
      <c r="Y28" s="3731"/>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16"/>
      <c r="M29" s="2710"/>
      <c r="N29" s="2710"/>
      <c r="O29" s="2768"/>
      <c r="P29" s="3731"/>
      <c r="Q29" s="1351"/>
      <c r="R29" s="704"/>
      <c r="S29" s="705"/>
      <c r="T29" s="704"/>
      <c r="U29" s="705"/>
      <c r="V29" s="704"/>
      <c r="W29" s="705"/>
      <c r="X29" s="1354"/>
      <c r="Y29" s="3731"/>
      <c r="Z29" s="1355"/>
      <c r="AA29" s="1352">
        <v>1</v>
      </c>
      <c r="AB29" s="1352">
        <v>1</v>
      </c>
      <c r="AC29" s="1352">
        <v>1</v>
      </c>
    </row>
    <row r="30" spans="1:29" ht="15">
      <c r="A30" s="379"/>
      <c r="B30" s="601" t="s">
        <v>1871</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6"/>
      <c r="M30" s="2710"/>
      <c r="N30" s="2710"/>
      <c r="O30" s="2768"/>
      <c r="P30" s="3731"/>
      <c r="Q30" s="1351" t="str">
        <f t="shared" si="8"/>
        <v>土地级别</v>
      </c>
      <c r="R30" s="704" t="s">
        <v>14</v>
      </c>
      <c r="S30" s="705">
        <f t="shared" si="10"/>
        <v>100</v>
      </c>
      <c r="T30" s="704" t="s">
        <v>14</v>
      </c>
      <c r="U30" s="705">
        <f t="shared" si="11"/>
        <v>100</v>
      </c>
      <c r="V30" s="704" t="s">
        <v>14</v>
      </c>
      <c r="W30" s="705">
        <f t="shared" si="12"/>
        <v>100</v>
      </c>
      <c r="X30" s="1354"/>
      <c r="Y30" s="3731"/>
      <c r="Z30" s="1355" t="str">
        <f t="shared" si="13"/>
        <v>土地级别</v>
      </c>
      <c r="AA30" s="1352">
        <f t="shared" si="3"/>
        <v>1</v>
      </c>
      <c r="AB30" s="1352">
        <f t="shared" si="4"/>
        <v>1</v>
      </c>
      <c r="AC30" s="1352">
        <f t="shared" si="5"/>
        <v>1</v>
      </c>
    </row>
    <row r="31" spans="1:29" ht="15">
      <c r="A31" s="358"/>
      <c r="B31" s="1963">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31"/>
      <c r="Q31" s="1351">
        <f t="shared" si="8"/>
        <v>111</v>
      </c>
      <c r="R31" s="704" t="s">
        <v>14</v>
      </c>
      <c r="S31" s="705">
        <f t="shared" si="10"/>
        <v>100</v>
      </c>
      <c r="T31" s="704" t="s">
        <v>14</v>
      </c>
      <c r="U31" s="705">
        <f t="shared" si="11"/>
        <v>100</v>
      </c>
      <c r="V31" s="704" t="s">
        <v>14</v>
      </c>
      <c r="W31" s="705">
        <f t="shared" si="12"/>
        <v>100</v>
      </c>
      <c r="X31" s="1354"/>
      <c r="Y31" s="3731"/>
      <c r="Z31" s="1355">
        <f t="shared" si="13"/>
        <v>111</v>
      </c>
      <c r="AA31" s="1352">
        <f t="shared" si="3"/>
        <v>1</v>
      </c>
      <c r="AB31" s="1352">
        <f t="shared" si="4"/>
        <v>1</v>
      </c>
      <c r="AC31" s="1352">
        <f t="shared" si="5"/>
        <v>1</v>
      </c>
    </row>
    <row r="32" spans="1:29" ht="15">
      <c r="A32" s="622"/>
      <c r="B32" s="1989">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6"/>
      <c r="M32" s="2710"/>
      <c r="N32" s="2710"/>
      <c r="O32" s="2768"/>
      <c r="P32" s="3755" t="s">
        <v>1694</v>
      </c>
      <c r="Q32" s="1351">
        <f t="shared" si="8"/>
        <v>111</v>
      </c>
      <c r="R32" s="704" t="s">
        <v>14</v>
      </c>
      <c r="S32" s="705">
        <f t="shared" si="10"/>
        <v>100</v>
      </c>
      <c r="T32" s="704" t="s">
        <v>14</v>
      </c>
      <c r="U32" s="705">
        <f t="shared" si="11"/>
        <v>100</v>
      </c>
      <c r="V32" s="704" t="s">
        <v>14</v>
      </c>
      <c r="W32" s="705">
        <f t="shared" si="12"/>
        <v>100</v>
      </c>
      <c r="X32" s="1354"/>
      <c r="Y32" s="3735" t="s">
        <v>1694</v>
      </c>
      <c r="Z32" s="1355">
        <f t="shared" si="13"/>
        <v>111</v>
      </c>
      <c r="AA32" s="1352">
        <f t="shared" si="3"/>
        <v>1</v>
      </c>
      <c r="AB32" s="1352">
        <f t="shared" si="4"/>
        <v>1</v>
      </c>
      <c r="AC32" s="1352">
        <f t="shared" si="5"/>
        <v>1</v>
      </c>
    </row>
    <row r="33" spans="1:31" s="422" customFormat="1" ht="15.75" thickBot="1">
      <c r="A33" s="623"/>
      <c r="B33" s="1990">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5"/>
      <c r="M33" s="2717"/>
      <c r="N33" s="2717"/>
      <c r="O33" s="2769"/>
      <c r="P33" s="3735"/>
      <c r="Q33" s="1351">
        <f t="shared" si="8"/>
        <v>111</v>
      </c>
      <c r="R33" s="707" t="s">
        <v>14</v>
      </c>
      <c r="S33" s="708">
        <f t="shared" si="10"/>
        <v>100</v>
      </c>
      <c r="T33" s="707" t="s">
        <v>14</v>
      </c>
      <c r="U33" s="708">
        <f t="shared" si="11"/>
        <v>100</v>
      </c>
      <c r="V33" s="707" t="s">
        <v>14</v>
      </c>
      <c r="W33" s="708">
        <f t="shared" si="12"/>
        <v>100</v>
      </c>
      <c r="X33" s="709"/>
      <c r="Y33" s="3735"/>
      <c r="Z33" s="710">
        <f t="shared" si="13"/>
        <v>111</v>
      </c>
      <c r="AA33" s="1352">
        <f t="shared" si="3"/>
        <v>1</v>
      </c>
      <c r="AB33" s="1352">
        <f t="shared" si="4"/>
        <v>1</v>
      </c>
      <c r="AC33" s="1352">
        <f t="shared" si="5"/>
        <v>1</v>
      </c>
    </row>
    <row r="34" spans="1:31" ht="15">
      <c r="A34" s="391" t="s">
        <v>1692</v>
      </c>
      <c r="B34" s="407" t="s">
        <v>1872</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6"/>
      <c r="M34" s="2710"/>
      <c r="N34" s="2710"/>
      <c r="O34" s="2768"/>
      <c r="P34" s="3735"/>
      <c r="Q34" s="1351" t="str">
        <f>B34</f>
        <v>宗地面积</v>
      </c>
      <c r="R34" s="704" t="s">
        <v>14</v>
      </c>
      <c r="S34" s="705" t="e">
        <f t="shared" si="10"/>
        <v>#N/A</v>
      </c>
      <c r="T34" s="704" t="s">
        <v>14</v>
      </c>
      <c r="U34" s="705" t="e">
        <f t="shared" si="11"/>
        <v>#N/A</v>
      </c>
      <c r="V34" s="704" t="s">
        <v>14</v>
      </c>
      <c r="W34" s="705" t="e">
        <f t="shared" si="12"/>
        <v>#N/A</v>
      </c>
      <c r="X34" s="1354"/>
      <c r="Y34" s="3735"/>
      <c r="Z34" s="1355" t="str">
        <f t="shared" si="13"/>
        <v>宗地面积</v>
      </c>
      <c r="AA34" s="1352" t="e">
        <f t="shared" si="3"/>
        <v>#N/A</v>
      </c>
      <c r="AB34" s="1352" t="e">
        <f t="shared" si="4"/>
        <v>#N/A</v>
      </c>
      <c r="AC34" s="1352" t="e">
        <f t="shared" si="5"/>
        <v>#N/A</v>
      </c>
    </row>
    <row r="35" spans="1:31" ht="15">
      <c r="A35" s="423"/>
      <c r="B35" s="375" t="s">
        <v>1873</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6"/>
      <c r="M35" s="2710"/>
      <c r="N35" s="2710"/>
      <c r="O35" s="2768"/>
      <c r="P35" s="3735"/>
      <c r="Q35" s="1351" t="str">
        <f t="shared" ref="Q35:Q40" si="14">B35</f>
        <v>宗地形状</v>
      </c>
      <c r="R35" s="704" t="s">
        <v>14</v>
      </c>
      <c r="S35" s="705">
        <f t="shared" si="10"/>
        <v>100</v>
      </c>
      <c r="T35" s="704" t="s">
        <v>14</v>
      </c>
      <c r="U35" s="705">
        <f t="shared" si="11"/>
        <v>100</v>
      </c>
      <c r="V35" s="704" t="s">
        <v>14</v>
      </c>
      <c r="W35" s="705">
        <f t="shared" si="12"/>
        <v>100</v>
      </c>
      <c r="X35" s="1354"/>
      <c r="Y35" s="3735"/>
      <c r="Z35" s="1355" t="str">
        <f t="shared" si="13"/>
        <v>宗地形状</v>
      </c>
      <c r="AA35" s="1352">
        <f t="shared" si="3"/>
        <v>1</v>
      </c>
      <c r="AB35" s="1352">
        <f t="shared" si="4"/>
        <v>1</v>
      </c>
      <c r="AC35" s="1352">
        <f t="shared" si="5"/>
        <v>1</v>
      </c>
    </row>
    <row r="36" spans="1:31" s="108" customFormat="1" ht="15">
      <c r="A36" s="424"/>
      <c r="B36" s="375" t="s">
        <v>1875</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1"/>
      <c r="M36" s="2712"/>
      <c r="N36" s="2712"/>
      <c r="O36" s="2766"/>
      <c r="P36" s="3735"/>
      <c r="Q36" s="1351" t="str">
        <f t="shared" si="14"/>
        <v>宗地开发程度</v>
      </c>
      <c r="R36" s="700" t="s">
        <v>14</v>
      </c>
      <c r="S36" s="701">
        <f t="shared" si="10"/>
        <v>100</v>
      </c>
      <c r="T36" s="700" t="s">
        <v>14</v>
      </c>
      <c r="U36" s="701">
        <f t="shared" si="11"/>
        <v>100</v>
      </c>
      <c r="V36" s="700" t="s">
        <v>14</v>
      </c>
      <c r="W36" s="701">
        <f t="shared" si="12"/>
        <v>100</v>
      </c>
      <c r="X36" s="702"/>
      <c r="Y36" s="3735"/>
      <c r="Z36" s="52" t="str">
        <f t="shared" si="13"/>
        <v>宗地开发程度</v>
      </c>
      <c r="AA36" s="703">
        <f t="shared" si="3"/>
        <v>1</v>
      </c>
      <c r="AB36" s="703">
        <f t="shared" si="4"/>
        <v>1</v>
      </c>
      <c r="AC36" s="703">
        <f t="shared" si="5"/>
        <v>1</v>
      </c>
    </row>
    <row r="37" spans="1:31" ht="15">
      <c r="A37" s="423"/>
      <c r="B37" s="375" t="s">
        <v>1876</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6"/>
      <c r="M37" s="2710"/>
      <c r="N37" s="2710"/>
      <c r="O37" s="2768"/>
      <c r="P37" s="3735" t="s">
        <v>1694</v>
      </c>
      <c r="Q37" s="1351" t="str">
        <f t="shared" si="14"/>
        <v>工程地质条件</v>
      </c>
      <c r="R37" s="704" t="s">
        <v>14</v>
      </c>
      <c r="S37" s="705">
        <f t="shared" si="10"/>
        <v>100</v>
      </c>
      <c r="T37" s="704" t="s">
        <v>14</v>
      </c>
      <c r="U37" s="705">
        <f t="shared" si="11"/>
        <v>100</v>
      </c>
      <c r="V37" s="704" t="s">
        <v>14</v>
      </c>
      <c r="W37" s="705">
        <f t="shared" si="12"/>
        <v>100</v>
      </c>
      <c r="X37" s="1354"/>
      <c r="Y37" s="3735" t="s">
        <v>1694</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6"/>
      <c r="M38" s="2710"/>
      <c r="N38" s="2710"/>
      <c r="O38" s="2768"/>
      <c r="P38" s="3735"/>
      <c r="Q38" s="1351">
        <f t="shared" si="14"/>
        <v>111</v>
      </c>
      <c r="R38" s="704" t="s">
        <v>14</v>
      </c>
      <c r="S38" s="705">
        <f t="shared" si="10"/>
        <v>100</v>
      </c>
      <c r="T38" s="704" t="s">
        <v>14</v>
      </c>
      <c r="U38" s="705">
        <f t="shared" si="11"/>
        <v>100</v>
      </c>
      <c r="V38" s="704" t="s">
        <v>14</v>
      </c>
      <c r="W38" s="705">
        <f t="shared" si="12"/>
        <v>100</v>
      </c>
      <c r="X38" s="1354"/>
      <c r="Y38" s="3735"/>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6"/>
      <c r="M39" s="2710"/>
      <c r="N39" s="2710"/>
      <c r="O39" s="2768"/>
      <c r="P39" s="3735"/>
      <c r="Q39" s="1351">
        <f t="shared" si="14"/>
        <v>111</v>
      </c>
      <c r="R39" s="704" t="s">
        <v>14</v>
      </c>
      <c r="S39" s="705">
        <f t="shared" si="10"/>
        <v>100</v>
      </c>
      <c r="T39" s="704" t="s">
        <v>14</v>
      </c>
      <c r="U39" s="705">
        <f t="shared" si="11"/>
        <v>100</v>
      </c>
      <c r="V39" s="704" t="s">
        <v>14</v>
      </c>
      <c r="W39" s="705">
        <f t="shared" si="12"/>
        <v>100</v>
      </c>
      <c r="X39" s="1354"/>
      <c r="Y39" s="3735"/>
      <c r="Z39" s="1355">
        <f t="shared" si="13"/>
        <v>111</v>
      </c>
      <c r="AA39" s="1352">
        <f t="shared" si="3"/>
        <v>1</v>
      </c>
      <c r="AB39" s="1352">
        <f t="shared" si="4"/>
        <v>1</v>
      </c>
      <c r="AC39" s="1352">
        <f t="shared" si="5"/>
        <v>1</v>
      </c>
    </row>
    <row r="40" spans="1:31" s="422" customFormat="1" ht="15.75" thickBot="1">
      <c r="A40" s="419"/>
      <c r="B40" s="1133">
        <v>111</v>
      </c>
      <c r="C40" s="1978"/>
      <c r="D40" s="128">
        <v>100</v>
      </c>
      <c r="E40" s="621"/>
      <c r="F40" s="389">
        <f>SUMIF(120:120,E40,121:121)-SUMIF(120:120,C40,121:121)+100</f>
        <v>100</v>
      </c>
      <c r="G40" s="621"/>
      <c r="H40" s="389">
        <f>SUMIF(120:120,G40,121:121)-SUMIF(120:120,C40,121:121)+100</f>
        <v>100</v>
      </c>
      <c r="I40" s="498"/>
      <c r="J40" s="389">
        <f>SUMIF(120:120,I40,121:121)-SUMIF(120:120,C40,121:121)+100</f>
        <v>100</v>
      </c>
      <c r="K40" s="628"/>
      <c r="L40" s="2715"/>
      <c r="M40" s="2717"/>
      <c r="N40" s="2717"/>
      <c r="O40" s="2769"/>
      <c r="P40" s="3735"/>
      <c r="Q40" s="1351">
        <f t="shared" si="14"/>
        <v>111</v>
      </c>
      <c r="R40" s="707" t="s">
        <v>14</v>
      </c>
      <c r="S40" s="708">
        <f t="shared" si="10"/>
        <v>100</v>
      </c>
      <c r="T40" s="707" t="s">
        <v>14</v>
      </c>
      <c r="U40" s="708">
        <f t="shared" si="11"/>
        <v>100</v>
      </c>
      <c r="V40" s="707" t="s">
        <v>14</v>
      </c>
      <c r="W40" s="708">
        <f t="shared" si="12"/>
        <v>100</v>
      </c>
      <c r="X40" s="709"/>
      <c r="Y40" s="3735"/>
      <c r="Z40" s="710">
        <f t="shared" si="13"/>
        <v>111</v>
      </c>
      <c r="AA40" s="1352">
        <f t="shared" si="3"/>
        <v>1</v>
      </c>
      <c r="AB40" s="1352">
        <f t="shared" si="4"/>
        <v>1</v>
      </c>
      <c r="AC40" s="1352">
        <f t="shared" si="5"/>
        <v>1</v>
      </c>
    </row>
    <row r="41" spans="1:31" ht="15">
      <c r="A41" s="430" t="s">
        <v>1842</v>
      </c>
      <c r="B41" s="1979" t="s">
        <v>1920</v>
      </c>
      <c r="C41" s="629" t="s">
        <v>0</v>
      </c>
      <c r="D41" s="432"/>
      <c r="E41" s="433"/>
      <c r="F41" s="434"/>
      <c r="G41" s="435"/>
      <c r="H41" s="436"/>
      <c r="I41" s="433"/>
      <c r="J41" s="436"/>
      <c r="K41" s="713"/>
      <c r="L41" s="2718"/>
      <c r="M41" s="2710"/>
      <c r="N41" s="2710"/>
      <c r="O41" s="2719"/>
      <c r="P41" s="3728" t="str">
        <f>A41</f>
        <v>成交单价</v>
      </c>
      <c r="Q41" s="3728"/>
      <c r="R41" s="3723">
        <f>E41</f>
        <v>0</v>
      </c>
      <c r="S41" s="3723"/>
      <c r="T41" s="3723">
        <f>G41</f>
        <v>0</v>
      </c>
      <c r="U41" s="3723"/>
      <c r="V41" s="3723">
        <f>I41</f>
        <v>0</v>
      </c>
      <c r="W41" s="3723"/>
      <c r="X41" s="689"/>
      <c r="Y41" s="711"/>
      <c r="Z41" s="689"/>
      <c r="AA41" s="689"/>
      <c r="AB41" s="689"/>
      <c r="AC41" s="689"/>
    </row>
    <row r="42" spans="1:31" ht="15.75" thickBot="1">
      <c r="A42" s="437" t="s">
        <v>1791</v>
      </c>
      <c r="B42" s="630"/>
      <c r="C42" s="440" t="e">
        <f>R43</f>
        <v>#DIV/0!</v>
      </c>
      <c r="D42" s="2314" t="s">
        <v>2136</v>
      </c>
      <c r="E42" s="440" t="e">
        <f>R42</f>
        <v>#DIV/0!</v>
      </c>
      <c r="F42" s="2315"/>
      <c r="G42" s="439" t="e">
        <f>T42</f>
        <v>#DIV/0!</v>
      </c>
      <c r="H42" s="2315"/>
      <c r="I42" s="440" t="e">
        <f>V42</f>
        <v>#DIV/0!</v>
      </c>
      <c r="J42" s="2315"/>
      <c r="K42" s="2317">
        <f>F42+H42+J42</f>
        <v>0</v>
      </c>
      <c r="L42" s="2718"/>
      <c r="M42" s="2710"/>
      <c r="N42" s="2710"/>
      <c r="O42" s="2719"/>
      <c r="P42" s="3728" t="str">
        <f>A42</f>
        <v>比较价值（元/平方米）</v>
      </c>
      <c r="Q42" s="3728"/>
      <c r="R42" s="3757" t="e">
        <f>ROUND(PRODUCT(R41,AA7:AA40),0)</f>
        <v>#DIV/0!</v>
      </c>
      <c r="S42" s="3757"/>
      <c r="T42" s="3757" t="e">
        <f>ROUND(PRODUCT(T41,AB7:AB40),0)</f>
        <v>#DIV/0!</v>
      </c>
      <c r="U42" s="3757"/>
      <c r="V42" s="3757" t="e">
        <f>ROUND(PRODUCT(V41,AC7:AC40),0)</f>
        <v>#DIV/0!</v>
      </c>
      <c r="W42" s="3757"/>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18"/>
      <c r="M43" s="2710"/>
      <c r="N43" s="2710"/>
      <c r="O43" s="2719"/>
      <c r="P43" s="3725" t="str">
        <f>A43</f>
        <v>估价对象XX用房的比较价值（楼面单价，元/平方米）</v>
      </c>
      <c r="Q43" s="3726"/>
      <c r="R43" s="3758" t="e">
        <f>ROUND(IF(D42="简单平均",AVERAGE(R42:W42),R42*F42+T42*H42+V42*J42),0)</f>
        <v>#DIV/0!</v>
      </c>
      <c r="S43" s="3758"/>
      <c r="T43" s="3758"/>
      <c r="U43" s="3758"/>
      <c r="V43" s="3758"/>
      <c r="W43" s="3758"/>
      <c r="X43" s="689"/>
      <c r="Y43" s="689"/>
      <c r="Z43" s="689"/>
      <c r="AA43" s="689"/>
      <c r="AB43" s="689"/>
      <c r="AC43" s="689"/>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2"/>
      <c r="D49" s="690"/>
      <c r="E49" s="690"/>
      <c r="F49" s="690"/>
      <c r="G49" s="690"/>
      <c r="H49" s="690"/>
      <c r="I49" s="690"/>
      <c r="J49" s="690"/>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1879</v>
      </c>
      <c r="B50" s="632" t="s">
        <v>1880</v>
      </c>
      <c r="C50" s="1980" t="s">
        <v>1881</v>
      </c>
      <c r="D50" s="1981" t="s">
        <v>1882</v>
      </c>
      <c r="E50" s="633" t="s">
        <v>1883</v>
      </c>
      <c r="F50" s="634" t="s">
        <v>1884</v>
      </c>
      <c r="G50" s="3711" t="s">
        <v>1885</v>
      </c>
      <c r="H50" s="3759"/>
      <c r="I50" s="1355" t="s">
        <v>1921</v>
      </c>
      <c r="J50" s="1355">
        <f>项目基本情况!F35</f>
        <v>0</v>
      </c>
      <c r="K50" s="1983" t="s">
        <v>1887</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1888</v>
      </c>
      <c r="B51" s="636" t="e">
        <f>C43</f>
        <v>#DIV/0!</v>
      </c>
      <c r="C51" s="637">
        <v>1</v>
      </c>
      <c r="D51" s="943">
        <v>1</v>
      </c>
      <c r="E51" s="637">
        <f>'数据-汇总表'!E8+'数据-汇总表'!E9</f>
        <v>120.57</v>
      </c>
      <c r="F51" s="638" t="e">
        <f t="shared" ref="F51:F60" si="15">ROUND(B51*E51/10000,0)</f>
        <v>#DIV/0!</v>
      </c>
      <c r="G51" s="3710"/>
      <c r="H51" s="3728"/>
      <c r="I51" s="772">
        <v>1</v>
      </c>
      <c r="J51" s="772">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1889</v>
      </c>
      <c r="B52" s="218" t="e">
        <f>ROUND($C$43*C52*D52,0)</f>
        <v>#DIV/0!</v>
      </c>
      <c r="C52" s="171">
        <f t="shared" ref="C52:C60" si="16">IF($C$50="北京市系数",I52,J52)</f>
        <v>0</v>
      </c>
      <c r="D52" s="944">
        <v>0.25</v>
      </c>
      <c r="E52" s="641"/>
      <c r="F52" s="638" t="e">
        <f t="shared" si="15"/>
        <v>#DIV/0!</v>
      </c>
      <c r="G52" s="3000" t="s">
        <v>1890</v>
      </c>
      <c r="H52" s="886">
        <f>项目基本情况!B37</f>
        <v>0</v>
      </c>
      <c r="I52" s="772">
        <f>SUMIF(修正!A57:A68,H52,修正!B57:B68)</f>
        <v>0</v>
      </c>
      <c r="J52" s="773"/>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1891</v>
      </c>
      <c r="B53" s="218" t="e">
        <f t="shared" ref="B53:B60" si="17">ROUND($C$43*C53*D53,0)</f>
        <v>#DIV/0!</v>
      </c>
      <c r="C53" s="171">
        <f t="shared" si="16"/>
        <v>0</v>
      </c>
      <c r="D53" s="944">
        <v>0.25</v>
      </c>
      <c r="E53" s="641"/>
      <c r="F53" s="638" t="e">
        <f t="shared" si="15"/>
        <v>#DIV/0!</v>
      </c>
      <c r="G53" s="3001"/>
      <c r="H53" s="886">
        <f>项目基本情况!B37</f>
        <v>0</v>
      </c>
      <c r="I53" s="772">
        <f>SUMIF(修正!A57:A68,H53,修正!C57:C68)</f>
        <v>0</v>
      </c>
      <c r="J53" s="773"/>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1892</v>
      </c>
      <c r="B54" s="218" t="e">
        <f t="shared" si="17"/>
        <v>#DIV/0!</v>
      </c>
      <c r="C54" s="171">
        <f t="shared" si="16"/>
        <v>0</v>
      </c>
      <c r="D54" s="944">
        <v>0.25</v>
      </c>
      <c r="E54" s="641"/>
      <c r="F54" s="638" t="e">
        <f t="shared" si="15"/>
        <v>#DIV/0!</v>
      </c>
      <c r="G54" s="3001"/>
      <c r="H54" s="886">
        <f>项目基本情况!B37</f>
        <v>0</v>
      </c>
      <c r="I54" s="772">
        <f>SUMIF(修正!A57:A68,H54,修正!D57:D68)</f>
        <v>0</v>
      </c>
      <c r="J54" s="773"/>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8"/>
      <c r="C55" s="171"/>
      <c r="D55" s="944"/>
      <c r="E55" s="641"/>
      <c r="F55" s="638"/>
      <c r="G55" s="3002"/>
      <c r="H55" s="886"/>
      <c r="I55" s="772"/>
      <c r="J55" s="773"/>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1893</v>
      </c>
      <c r="B56" s="218" t="e">
        <f t="shared" si="17"/>
        <v>#DIV/0!</v>
      </c>
      <c r="C56" s="171">
        <f t="shared" si="16"/>
        <v>0.3</v>
      </c>
      <c r="D56" s="944">
        <v>0.25</v>
      </c>
      <c r="E56" s="217">
        <f>'数据-汇总表'!E11</f>
        <v>0</v>
      </c>
      <c r="F56" s="638" t="e">
        <f t="shared" si="15"/>
        <v>#DIV/0!</v>
      </c>
      <c r="G56" s="1984" t="s">
        <v>1894</v>
      </c>
      <c r="H56" s="886" t="str">
        <f>项目基本情况!C37</f>
        <v>一级</v>
      </c>
      <c r="I56" s="772">
        <f>SUMIF(修正!A57:A68,H56,修正!E57:E68)</f>
        <v>0.3</v>
      </c>
      <c r="J56" s="773"/>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1895</v>
      </c>
      <c r="B57" s="218" t="e">
        <f t="shared" si="17"/>
        <v>#DIV/0!</v>
      </c>
      <c r="C57" s="171">
        <f t="shared" si="16"/>
        <v>0.3</v>
      </c>
      <c r="D57" s="944">
        <v>0.25</v>
      </c>
      <c r="E57" s="217">
        <f>'数据-汇总表'!E12</f>
        <v>0</v>
      </c>
      <c r="F57" s="638" t="e">
        <f t="shared" si="15"/>
        <v>#DIV/0!</v>
      </c>
      <c r="G57" s="891" t="s">
        <v>1896</v>
      </c>
      <c r="H57" s="886" t="str">
        <f>IF(G57="商业",项目基本情况!B37,IF(G57="办公",项目基本情况!C37,IF(G57="住宅",项目基本情况!D37,项目基本情况!E37)))</f>
        <v>一级</v>
      </c>
      <c r="I57" s="772">
        <f>SUMIF(修正!A57:A68,H57,修正!F57:F68)</f>
        <v>0.3</v>
      </c>
      <c r="J57" s="773"/>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1897</v>
      </c>
      <c r="B58" s="218" t="e">
        <f t="shared" si="17"/>
        <v>#DIV/0!</v>
      </c>
      <c r="C58" s="171">
        <f t="shared" si="16"/>
        <v>0</v>
      </c>
      <c r="D58" s="944">
        <v>0.25</v>
      </c>
      <c r="E58" s="217">
        <f>'数据-汇总表'!E13</f>
        <v>0</v>
      </c>
      <c r="F58" s="638" t="e">
        <f t="shared" si="15"/>
        <v>#DIV/0!</v>
      </c>
      <c r="G58" s="891" t="s">
        <v>1898</v>
      </c>
      <c r="H58" s="886">
        <f>IF(G58="商业",项目基本情况!B37,IF(G58="办公",项目基本情况!C37,IF(G58="住宅",项目基本情况!D37,项目基本情况!E37)))</f>
        <v>0</v>
      </c>
      <c r="I58" s="772">
        <f>SUMIF(修正!A57:A68,H58,修正!G57:G68)</f>
        <v>0</v>
      </c>
      <c r="J58" s="773"/>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1899</v>
      </c>
      <c r="B59" s="218" t="e">
        <f t="shared" si="17"/>
        <v>#DIV/0!</v>
      </c>
      <c r="C59" s="171">
        <f t="shared" si="16"/>
        <v>0</v>
      </c>
      <c r="D59" s="944">
        <v>0.25</v>
      </c>
      <c r="E59" s="217">
        <f>'数据-汇总表'!E14</f>
        <v>0</v>
      </c>
      <c r="F59" s="638" t="e">
        <f t="shared" si="15"/>
        <v>#DIV/0!</v>
      </c>
      <c r="G59" s="1984" t="s">
        <v>1890</v>
      </c>
      <c r="H59" s="886">
        <f>项目基本情况!B37</f>
        <v>0</v>
      </c>
      <c r="I59" s="772">
        <f>SUMIF(修正!A57:A68,H59,修正!G57:G68)</f>
        <v>0</v>
      </c>
      <c r="J59" s="773"/>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1900</v>
      </c>
      <c r="B60" s="218" t="e">
        <f t="shared" si="17"/>
        <v>#DIV/0!</v>
      </c>
      <c r="C60" s="171">
        <f t="shared" si="16"/>
        <v>0.2</v>
      </c>
      <c r="D60" s="944">
        <v>0.25</v>
      </c>
      <c r="E60" s="217">
        <f>'数据-汇总表'!E15</f>
        <v>0</v>
      </c>
      <c r="F60" s="638" t="e">
        <f t="shared" si="15"/>
        <v>#DIV/0!</v>
      </c>
      <c r="G60" s="1985" t="s">
        <v>1894</v>
      </c>
      <c r="H60" s="896" t="str">
        <f>项目基本情况!C37</f>
        <v>一级</v>
      </c>
      <c r="I60" s="772">
        <f>SUMIF(修正!A57:A68,H60,修正!G57:G68)</f>
        <v>0.2</v>
      </c>
      <c r="J60" s="773"/>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1901</v>
      </c>
      <c r="B61" s="643" t="s">
        <v>22</v>
      </c>
      <c r="C61" s="643" t="s">
        <v>23</v>
      </c>
      <c r="D61" s="643" t="s">
        <v>392</v>
      </c>
      <c r="E61" s="643">
        <f>IF(B41="楼面地价",SUM(E51:E60),'数据-汇总表'!D3)</f>
        <v>30.64</v>
      </c>
      <c r="F61" s="644" t="e">
        <f>IF(B41="楼面地价",SUM(F51:F60),ROUND(C43*E61/10000,0))</f>
        <v>#DIV/0!</v>
      </c>
      <c r="G61" s="938"/>
      <c r="H61" s="938"/>
      <c r="I61" s="938"/>
      <c r="J61" s="938"/>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6"/>
      <c r="B62" s="928"/>
      <c r="C62" s="930"/>
      <c r="D62" s="926"/>
      <c r="E62" s="926"/>
      <c r="F62" s="926"/>
      <c r="G62" s="926"/>
      <c r="H62" s="926"/>
      <c r="I62" s="926"/>
      <c r="J62" s="926"/>
      <c r="K62" s="887"/>
      <c r="L62" s="888"/>
      <c r="M62" s="926"/>
      <c r="N62" s="926"/>
      <c r="O62" s="926"/>
      <c r="P62" s="2719"/>
      <c r="Q62" s="2719"/>
      <c r="R62" s="2719"/>
      <c r="S62" s="2719"/>
      <c r="T62" s="2719"/>
      <c r="U62" s="2719"/>
      <c r="V62" s="2719"/>
      <c r="W62" s="2719"/>
      <c r="X62" s="2719"/>
      <c r="Y62" s="2719"/>
      <c r="Z62" s="2719"/>
      <c r="AA62" s="2719"/>
      <c r="AB62" s="2719"/>
      <c r="AC62" s="2719"/>
      <c r="AD62" s="2719"/>
      <c r="AE62" s="2719"/>
    </row>
    <row r="63" spans="1:31">
      <c r="A63" s="926"/>
      <c r="B63" s="928"/>
      <c r="C63" s="691" t="str">
        <f>YEAR(C7)&amp;"-"&amp;MONTH(C7)&amp;"-1"</f>
        <v>2023-7-1</v>
      </c>
      <c r="D63" s="691">
        <f>EDATE(C63,-3)</f>
        <v>45017</v>
      </c>
      <c r="E63" s="691">
        <f>EDATE(D63,-3)</f>
        <v>44927</v>
      </c>
      <c r="F63" s="691">
        <f t="shared" ref="F63:O63" si="18">EDATE(E63,-3)</f>
        <v>44835</v>
      </c>
      <c r="G63" s="691">
        <f t="shared" si="18"/>
        <v>44743</v>
      </c>
      <c r="H63" s="691">
        <f t="shared" si="18"/>
        <v>44652</v>
      </c>
      <c r="I63" s="691">
        <f t="shared" si="18"/>
        <v>44562</v>
      </c>
      <c r="J63" s="691">
        <f t="shared" si="18"/>
        <v>44470</v>
      </c>
      <c r="K63" s="691">
        <f t="shared" si="18"/>
        <v>44378</v>
      </c>
      <c r="L63" s="691">
        <f t="shared" si="18"/>
        <v>44287</v>
      </c>
      <c r="M63" s="691">
        <f t="shared" si="18"/>
        <v>44197</v>
      </c>
      <c r="N63" s="691">
        <f t="shared" si="18"/>
        <v>44105</v>
      </c>
      <c r="O63" s="691">
        <f t="shared" si="18"/>
        <v>44013</v>
      </c>
      <c r="P63" s="2719"/>
      <c r="Q63" s="2719"/>
      <c r="R63" s="2719"/>
      <c r="S63" s="2719"/>
      <c r="T63" s="2719"/>
      <c r="U63" s="2719"/>
      <c r="V63" s="2719"/>
      <c r="W63" s="2719"/>
      <c r="X63" s="2719"/>
      <c r="Y63" s="2719"/>
      <c r="Z63" s="2719"/>
      <c r="AA63" s="2719"/>
      <c r="AB63" s="2719"/>
      <c r="AC63" s="2719"/>
      <c r="AD63" s="2719"/>
      <c r="AE63" s="2719"/>
    </row>
    <row r="64" spans="1:31" ht="21.75" thickBot="1">
      <c r="A64" s="693" t="s">
        <v>1796</v>
      </c>
      <c r="B64" s="689"/>
      <c r="C64" s="694"/>
      <c r="D64" s="694"/>
      <c r="E64" s="694"/>
      <c r="F64" s="695"/>
      <c r="G64" s="695"/>
      <c r="H64" s="694"/>
      <c r="I64" s="694"/>
      <c r="J64" s="694"/>
      <c r="K64" s="696"/>
      <c r="L64" s="697"/>
      <c r="M64" s="694"/>
      <c r="N64" s="694"/>
      <c r="O64" s="939"/>
      <c r="P64" s="2763"/>
      <c r="Q64" s="2733"/>
      <c r="R64" s="2719"/>
      <c r="S64" s="2719"/>
      <c r="T64" s="2719"/>
      <c r="U64" s="2719"/>
      <c r="V64" s="2719"/>
      <c r="W64" s="2719"/>
      <c r="X64" s="2719"/>
      <c r="Y64" s="2719"/>
      <c r="Z64" s="2719"/>
      <c r="AA64" s="2719"/>
      <c r="AB64" s="2719"/>
      <c r="AC64" s="2719"/>
      <c r="AD64" s="2719"/>
      <c r="AE64" s="2719"/>
    </row>
    <row r="65" spans="1:31" s="457" customFormat="1" ht="15">
      <c r="A65" s="1986" t="s">
        <v>1902</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1" t="s">
        <v>1922</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1714</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1679</v>
      </c>
      <c r="B68" s="459"/>
      <c r="C68" s="471" t="s">
        <v>1774</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6">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1717</v>
      </c>
      <c r="B70" s="477" t="s">
        <v>1683</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1686</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1688</v>
      </c>
      <c r="B83" s="477" t="s">
        <v>1827</v>
      </c>
      <c r="C83" s="522" t="s">
        <v>1719</v>
      </c>
      <c r="D83" s="522" t="s">
        <v>1720</v>
      </c>
      <c r="E83" s="522" t="s">
        <v>1721</v>
      </c>
      <c r="F83" s="522" t="s">
        <v>1722</v>
      </c>
      <c r="G83" s="522" t="s">
        <v>1723</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1724</v>
      </c>
      <c r="C85" s="527" t="s">
        <v>1719</v>
      </c>
      <c r="D85" s="527" t="s">
        <v>1720</v>
      </c>
      <c r="E85" s="527" t="s">
        <v>1721</v>
      </c>
      <c r="F85" s="527" t="s">
        <v>1722</v>
      </c>
      <c r="G85" s="527" t="s">
        <v>1723</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1905</v>
      </c>
      <c r="C87" s="522" t="s">
        <v>1719</v>
      </c>
      <c r="D87" s="522" t="s">
        <v>1720</v>
      </c>
      <c r="E87" s="522" t="s">
        <v>1721</v>
      </c>
      <c r="F87" s="522" t="s">
        <v>1722</v>
      </c>
      <c r="G87" s="522" t="s">
        <v>1723</v>
      </c>
      <c r="H87" s="527"/>
      <c r="I87" s="527"/>
      <c r="J87" s="527"/>
      <c r="K87" s="527"/>
      <c r="L87" s="645"/>
      <c r="M87" s="569"/>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69"/>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1923</v>
      </c>
      <c r="C93" s="607" t="s">
        <v>1797</v>
      </c>
      <c r="D93" s="607" t="s">
        <v>1798</v>
      </c>
      <c r="E93" s="607" t="s">
        <v>1799</v>
      </c>
      <c r="F93" s="607" t="s">
        <v>1800</v>
      </c>
      <c r="G93" s="607" t="s">
        <v>1801</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1813</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1871</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1912</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1914</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1915</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7"/>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2081</v>
      </c>
      <c r="C1" s="3767" t="s">
        <v>2082</v>
      </c>
      <c r="D1" s="3768"/>
      <c r="E1" s="3768"/>
      <c r="F1" s="3768"/>
      <c r="G1" s="3768"/>
      <c r="H1" s="3768"/>
      <c r="I1" s="3768"/>
      <c r="J1" s="3768"/>
      <c r="K1" s="3768"/>
      <c r="L1" s="3768"/>
      <c r="M1" s="3768"/>
      <c r="N1" s="3768"/>
      <c r="O1" s="3768"/>
      <c r="P1" s="3768"/>
      <c r="Q1" s="3768"/>
      <c r="R1" s="3768"/>
      <c r="S1" s="3769"/>
      <c r="T1" s="982" t="s">
        <v>2083</v>
      </c>
    </row>
    <row r="2" spans="1:45" s="654" customFormat="1">
      <c r="A2" s="983"/>
      <c r="B2" s="650" t="s">
        <v>2084</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2085</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2086</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2087</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5" t="s">
        <v>2091</v>
      </c>
      <c r="B17" s="2146" t="s">
        <v>2092</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7" t="s">
        <v>2093</v>
      </c>
      <c r="E19" s="1339"/>
      <c r="F19" s="1339"/>
      <c r="G19" s="1339"/>
      <c r="H19" s="1058"/>
      <c r="I19" s="159"/>
      <c r="J19" s="159"/>
      <c r="K19" s="159"/>
      <c r="L19" s="159"/>
      <c r="M19" s="159"/>
      <c r="N19" s="159"/>
      <c r="O19" s="159"/>
      <c r="P19" s="159"/>
      <c r="Q19" s="159"/>
      <c r="R19" s="717"/>
      <c r="S19" s="129"/>
    </row>
    <row r="20" spans="1:45" ht="16.5" thickBot="1">
      <c r="A20" s="661" t="s">
        <v>2094</v>
      </c>
      <c r="B20" s="294" t="e">
        <f ca="1">IF(D20="——",S22,S22-F20)</f>
        <v>#REF!</v>
      </c>
      <c r="C20" s="159"/>
      <c r="D20" s="2148"/>
      <c r="E20" s="1340"/>
      <c r="F20" s="982" t="e">
        <f ca="1">SUMIF(INDIRECT("'"&amp;H20&amp;"'"&amp;"!A:A"),"承租人权益价值",INDIRECT("'"&amp;H20&amp;"'"&amp;"!c:c"))</f>
        <v>#REF!</v>
      </c>
      <c r="G20" s="982" t="s">
        <v>2095</v>
      </c>
      <c r="H20" s="2149"/>
      <c r="I20" s="159"/>
      <c r="J20" s="159"/>
      <c r="K20" s="159"/>
      <c r="L20" s="159"/>
      <c r="M20" s="159"/>
      <c r="N20" s="159"/>
      <c r="O20" s="159"/>
      <c r="P20" s="159"/>
      <c r="Q20" s="159"/>
      <c r="R20" s="717"/>
      <c r="S20" s="129"/>
    </row>
    <row r="21" spans="1:45" ht="15.75">
      <c r="A21" s="661" t="s">
        <v>2096</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0</v>
      </c>
      <c r="C22" s="3764" t="s">
        <v>27</v>
      </c>
      <c r="D22" s="3765"/>
      <c r="E22" s="3765"/>
      <c r="F22" s="3765"/>
      <c r="G22" s="3765"/>
      <c r="H22" s="3765"/>
      <c r="I22" s="3765"/>
      <c r="J22" s="3765"/>
      <c r="K22" s="3765"/>
      <c r="L22" s="3765"/>
      <c r="M22" s="3765"/>
      <c r="N22" s="3765"/>
      <c r="O22" s="3765"/>
      <c r="P22" s="3765"/>
      <c r="Q22" s="3766"/>
      <c r="R22" s="662"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2103</v>
      </c>
      <c r="B24" s="664"/>
      <c r="C24" s="2804">
        <v>1</v>
      </c>
      <c r="D24" s="2805"/>
      <c r="E24" s="2804">
        <v>1</v>
      </c>
      <c r="F24" s="2805"/>
      <c r="G24" s="2804">
        <v>1</v>
      </c>
      <c r="H24" s="2805"/>
      <c r="I24" s="2804">
        <v>1</v>
      </c>
      <c r="J24" s="2805"/>
      <c r="K24" s="2804">
        <v>1</v>
      </c>
      <c r="L24" s="2805"/>
      <c r="M24" s="2804">
        <v>1</v>
      </c>
      <c r="N24" s="2805"/>
      <c r="O24" s="2804">
        <v>1</v>
      </c>
      <c r="P24" s="2805"/>
      <c r="Q24" s="2804">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2079</v>
      </c>
      <c r="B1" s="2144"/>
      <c r="C1" s="2144"/>
      <c r="D1" s="2144"/>
      <c r="E1" s="2144"/>
      <c r="F1" s="2787"/>
      <c r="G1" s="2787"/>
      <c r="H1" s="2787"/>
      <c r="I1" s="2787"/>
      <c r="J1" s="2787"/>
      <c r="K1" s="2787"/>
      <c r="L1" s="2787"/>
      <c r="M1" s="2787"/>
      <c r="N1" s="2787"/>
      <c r="O1" s="2787"/>
      <c r="P1" s="2787"/>
    </row>
    <row r="2" spans="1:16" ht="15.75">
      <c r="A2" s="2142" t="s">
        <v>2071</v>
      </c>
      <c r="B2" s="2596">
        <f ca="1">SUMIF(B6:B13,"&lt;&gt;#ref!",B6:B13)</f>
        <v>346</v>
      </c>
      <c r="C2" s="2142" t="s">
        <v>2072</v>
      </c>
      <c r="D2" s="2142" t="s">
        <v>2073</v>
      </c>
      <c r="E2" s="2606">
        <f ca="1">SUMIF(E6:E13,"&lt;&gt;#ref!",E6:E13)</f>
        <v>120.57</v>
      </c>
      <c r="F2" s="2787"/>
      <c r="G2" s="2787"/>
      <c r="H2" s="2787"/>
      <c r="I2" s="2787"/>
      <c r="J2" s="2787"/>
      <c r="K2" s="2787"/>
      <c r="L2" s="2787"/>
      <c r="M2" s="2787"/>
      <c r="N2" s="2787"/>
      <c r="O2" s="2787"/>
      <c r="P2" s="2787"/>
    </row>
    <row r="3" spans="1:16" ht="15.75">
      <c r="A3" s="2142" t="s">
        <v>2074</v>
      </c>
      <c r="B3" s="2596">
        <f ca="1">ROUND(B2*10000/E2,0)</f>
        <v>28697</v>
      </c>
      <c r="C3" s="2142" t="s">
        <v>2080</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2075</v>
      </c>
      <c r="B5" s="2604" t="s">
        <v>2076</v>
      </c>
      <c r="C5" s="2143"/>
      <c r="D5" s="2787"/>
      <c r="E5" s="2605" t="s">
        <v>2077</v>
      </c>
      <c r="F5" s="2787"/>
      <c r="G5" s="2787"/>
      <c r="H5" s="2787"/>
      <c r="I5" s="2787"/>
      <c r="J5" s="2787"/>
      <c r="K5" s="2787"/>
      <c r="L5" s="2787"/>
      <c r="M5" s="2787"/>
      <c r="N5" s="2787"/>
      <c r="O5" s="2787"/>
      <c r="P5" s="2787"/>
    </row>
    <row r="6" spans="1:16" ht="15.75">
      <c r="A6" s="2603" t="s">
        <v>2078</v>
      </c>
      <c r="B6" s="2596">
        <f ca="1">SUMIF(INDIRECT("'"&amp;A6&amp;"'"&amp;"!A:A"),"总价",INDIRECT("'"&amp;A6&amp;"'"&amp;"!B:B"))</f>
        <v>346</v>
      </c>
      <c r="C6" s="2142" t="s">
        <v>2072</v>
      </c>
      <c r="D6" s="2787"/>
      <c r="E6" s="2606">
        <f ca="1">SUMIF(INDIRECT("'"&amp;A6&amp;"'"&amp;"!C:C"),"建筑面积",INDIRECT("'"&amp;A6&amp;"'"&amp;"!D:D"))</f>
        <v>120.57</v>
      </c>
      <c r="F6" s="2787"/>
      <c r="G6" s="2787"/>
      <c r="H6" s="2787"/>
      <c r="I6" s="2787"/>
      <c r="J6" s="2787"/>
      <c r="K6" s="2787"/>
      <c r="L6" s="2787"/>
      <c r="M6" s="2787"/>
      <c r="N6" s="2787"/>
      <c r="O6" s="2787"/>
      <c r="P6" s="2787"/>
    </row>
    <row r="7" spans="1:16" ht="15.75">
      <c r="A7" s="2603"/>
      <c r="B7" s="2596" t="e">
        <f ca="1">SUMIF(INDIRECT("'"&amp;A7&amp;"'"&amp;"!A:A"),"总价",INDIRECT("'"&amp;A7&amp;"'"&amp;"!B:B"))</f>
        <v>#REF!</v>
      </c>
      <c r="C7" s="2142" t="s">
        <v>2072</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2" t="s">
        <v>2072</v>
      </c>
      <c r="D8" s="2787"/>
      <c r="E8" s="2606" t="e">
        <f t="shared" ca="1" si="0"/>
        <v>#REF!</v>
      </c>
      <c r="F8" s="2787"/>
      <c r="G8" s="2787"/>
      <c r="H8" s="2787"/>
      <c r="I8" s="2787"/>
      <c r="J8" s="2787"/>
      <c r="K8" s="2787"/>
      <c r="L8" s="2787"/>
      <c r="M8" s="2787"/>
      <c r="N8" s="2787"/>
      <c r="O8" s="2787"/>
      <c r="P8" s="2787"/>
    </row>
    <row r="9" spans="1:16" ht="15.75">
      <c r="A9" s="2603"/>
      <c r="B9" s="2596" t="e">
        <f t="shared" ca="1" si="1"/>
        <v>#REF!</v>
      </c>
      <c r="C9" s="2142" t="s">
        <v>2072</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2" t="s">
        <v>2072</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2" t="s">
        <v>2072</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2" t="s">
        <v>2072</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2" t="s">
        <v>2072</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2584</v>
      </c>
      <c r="B1" s="3066" t="s">
        <v>2585</v>
      </c>
      <c r="C1" s="3066" t="s">
        <v>2586</v>
      </c>
      <c r="D1" s="3066" t="s">
        <v>2587</v>
      </c>
      <c r="E1" s="3066" t="s">
        <v>2588</v>
      </c>
      <c r="F1" s="3066" t="s">
        <v>2589</v>
      </c>
      <c r="G1" s="3066" t="s">
        <v>2590</v>
      </c>
      <c r="H1" s="3066" t="s">
        <v>2591</v>
      </c>
      <c r="I1" s="3066" t="s">
        <v>2592</v>
      </c>
      <c r="J1" s="3066" t="s">
        <v>2593</v>
      </c>
      <c r="K1" s="3066" t="s">
        <v>2594</v>
      </c>
      <c r="L1" s="3066" t="s">
        <v>2595</v>
      </c>
      <c r="M1" s="3067" t="s">
        <v>2596</v>
      </c>
    </row>
    <row r="2" spans="1:13" ht="19.5" customHeight="1">
      <c r="A2" s="3069" t="s">
        <v>2597</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2598</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2599</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2600</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2601</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2602</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2603</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2604</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2605</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2606</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2607</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2608</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2609</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2610</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2611</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2612</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2613</v>
      </c>
      <c r="B18" s="3091"/>
      <c r="C18" s="3092"/>
      <c r="D18" s="3092"/>
      <c r="E18" s="3091"/>
      <c r="F18" s="3092"/>
      <c r="G18" s="3092"/>
    </row>
    <row r="19" spans="1:13" ht="19.5" customHeight="1" thickBot="1">
      <c r="A19" s="3089" t="s">
        <v>2614</v>
      </c>
      <c r="B19" s="3094" t="s">
        <v>2615</v>
      </c>
      <c r="C19" s="3094" t="s">
        <v>2616</v>
      </c>
      <c r="D19" s="3095"/>
      <c r="E19" s="3089" t="s">
        <v>2617</v>
      </c>
      <c r="F19" s="3096"/>
      <c r="G19" s="3096"/>
    </row>
    <row r="20" spans="1:13" ht="19.5" customHeight="1">
      <c r="A20" s="3777" t="s">
        <v>2597</v>
      </c>
      <c r="B20" s="3770" t="s">
        <v>2618</v>
      </c>
      <c r="C20" s="3097" t="s">
        <v>2429</v>
      </c>
      <c r="D20" s="3098"/>
      <c r="E20" s="3099">
        <v>1</v>
      </c>
      <c r="F20" s="3100" t="s">
        <v>2430</v>
      </c>
      <c r="G20" s="3100"/>
    </row>
    <row r="21" spans="1:13" ht="19.5" customHeight="1">
      <c r="A21" s="3778"/>
      <c r="B21" s="3771"/>
      <c r="C21" s="3101" t="s">
        <v>2431</v>
      </c>
      <c r="D21" s="3102"/>
      <c r="E21" s="3103">
        <v>1</v>
      </c>
      <c r="F21" s="3100" t="s">
        <v>2432</v>
      </c>
      <c r="G21" s="3100"/>
    </row>
    <row r="22" spans="1:13" ht="19.5" customHeight="1">
      <c r="A22" s="3778"/>
      <c r="B22" s="3771"/>
      <c r="C22" s="3101" t="s">
        <v>2433</v>
      </c>
      <c r="D22" s="3102"/>
      <c r="E22" s="3103">
        <v>0.9</v>
      </c>
      <c r="F22" s="3100" t="s">
        <v>2434</v>
      </c>
      <c r="G22" s="3100"/>
    </row>
    <row r="23" spans="1:13" ht="19.5" customHeight="1">
      <c r="A23" s="3778"/>
      <c r="B23" s="3771"/>
      <c r="C23" s="3101" t="s">
        <v>2435</v>
      </c>
      <c r="D23" s="3102"/>
      <c r="E23" s="3103">
        <v>0.9</v>
      </c>
      <c r="F23" s="3100" t="s">
        <v>2436</v>
      </c>
      <c r="G23" s="3100"/>
    </row>
    <row r="24" spans="1:13" ht="19.5" customHeight="1">
      <c r="A24" s="3778"/>
      <c r="B24" s="3771"/>
      <c r="C24" s="3101" t="s">
        <v>2437</v>
      </c>
      <c r="D24" s="3102"/>
      <c r="E24" s="3103">
        <v>0.8</v>
      </c>
      <c r="F24" s="3100" t="s">
        <v>2438</v>
      </c>
      <c r="G24" s="3100"/>
    </row>
    <row r="25" spans="1:13" ht="19.5" customHeight="1" thickBot="1">
      <c r="A25" s="3779"/>
      <c r="B25" s="3772"/>
      <c r="C25" s="3104" t="s">
        <v>2439</v>
      </c>
      <c r="D25" s="3105"/>
      <c r="E25" s="3106">
        <v>0.8</v>
      </c>
      <c r="F25" s="3100" t="s">
        <v>2440</v>
      </c>
      <c r="G25" s="3100"/>
    </row>
    <row r="26" spans="1:13" ht="19.5" customHeight="1" thickBot="1">
      <c r="A26" s="3107" t="s">
        <v>2619</v>
      </c>
      <c r="B26" s="3108" t="s">
        <v>2618</v>
      </c>
      <c r="C26" s="3109" t="s">
        <v>2620</v>
      </c>
      <c r="D26" s="3110"/>
      <c r="E26" s="3111">
        <v>1</v>
      </c>
      <c r="F26" s="3100" t="s">
        <v>2441</v>
      </c>
      <c r="G26" s="3100"/>
    </row>
    <row r="27" spans="1:13" ht="19.5" customHeight="1">
      <c r="A27" s="3773" t="s">
        <v>2621</v>
      </c>
      <c r="B27" s="3770" t="s">
        <v>2602</v>
      </c>
      <c r="C27" s="3097" t="s">
        <v>2442</v>
      </c>
      <c r="D27" s="3098"/>
      <c r="E27" s="3099">
        <v>1</v>
      </c>
      <c r="F27" s="3100" t="s">
        <v>2443</v>
      </c>
      <c r="G27" s="3100"/>
    </row>
    <row r="28" spans="1:13" ht="19.5" customHeight="1">
      <c r="A28" s="3774"/>
      <c r="B28" s="3771"/>
      <c r="C28" s="3101" t="s">
        <v>2444</v>
      </c>
      <c r="D28" s="3102"/>
      <c r="E28" s="3103">
        <v>1</v>
      </c>
      <c r="F28" s="3100" t="s">
        <v>2445</v>
      </c>
      <c r="G28" s="3100"/>
    </row>
    <row r="29" spans="1:13" ht="19.5" customHeight="1">
      <c r="A29" s="3774"/>
      <c r="B29" s="3771"/>
      <c r="C29" s="3101" t="s">
        <v>2446</v>
      </c>
      <c r="D29" s="3102"/>
      <c r="E29" s="3103">
        <v>0.8</v>
      </c>
      <c r="F29" s="3100" t="s">
        <v>2447</v>
      </c>
      <c r="G29" s="3100"/>
    </row>
    <row r="30" spans="1:13" ht="19.5" customHeight="1">
      <c r="A30" s="3774"/>
      <c r="B30" s="3771"/>
      <c r="C30" s="3101" t="s">
        <v>2448</v>
      </c>
      <c r="D30" s="3102"/>
      <c r="E30" s="3103">
        <v>0.8</v>
      </c>
      <c r="F30" s="3100" t="s">
        <v>2449</v>
      </c>
      <c r="G30" s="3100"/>
    </row>
    <row r="31" spans="1:13" ht="19.5" customHeight="1">
      <c r="A31" s="3774"/>
      <c r="B31" s="3771"/>
      <c r="C31" s="3101" t="s">
        <v>2450</v>
      </c>
      <c r="D31" s="3102"/>
      <c r="E31" s="3103">
        <v>0.8</v>
      </c>
      <c r="F31" s="3100" t="s">
        <v>2451</v>
      </c>
      <c r="G31" s="3100"/>
    </row>
    <row r="32" spans="1:13" ht="19.5" customHeight="1">
      <c r="A32" s="3774"/>
      <c r="B32" s="3771"/>
      <c r="C32" s="3101" t="s">
        <v>2452</v>
      </c>
      <c r="D32" s="3102"/>
      <c r="E32" s="3103">
        <v>0.7</v>
      </c>
      <c r="F32" s="3100" t="s">
        <v>2453</v>
      </c>
      <c r="G32" s="3100"/>
    </row>
    <row r="33" spans="1:7" ht="19.5" customHeight="1">
      <c r="A33" s="3774"/>
      <c r="B33" s="3771"/>
      <c r="C33" s="3101" t="s">
        <v>2454</v>
      </c>
      <c r="D33" s="3102"/>
      <c r="E33" s="3103">
        <v>0.8</v>
      </c>
      <c r="F33" s="3100" t="s">
        <v>2455</v>
      </c>
      <c r="G33" s="3100"/>
    </row>
    <row r="34" spans="1:7" ht="19.5" customHeight="1">
      <c r="A34" s="3774"/>
      <c r="B34" s="3771"/>
      <c r="C34" s="3101" t="s">
        <v>2456</v>
      </c>
      <c r="D34" s="3102"/>
      <c r="E34" s="3103">
        <v>0.6</v>
      </c>
      <c r="F34" s="3100" t="s">
        <v>2457</v>
      </c>
      <c r="G34" s="3100"/>
    </row>
    <row r="35" spans="1:7" ht="19.5" customHeight="1">
      <c r="A35" s="3774"/>
      <c r="B35" s="3771"/>
      <c r="C35" s="3101" t="s">
        <v>2458</v>
      </c>
      <c r="D35" s="3102"/>
      <c r="E35" s="3103">
        <v>0.2</v>
      </c>
      <c r="F35" s="3100" t="s">
        <v>2459</v>
      </c>
      <c r="G35" s="3100"/>
    </row>
    <row r="36" spans="1:7" ht="19.5" customHeight="1">
      <c r="A36" s="3774"/>
      <c r="B36" s="3771"/>
      <c r="C36" s="3101" t="s">
        <v>2460</v>
      </c>
      <c r="D36" s="3102"/>
      <c r="E36" s="3103">
        <v>0.2</v>
      </c>
      <c r="F36" s="3100" t="s">
        <v>2461</v>
      </c>
      <c r="G36" s="3100"/>
    </row>
    <row r="37" spans="1:7" ht="19.5" customHeight="1">
      <c r="A37" s="3774"/>
      <c r="B37" s="3776" t="s">
        <v>2622</v>
      </c>
      <c r="C37" s="3101" t="s">
        <v>2462</v>
      </c>
      <c r="D37" s="3102"/>
      <c r="E37" s="3103">
        <v>0.6</v>
      </c>
      <c r="F37" s="3100" t="s">
        <v>2463</v>
      </c>
      <c r="G37" s="3100"/>
    </row>
    <row r="38" spans="1:7" ht="19.5" customHeight="1">
      <c r="A38" s="3774"/>
      <c r="B38" s="3771"/>
      <c r="C38" s="3101" t="s">
        <v>2464</v>
      </c>
      <c r="D38" s="3102"/>
      <c r="E38" s="3103">
        <v>0.6</v>
      </c>
      <c r="F38" s="3100" t="s">
        <v>2465</v>
      </c>
      <c r="G38" s="3100"/>
    </row>
    <row r="39" spans="1:7" ht="19.5" customHeight="1" thickBot="1">
      <c r="A39" s="3775"/>
      <c r="B39" s="3772"/>
      <c r="C39" s="3104" t="s">
        <v>2466</v>
      </c>
      <c r="D39" s="3105"/>
      <c r="E39" s="3106">
        <v>0.6</v>
      </c>
      <c r="F39" s="3100" t="s">
        <v>2467</v>
      </c>
      <c r="G39" s="3100"/>
    </row>
    <row r="40" spans="1:7" ht="19.5" customHeight="1" thickBot="1">
      <c r="A40" s="3107" t="s">
        <v>2599</v>
      </c>
      <c r="B40" s="3108" t="s">
        <v>2599</v>
      </c>
      <c r="C40" s="3109" t="s">
        <v>2623</v>
      </c>
      <c r="D40" s="3110"/>
      <c r="E40" s="3111">
        <v>1</v>
      </c>
      <c r="F40" s="3100" t="s">
        <v>2468</v>
      </c>
      <c r="G40" s="3100"/>
    </row>
    <row r="41" spans="1:7" ht="19.5" customHeight="1">
      <c r="A41" s="3777" t="s">
        <v>2600</v>
      </c>
      <c r="B41" s="3770" t="s">
        <v>2624</v>
      </c>
      <c r="C41" s="3097" t="s">
        <v>2469</v>
      </c>
      <c r="D41" s="3098"/>
      <c r="E41" s="3099">
        <v>1</v>
      </c>
      <c r="F41" s="3100" t="s">
        <v>2470</v>
      </c>
      <c r="G41" s="3100"/>
    </row>
    <row r="42" spans="1:7" ht="19.5" customHeight="1">
      <c r="A42" s="3778"/>
      <c r="B42" s="3771"/>
      <c r="C42" s="3101" t="s">
        <v>2471</v>
      </c>
      <c r="D42" s="3102"/>
      <c r="E42" s="3103">
        <v>1</v>
      </c>
      <c r="F42" s="3100" t="s">
        <v>2472</v>
      </c>
      <c r="G42" s="3100"/>
    </row>
    <row r="43" spans="1:7" ht="19.5" customHeight="1">
      <c r="A43" s="3778"/>
      <c r="B43" s="3780"/>
      <c r="C43" s="3101" t="s">
        <v>2473</v>
      </c>
      <c r="D43" s="3102"/>
      <c r="E43" s="3103">
        <v>1.5</v>
      </c>
      <c r="F43" s="3100" t="s">
        <v>2474</v>
      </c>
      <c r="G43" s="3100"/>
    </row>
    <row r="44" spans="1:7" ht="19.5" customHeight="1">
      <c r="A44" s="3778"/>
      <c r="B44" s="3112" t="s">
        <v>2625</v>
      </c>
      <c r="C44" s="3101" t="s">
        <v>2626</v>
      </c>
      <c r="D44" s="3102"/>
      <c r="E44" s="3103">
        <v>2</v>
      </c>
      <c r="F44" s="3100" t="s">
        <v>2475</v>
      </c>
      <c r="G44" s="3100"/>
    </row>
    <row r="45" spans="1:7" ht="19.5" customHeight="1">
      <c r="A45" s="3778"/>
      <c r="B45" s="3776" t="s">
        <v>2627</v>
      </c>
      <c r="C45" s="3101" t="s">
        <v>2476</v>
      </c>
      <c r="D45" s="3102"/>
      <c r="E45" s="3103">
        <v>1</v>
      </c>
      <c r="F45" s="3100" t="s">
        <v>2477</v>
      </c>
      <c r="G45" s="3100"/>
    </row>
    <row r="46" spans="1:7" ht="19.5" customHeight="1">
      <c r="A46" s="3778"/>
      <c r="B46" s="3771"/>
      <c r="C46" s="3101" t="s">
        <v>2478</v>
      </c>
      <c r="D46" s="3102"/>
      <c r="E46" s="3103">
        <v>1</v>
      </c>
      <c r="F46" s="3100" t="s">
        <v>2479</v>
      </c>
      <c r="G46" s="3100"/>
    </row>
    <row r="47" spans="1:7" ht="19.5" customHeight="1">
      <c r="A47" s="3778"/>
      <c r="B47" s="3771"/>
      <c r="C47" s="3101" t="s">
        <v>2480</v>
      </c>
      <c r="D47" s="3102"/>
      <c r="E47" s="3103">
        <v>1</v>
      </c>
      <c r="F47" s="3100" t="s">
        <v>2481</v>
      </c>
      <c r="G47" s="3100"/>
    </row>
    <row r="48" spans="1:7" ht="19.5" customHeight="1">
      <c r="A48" s="3778"/>
      <c r="B48" s="3771"/>
      <c r="C48" s="3101" t="s">
        <v>2482</v>
      </c>
      <c r="D48" s="3102"/>
      <c r="E48" s="3103">
        <v>1</v>
      </c>
      <c r="F48" s="3100" t="s">
        <v>2483</v>
      </c>
      <c r="G48" s="3100"/>
    </row>
    <row r="49" spans="1:7" ht="19.5" customHeight="1">
      <c r="A49" s="3778"/>
      <c r="B49" s="3771"/>
      <c r="C49" s="3101" t="s">
        <v>2484</v>
      </c>
      <c r="D49" s="3102"/>
      <c r="E49" s="3103">
        <v>1</v>
      </c>
      <c r="F49" s="3100" t="s">
        <v>2485</v>
      </c>
      <c r="G49" s="3100"/>
    </row>
    <row r="50" spans="1:7" ht="19.5" customHeight="1">
      <c r="A50" s="3778"/>
      <c r="B50" s="3771"/>
      <c r="C50" s="3101" t="s">
        <v>2486</v>
      </c>
      <c r="D50" s="3102"/>
      <c r="E50" s="3103">
        <v>1</v>
      </c>
      <c r="F50" s="3100" t="s">
        <v>2487</v>
      </c>
      <c r="G50" s="3100"/>
    </row>
    <row r="51" spans="1:7" ht="19.5" customHeight="1" thickBot="1">
      <c r="A51" s="3779"/>
      <c r="B51" s="3772"/>
      <c r="C51" s="3104" t="s">
        <v>2488</v>
      </c>
      <c r="D51" s="3105"/>
      <c r="E51" s="3106">
        <v>1</v>
      </c>
      <c r="F51" s="3100" t="s">
        <v>2489</v>
      </c>
      <c r="G51" s="3100"/>
    </row>
    <row r="52" spans="1:7" ht="19.5" customHeight="1">
      <c r="A52" s="3113"/>
      <c r="B52" s="3113"/>
      <c r="C52" s="3113"/>
      <c r="D52" s="3113"/>
      <c r="E52" s="3113"/>
      <c r="F52" s="3113"/>
      <c r="G52" s="3113"/>
    </row>
    <row r="54" spans="1:7" ht="19.5" customHeight="1">
      <c r="A54" s="3114"/>
      <c r="B54" s="3086" t="s">
        <v>2628</v>
      </c>
      <c r="C54" s="3086" t="s">
        <v>2628</v>
      </c>
      <c r="D54" s="3086" t="s">
        <v>2628</v>
      </c>
      <c r="E54" s="3089" t="s">
        <v>2628</v>
      </c>
      <c r="F54" s="3089" t="s">
        <v>2629</v>
      </c>
      <c r="G54" s="3089" t="s">
        <v>2630</v>
      </c>
    </row>
    <row r="55" spans="1:7" ht="19.5" customHeight="1">
      <c r="A55" s="3115"/>
      <c r="B55" s="3089" t="s">
        <v>2597</v>
      </c>
      <c r="C55" s="3089" t="s">
        <v>2597</v>
      </c>
      <c r="D55" s="3089" t="s">
        <v>2597</v>
      </c>
      <c r="E55" s="3086" t="s">
        <v>2598</v>
      </c>
      <c r="F55" s="3086" t="s">
        <v>2600</v>
      </c>
      <c r="G55" s="3086" t="s">
        <v>2631</v>
      </c>
    </row>
    <row r="56" spans="1:7" ht="19.5" customHeight="1">
      <c r="A56" s="3116"/>
      <c r="B56" s="3086">
        <v>1</v>
      </c>
      <c r="C56" s="3086">
        <v>2</v>
      </c>
      <c r="D56" s="3086">
        <v>3</v>
      </c>
      <c r="E56" s="3117" t="s">
        <v>2632</v>
      </c>
      <c r="F56" s="3117" t="s">
        <v>2632</v>
      </c>
      <c r="G56" s="3117" t="s">
        <v>2632</v>
      </c>
    </row>
    <row r="57" spans="1:7" ht="19.5" customHeight="1">
      <c r="A57" s="3118" t="s">
        <v>2585</v>
      </c>
      <c r="B57" s="3086">
        <v>0.7</v>
      </c>
      <c r="C57" s="3086">
        <v>0.4</v>
      </c>
      <c r="D57" s="3086">
        <v>0.3</v>
      </c>
      <c r="E57" s="3117">
        <v>0.3</v>
      </c>
      <c r="F57" s="3086">
        <v>0.3</v>
      </c>
      <c r="G57" s="3086">
        <v>0.2</v>
      </c>
    </row>
    <row r="58" spans="1:7" ht="19.5" customHeight="1">
      <c r="A58" s="3118" t="s">
        <v>2586</v>
      </c>
      <c r="B58" s="3086">
        <v>0.7</v>
      </c>
      <c r="C58" s="3086">
        <v>0.4</v>
      </c>
      <c r="D58" s="3086">
        <v>0.3</v>
      </c>
      <c r="E58" s="3086">
        <v>0.3</v>
      </c>
      <c r="F58" s="3086">
        <v>0.3</v>
      </c>
      <c r="G58" s="3086">
        <v>0.2</v>
      </c>
    </row>
    <row r="59" spans="1:7" ht="19.5" customHeight="1">
      <c r="A59" s="3118" t="s">
        <v>2587</v>
      </c>
      <c r="B59" s="3086">
        <v>0.6</v>
      </c>
      <c r="C59" s="3086">
        <v>0.3</v>
      </c>
      <c r="D59" s="3086">
        <v>0.25</v>
      </c>
      <c r="E59" s="3086">
        <v>0.25</v>
      </c>
      <c r="F59" s="3086">
        <v>0.25</v>
      </c>
      <c r="G59" s="3086">
        <v>0.15</v>
      </c>
    </row>
    <row r="60" spans="1:7" ht="19.5" customHeight="1">
      <c r="A60" s="3118" t="s">
        <v>2588</v>
      </c>
      <c r="B60" s="3086">
        <v>0.6</v>
      </c>
      <c r="C60" s="3086">
        <v>0.3</v>
      </c>
      <c r="D60" s="3086">
        <v>0.25</v>
      </c>
      <c r="E60" s="3086">
        <v>0.25</v>
      </c>
      <c r="F60" s="3086">
        <v>0.25</v>
      </c>
      <c r="G60" s="3086">
        <v>0.15</v>
      </c>
    </row>
    <row r="61" spans="1:7" ht="19.5" customHeight="1">
      <c r="A61" s="3118" t="s">
        <v>2589</v>
      </c>
      <c r="B61" s="3086">
        <v>0.6</v>
      </c>
      <c r="C61" s="3086">
        <v>0.3</v>
      </c>
      <c r="D61" s="3086">
        <v>0.25</v>
      </c>
      <c r="E61" s="3086">
        <v>0.25</v>
      </c>
      <c r="F61" s="3086">
        <v>0.25</v>
      </c>
      <c r="G61" s="3086">
        <v>0.15</v>
      </c>
    </row>
    <row r="62" spans="1:7" ht="19.5" customHeight="1">
      <c r="A62" s="3118" t="s">
        <v>2590</v>
      </c>
      <c r="B62" s="3086">
        <v>0.6</v>
      </c>
      <c r="C62" s="3086">
        <v>0.3</v>
      </c>
      <c r="D62" s="3086">
        <v>0.25</v>
      </c>
      <c r="E62" s="3086">
        <v>0.25</v>
      </c>
      <c r="F62" s="3086">
        <v>0.25</v>
      </c>
      <c r="G62" s="3086">
        <v>0.15</v>
      </c>
    </row>
    <row r="63" spans="1:7" ht="19.5" customHeight="1">
      <c r="A63" s="3118" t="s">
        <v>2591</v>
      </c>
      <c r="B63" s="3086">
        <v>0.6</v>
      </c>
      <c r="C63" s="3086">
        <v>0.3</v>
      </c>
      <c r="D63" s="3086">
        <v>0.25</v>
      </c>
      <c r="E63" s="3086">
        <v>0.25</v>
      </c>
      <c r="F63" s="3086">
        <v>0.25</v>
      </c>
      <c r="G63" s="3086">
        <v>0.15</v>
      </c>
    </row>
    <row r="64" spans="1:7" ht="19.5" customHeight="1">
      <c r="A64" s="3118" t="s">
        <v>2592</v>
      </c>
      <c r="B64" s="3086">
        <v>0.5</v>
      </c>
      <c r="C64" s="3086">
        <v>0.2</v>
      </c>
      <c r="D64" s="3086">
        <v>0.2</v>
      </c>
      <c r="E64" s="3086">
        <v>0.2</v>
      </c>
      <c r="F64" s="3086">
        <v>0.2</v>
      </c>
      <c r="G64" s="3086">
        <v>0.1</v>
      </c>
    </row>
    <row r="65" spans="1:7" ht="19.5" customHeight="1">
      <c r="A65" s="3118" t="s">
        <v>2593</v>
      </c>
      <c r="B65" s="3086">
        <v>0.5</v>
      </c>
      <c r="C65" s="3086">
        <v>0.2</v>
      </c>
      <c r="D65" s="3086">
        <v>0.2</v>
      </c>
      <c r="E65" s="3086">
        <v>0.2</v>
      </c>
      <c r="F65" s="3086">
        <v>0.2</v>
      </c>
      <c r="G65" s="3086">
        <v>0.1</v>
      </c>
    </row>
    <row r="66" spans="1:7" ht="19.5" customHeight="1">
      <c r="A66" s="3118" t="s">
        <v>2594</v>
      </c>
      <c r="B66" s="3086">
        <v>0.5</v>
      </c>
      <c r="C66" s="3086">
        <v>0.2</v>
      </c>
      <c r="D66" s="3086">
        <v>0.2</v>
      </c>
      <c r="E66" s="3086">
        <v>0.2</v>
      </c>
      <c r="F66" s="3086">
        <v>0.2</v>
      </c>
      <c r="G66" s="3086">
        <v>0.1</v>
      </c>
    </row>
    <row r="67" spans="1:7" ht="19.5" customHeight="1">
      <c r="A67" s="3118" t="s">
        <v>2595</v>
      </c>
      <c r="B67" s="3086">
        <v>0.5</v>
      </c>
      <c r="C67" s="3086">
        <v>0.2</v>
      </c>
      <c r="D67" s="3086">
        <v>0.2</v>
      </c>
      <c r="E67" s="3086">
        <v>0.2</v>
      </c>
      <c r="F67" s="3086">
        <v>0.2</v>
      </c>
      <c r="G67" s="3086">
        <v>0.1</v>
      </c>
    </row>
    <row r="68" spans="1:7" ht="19.5" customHeight="1">
      <c r="A68" s="3118" t="s">
        <v>2596</v>
      </c>
      <c r="B68" s="3086">
        <v>0.5</v>
      </c>
      <c r="C68" s="3086">
        <v>0.2</v>
      </c>
      <c r="D68" s="3086">
        <v>0.2</v>
      </c>
      <c r="E68" s="3086">
        <v>0.2</v>
      </c>
      <c r="F68" s="3086">
        <v>0.2</v>
      </c>
      <c r="G68" s="3086">
        <v>0.1</v>
      </c>
    </row>
    <row r="70" spans="1:7" ht="19.5" customHeight="1">
      <c r="A70" s="3119"/>
      <c r="B70" s="3120"/>
      <c r="C70" s="3120"/>
      <c r="D70" s="3120" t="s">
        <v>2633</v>
      </c>
      <c r="E70" s="3120"/>
      <c r="F70" s="3120"/>
    </row>
    <row r="71" spans="1:7" ht="19.5" customHeight="1">
      <c r="A71" s="3112" t="s">
        <v>2634</v>
      </c>
      <c r="B71" s="3112" t="s">
        <v>2635</v>
      </c>
      <c r="C71" s="3112" t="s">
        <v>2636</v>
      </c>
      <c r="D71" s="3112" t="s">
        <v>2637</v>
      </c>
      <c r="E71" s="3112" t="s">
        <v>2638</v>
      </c>
      <c r="F71" s="3112" t="s">
        <v>2639</v>
      </c>
    </row>
    <row r="72" spans="1:7" ht="13.5">
      <c r="A72" s="3112"/>
      <c r="B72" s="3112"/>
      <c r="C72" s="3112" t="s">
        <v>2640</v>
      </c>
      <c r="D72" s="3112"/>
      <c r="E72" s="3112" t="s">
        <v>2611</v>
      </c>
      <c r="F72" s="3112" t="s">
        <v>2611</v>
      </c>
    </row>
    <row r="73" spans="1:7" ht="13.5">
      <c r="A73" s="3112">
        <v>1</v>
      </c>
      <c r="B73" s="3776" t="s">
        <v>2641</v>
      </c>
      <c r="C73" s="3086" t="s">
        <v>2642</v>
      </c>
      <c r="D73" s="3086" t="s">
        <v>2643</v>
      </c>
      <c r="E73" s="3112">
        <v>0.2</v>
      </c>
      <c r="F73" s="3112">
        <v>25</v>
      </c>
    </row>
    <row r="74" spans="1:7" ht="24">
      <c r="A74" s="3112">
        <v>2</v>
      </c>
      <c r="B74" s="3771"/>
      <c r="C74" s="3086" t="s">
        <v>2644</v>
      </c>
      <c r="D74" s="3086" t="s">
        <v>2645</v>
      </c>
      <c r="E74" s="3112">
        <v>0.2</v>
      </c>
      <c r="F74" s="3112">
        <v>25</v>
      </c>
    </row>
    <row r="75" spans="1:7" ht="24">
      <c r="A75" s="3112">
        <v>3</v>
      </c>
      <c r="B75" s="3771"/>
      <c r="C75" s="3086" t="s">
        <v>2646</v>
      </c>
      <c r="D75" s="3086" t="s">
        <v>2647</v>
      </c>
      <c r="E75" s="3112">
        <v>0.2</v>
      </c>
      <c r="F75" s="3112">
        <v>25</v>
      </c>
    </row>
    <row r="76" spans="1:7" ht="13.5">
      <c r="A76" s="3112">
        <v>4</v>
      </c>
      <c r="B76" s="3771"/>
      <c r="C76" s="3086" t="s">
        <v>2648</v>
      </c>
      <c r="D76" s="3086" t="s">
        <v>2649</v>
      </c>
      <c r="E76" s="3112">
        <v>0.15</v>
      </c>
      <c r="F76" s="3112">
        <v>20</v>
      </c>
    </row>
    <row r="77" spans="1:7" ht="24">
      <c r="A77" s="3112">
        <v>5</v>
      </c>
      <c r="B77" s="3771"/>
      <c r="C77" s="3086" t="s">
        <v>2650</v>
      </c>
      <c r="D77" s="3086" t="s">
        <v>2651</v>
      </c>
      <c r="E77" s="3112">
        <v>0.15</v>
      </c>
      <c r="F77" s="3112">
        <v>20</v>
      </c>
    </row>
    <row r="78" spans="1:7" ht="24">
      <c r="A78" s="3112">
        <v>6</v>
      </c>
      <c r="B78" s="3771"/>
      <c r="C78" s="3086" t="s">
        <v>2652</v>
      </c>
      <c r="D78" s="3086" t="s">
        <v>2653</v>
      </c>
      <c r="E78" s="3112">
        <v>0.15</v>
      </c>
      <c r="F78" s="3112">
        <v>20</v>
      </c>
    </row>
    <row r="79" spans="1:7" ht="24">
      <c r="A79" s="3112">
        <v>7</v>
      </c>
      <c r="B79" s="3771"/>
      <c r="C79" s="3086" t="s">
        <v>2654</v>
      </c>
      <c r="D79" s="3086" t="s">
        <v>2655</v>
      </c>
      <c r="E79" s="3112">
        <v>0.15</v>
      </c>
      <c r="F79" s="3112">
        <v>20</v>
      </c>
    </row>
    <row r="80" spans="1:7" ht="24">
      <c r="A80" s="3112">
        <v>8</v>
      </c>
      <c r="B80" s="3771"/>
      <c r="C80" s="3086" t="s">
        <v>2656</v>
      </c>
      <c r="D80" s="3086" t="s">
        <v>2657</v>
      </c>
      <c r="E80" s="3112">
        <v>0.1</v>
      </c>
      <c r="F80" s="3112">
        <v>15</v>
      </c>
    </row>
    <row r="81" spans="1:6" ht="24">
      <c r="A81" s="3112">
        <v>9</v>
      </c>
      <c r="B81" s="3771"/>
      <c r="C81" s="3086" t="s">
        <v>2658</v>
      </c>
      <c r="D81" s="3086" t="s">
        <v>2659</v>
      </c>
      <c r="E81" s="3112">
        <v>0.1</v>
      </c>
      <c r="F81" s="3112">
        <v>15</v>
      </c>
    </row>
    <row r="82" spans="1:6" ht="24">
      <c r="A82" s="3112">
        <v>10</v>
      </c>
      <c r="B82" s="3771"/>
      <c r="C82" s="3086" t="s">
        <v>2660</v>
      </c>
      <c r="D82" s="3086" t="s">
        <v>2661</v>
      </c>
      <c r="E82" s="3112">
        <v>0.1</v>
      </c>
      <c r="F82" s="3112">
        <v>15</v>
      </c>
    </row>
    <row r="83" spans="1:6" ht="24">
      <c r="A83" s="3112">
        <v>11</v>
      </c>
      <c r="B83" s="3771"/>
      <c r="C83" s="3086" t="s">
        <v>2662</v>
      </c>
      <c r="D83" s="3086" t="s">
        <v>2663</v>
      </c>
      <c r="E83" s="3112">
        <v>0.1</v>
      </c>
      <c r="F83" s="3112">
        <v>15</v>
      </c>
    </row>
    <row r="84" spans="1:6" ht="24">
      <c r="A84" s="3112">
        <v>12</v>
      </c>
      <c r="B84" s="3771"/>
      <c r="C84" s="3086" t="s">
        <v>2664</v>
      </c>
      <c r="D84" s="3086" t="s">
        <v>2665</v>
      </c>
      <c r="E84" s="3112">
        <v>0.1</v>
      </c>
      <c r="F84" s="3112">
        <v>15</v>
      </c>
    </row>
    <row r="85" spans="1:6" ht="13.5">
      <c r="A85" s="3112">
        <v>13</v>
      </c>
      <c r="B85" s="3771"/>
      <c r="C85" s="3086" t="s">
        <v>2666</v>
      </c>
      <c r="D85" s="3086" t="s">
        <v>2667</v>
      </c>
      <c r="E85" s="3112">
        <v>0.1</v>
      </c>
      <c r="F85" s="3112">
        <v>15</v>
      </c>
    </row>
    <row r="86" spans="1:6" ht="13.5">
      <c r="A86" s="3112">
        <v>14</v>
      </c>
      <c r="B86" s="3771"/>
      <c r="C86" s="3086" t="s">
        <v>2668</v>
      </c>
      <c r="D86" s="3086" t="s">
        <v>2669</v>
      </c>
      <c r="E86" s="3112">
        <v>0.1</v>
      </c>
      <c r="F86" s="3112">
        <v>15</v>
      </c>
    </row>
    <row r="87" spans="1:6" ht="13.5">
      <c r="A87" s="3112">
        <v>15</v>
      </c>
      <c r="B87" s="3771"/>
      <c r="C87" s="3086" t="s">
        <v>2670</v>
      </c>
      <c r="D87" s="3086" t="s">
        <v>2671</v>
      </c>
      <c r="E87" s="3112">
        <v>0.1</v>
      </c>
      <c r="F87" s="3112">
        <v>15</v>
      </c>
    </row>
    <row r="88" spans="1:6" ht="24">
      <c r="A88" s="3112">
        <v>16</v>
      </c>
      <c r="B88" s="3771"/>
      <c r="C88" s="3086" t="s">
        <v>2672</v>
      </c>
      <c r="D88" s="3086" t="s">
        <v>2673</v>
      </c>
      <c r="E88" s="3112">
        <v>0.1</v>
      </c>
      <c r="F88" s="3112">
        <v>15</v>
      </c>
    </row>
    <row r="89" spans="1:6" ht="24">
      <c r="A89" s="3112">
        <v>17</v>
      </c>
      <c r="B89" s="3780"/>
      <c r="C89" s="3086" t="s">
        <v>2674</v>
      </c>
      <c r="D89" s="3086" t="s">
        <v>2675</v>
      </c>
      <c r="E89" s="3112">
        <v>0.1</v>
      </c>
      <c r="F89" s="3112">
        <v>15</v>
      </c>
    </row>
    <row r="90" spans="1:6" ht="13.5">
      <c r="A90" s="3112">
        <v>18</v>
      </c>
      <c r="B90" s="3776" t="s">
        <v>2676</v>
      </c>
      <c r="C90" s="3086" t="s">
        <v>2677</v>
      </c>
      <c r="D90" s="3086" t="s">
        <v>2678</v>
      </c>
      <c r="E90" s="3112">
        <v>0.2</v>
      </c>
      <c r="F90" s="3112">
        <v>25</v>
      </c>
    </row>
    <row r="91" spans="1:6" ht="24">
      <c r="A91" s="3112">
        <v>19</v>
      </c>
      <c r="B91" s="3771"/>
      <c r="C91" s="3086" t="s">
        <v>2679</v>
      </c>
      <c r="D91" s="3086" t="s">
        <v>2680</v>
      </c>
      <c r="E91" s="3112">
        <v>0.2</v>
      </c>
      <c r="F91" s="3112">
        <v>25</v>
      </c>
    </row>
    <row r="92" spans="1:6" ht="13.5">
      <c r="A92" s="3112">
        <v>20</v>
      </c>
      <c r="B92" s="3771"/>
      <c r="C92" s="3086" t="s">
        <v>2681</v>
      </c>
      <c r="D92" s="3086" t="s">
        <v>2682</v>
      </c>
      <c r="E92" s="3112">
        <v>0.15</v>
      </c>
      <c r="F92" s="3112">
        <v>20</v>
      </c>
    </row>
    <row r="93" spans="1:6" ht="13.5">
      <c r="A93" s="3112">
        <v>21</v>
      </c>
      <c r="B93" s="3771"/>
      <c r="C93" s="3086" t="s">
        <v>2683</v>
      </c>
      <c r="D93" s="3086" t="s">
        <v>2684</v>
      </c>
      <c r="E93" s="3112">
        <v>0.15</v>
      </c>
      <c r="F93" s="3112">
        <v>20</v>
      </c>
    </row>
    <row r="94" spans="1:6" ht="13.5">
      <c r="A94" s="3112">
        <v>22</v>
      </c>
      <c r="B94" s="3771"/>
      <c r="C94" s="3086" t="s">
        <v>2685</v>
      </c>
      <c r="D94" s="3086" t="s">
        <v>2686</v>
      </c>
      <c r="E94" s="3112">
        <v>0.15</v>
      </c>
      <c r="F94" s="3112">
        <v>20</v>
      </c>
    </row>
    <row r="95" spans="1:6" ht="36">
      <c r="A95" s="3112">
        <v>23</v>
      </c>
      <c r="B95" s="3771"/>
      <c r="C95" s="3086" t="s">
        <v>2687</v>
      </c>
      <c r="D95" s="3086" t="s">
        <v>2688</v>
      </c>
      <c r="E95" s="3112">
        <v>0.15</v>
      </c>
      <c r="F95" s="3112">
        <v>20</v>
      </c>
    </row>
    <row r="96" spans="1:6" ht="13.5">
      <c r="A96" s="3112">
        <v>24</v>
      </c>
      <c r="B96" s="3771"/>
      <c r="C96" s="3086" t="s">
        <v>2689</v>
      </c>
      <c r="D96" s="3086" t="s">
        <v>2690</v>
      </c>
      <c r="E96" s="3112">
        <v>0.1</v>
      </c>
      <c r="F96" s="3112">
        <v>15</v>
      </c>
    </row>
    <row r="97" spans="1:6" ht="13.5">
      <c r="A97" s="3112">
        <v>25</v>
      </c>
      <c r="B97" s="3771"/>
      <c r="C97" s="3086" t="s">
        <v>2691</v>
      </c>
      <c r="D97" s="3086" t="s">
        <v>2692</v>
      </c>
      <c r="E97" s="3112">
        <v>0.1</v>
      </c>
      <c r="F97" s="3112">
        <v>15</v>
      </c>
    </row>
    <row r="98" spans="1:6" ht="24">
      <c r="A98" s="3112">
        <v>26</v>
      </c>
      <c r="B98" s="3771"/>
      <c r="C98" s="3086" t="s">
        <v>2693</v>
      </c>
      <c r="D98" s="3086" t="s">
        <v>2694</v>
      </c>
      <c r="E98" s="3112">
        <v>0.1</v>
      </c>
      <c r="F98" s="3112">
        <v>15</v>
      </c>
    </row>
    <row r="99" spans="1:6" ht="24">
      <c r="A99" s="3112">
        <v>27</v>
      </c>
      <c r="B99" s="3771"/>
      <c r="C99" s="3086" t="s">
        <v>2695</v>
      </c>
      <c r="D99" s="3086" t="s">
        <v>2696</v>
      </c>
      <c r="E99" s="3112">
        <v>0.1</v>
      </c>
      <c r="F99" s="3112">
        <v>15</v>
      </c>
    </row>
    <row r="100" spans="1:6" ht="13.5">
      <c r="A100" s="3112">
        <v>28</v>
      </c>
      <c r="B100" s="3771"/>
      <c r="C100" s="3086" t="s">
        <v>2697</v>
      </c>
      <c r="D100" s="3086" t="s">
        <v>2698</v>
      </c>
      <c r="E100" s="3112">
        <v>0.1</v>
      </c>
      <c r="F100" s="3112">
        <v>15</v>
      </c>
    </row>
    <row r="101" spans="1:6" ht="13.5">
      <c r="A101" s="3112">
        <v>29</v>
      </c>
      <c r="B101" s="3771"/>
      <c r="C101" s="3086" t="s">
        <v>2699</v>
      </c>
      <c r="D101" s="3086" t="s">
        <v>2700</v>
      </c>
      <c r="E101" s="3112">
        <v>0.1</v>
      </c>
      <c r="F101" s="3112">
        <v>15</v>
      </c>
    </row>
    <row r="102" spans="1:6" ht="13.5">
      <c r="A102" s="3112">
        <v>30</v>
      </c>
      <c r="B102" s="3771"/>
      <c r="C102" s="3086" t="s">
        <v>2701</v>
      </c>
      <c r="D102" s="3086" t="s">
        <v>2702</v>
      </c>
      <c r="E102" s="3112">
        <v>0.1</v>
      </c>
      <c r="F102" s="3112">
        <v>15</v>
      </c>
    </row>
    <row r="103" spans="1:6" ht="24">
      <c r="A103" s="3112">
        <v>31</v>
      </c>
      <c r="B103" s="3771"/>
      <c r="C103" s="3086" t="s">
        <v>2703</v>
      </c>
      <c r="D103" s="3086" t="s">
        <v>2704</v>
      </c>
      <c r="E103" s="3112">
        <v>0.1</v>
      </c>
      <c r="F103" s="3112">
        <v>15</v>
      </c>
    </row>
    <row r="104" spans="1:6" ht="24">
      <c r="A104" s="3112">
        <v>32</v>
      </c>
      <c r="B104" s="3771"/>
      <c r="C104" s="3086" t="s">
        <v>2705</v>
      </c>
      <c r="D104" s="3086" t="s">
        <v>2706</v>
      </c>
      <c r="E104" s="3112">
        <v>0.1</v>
      </c>
      <c r="F104" s="3112">
        <v>15</v>
      </c>
    </row>
    <row r="105" spans="1:6" ht="24">
      <c r="A105" s="3112">
        <v>33</v>
      </c>
      <c r="B105" s="3771"/>
      <c r="C105" s="3086" t="s">
        <v>2707</v>
      </c>
      <c r="D105" s="3086" t="s">
        <v>2708</v>
      </c>
      <c r="E105" s="3112">
        <v>0.1</v>
      </c>
      <c r="F105" s="3112">
        <v>15</v>
      </c>
    </row>
    <row r="106" spans="1:6" ht="24">
      <c r="A106" s="3112">
        <v>34</v>
      </c>
      <c r="B106" s="3780"/>
      <c r="C106" s="3086" t="s">
        <v>2709</v>
      </c>
      <c r="D106" s="3086" t="s">
        <v>2710</v>
      </c>
      <c r="E106" s="3112">
        <v>0.1</v>
      </c>
      <c r="F106" s="3112">
        <v>15</v>
      </c>
    </row>
    <row r="107" spans="1:6" ht="24">
      <c r="A107" s="3112">
        <v>35</v>
      </c>
      <c r="B107" s="3776" t="s">
        <v>2711</v>
      </c>
      <c r="C107" s="3112" t="s">
        <v>2712</v>
      </c>
      <c r="D107" s="3086" t="s">
        <v>2713</v>
      </c>
      <c r="E107" s="3112">
        <v>0.15</v>
      </c>
      <c r="F107" s="3112">
        <v>20</v>
      </c>
    </row>
    <row r="108" spans="1:6" ht="13.5">
      <c r="A108" s="3112">
        <v>36</v>
      </c>
      <c r="B108" s="3771"/>
      <c r="C108" s="3112" t="s">
        <v>2714</v>
      </c>
      <c r="D108" s="3086" t="s">
        <v>2715</v>
      </c>
      <c r="E108" s="3112">
        <v>0.15</v>
      </c>
      <c r="F108" s="3112">
        <v>20</v>
      </c>
    </row>
    <row r="109" spans="1:6" ht="13.5">
      <c r="A109" s="3112">
        <v>37</v>
      </c>
      <c r="B109" s="3771"/>
      <c r="C109" s="3112" t="s">
        <v>2716</v>
      </c>
      <c r="D109" s="3086" t="s">
        <v>2717</v>
      </c>
      <c r="E109" s="3112">
        <v>0.15</v>
      </c>
      <c r="F109" s="3112">
        <v>20</v>
      </c>
    </row>
    <row r="110" spans="1:6" ht="13.5">
      <c r="A110" s="3112">
        <v>38</v>
      </c>
      <c r="B110" s="3771"/>
      <c r="C110" s="3112" t="s">
        <v>2718</v>
      </c>
      <c r="D110" s="3086" t="s">
        <v>2719</v>
      </c>
      <c r="E110" s="3112">
        <v>0.1</v>
      </c>
      <c r="F110" s="3112">
        <v>15</v>
      </c>
    </row>
    <row r="111" spans="1:6" ht="24">
      <c r="A111" s="3112">
        <v>39</v>
      </c>
      <c r="B111" s="3771"/>
      <c r="C111" s="3112" t="s">
        <v>2720</v>
      </c>
      <c r="D111" s="3086" t="s">
        <v>2721</v>
      </c>
      <c r="E111" s="3112">
        <v>0.1</v>
      </c>
      <c r="F111" s="3112">
        <v>15</v>
      </c>
    </row>
    <row r="112" spans="1:6" ht="24">
      <c r="A112" s="3112">
        <v>40</v>
      </c>
      <c r="B112" s="3780"/>
      <c r="C112" s="3112" t="s">
        <v>2722</v>
      </c>
      <c r="D112" s="3086" t="s">
        <v>2723</v>
      </c>
      <c r="E112" s="3112">
        <v>0.1</v>
      </c>
      <c r="F112" s="3112">
        <v>15</v>
      </c>
    </row>
    <row r="113" spans="1:6" ht="13.5">
      <c r="A113" s="3112">
        <v>41</v>
      </c>
      <c r="B113" s="3781" t="s">
        <v>2724</v>
      </c>
      <c r="C113" s="3112" t="s">
        <v>2725</v>
      </c>
      <c r="D113" s="3086" t="s">
        <v>2726</v>
      </c>
      <c r="E113" s="3112">
        <v>0.1</v>
      </c>
      <c r="F113" s="3112">
        <v>15</v>
      </c>
    </row>
    <row r="114" spans="1:6" ht="13.5">
      <c r="A114" s="3112">
        <v>42</v>
      </c>
      <c r="B114" s="3781"/>
      <c r="C114" s="3112" t="s">
        <v>2727</v>
      </c>
      <c r="D114" s="3086" t="s">
        <v>2728</v>
      </c>
      <c r="E114" s="3112">
        <v>0.1</v>
      </c>
      <c r="F114" s="3112">
        <v>15</v>
      </c>
    </row>
    <row r="115" spans="1:6" ht="24">
      <c r="A115" s="3112">
        <v>43</v>
      </c>
      <c r="B115" s="3781"/>
      <c r="C115" s="3112" t="s">
        <v>2729</v>
      </c>
      <c r="D115" s="3086" t="s">
        <v>2730</v>
      </c>
      <c r="E115" s="3112">
        <v>0.1</v>
      </c>
      <c r="F115" s="3112">
        <v>15</v>
      </c>
    </row>
    <row r="116" spans="1:6" ht="13.5">
      <c r="A116" s="3112">
        <v>44</v>
      </c>
      <c r="B116" s="3776" t="s">
        <v>2731</v>
      </c>
      <c r="C116" s="3112" t="s">
        <v>2732</v>
      </c>
      <c r="D116" s="3086" t="s">
        <v>2733</v>
      </c>
      <c r="E116" s="3112">
        <v>0.1</v>
      </c>
      <c r="F116" s="3112">
        <v>15</v>
      </c>
    </row>
    <row r="117" spans="1:6" ht="24">
      <c r="A117" s="3112">
        <v>45</v>
      </c>
      <c r="B117" s="3780"/>
      <c r="C117" s="3086" t="s">
        <v>2734</v>
      </c>
      <c r="D117" s="3086" t="s">
        <v>2735</v>
      </c>
      <c r="E117" s="3112">
        <v>0.1</v>
      </c>
      <c r="F117" s="3112">
        <v>15</v>
      </c>
    </row>
    <row r="118" spans="1:6" ht="24">
      <c r="A118" s="3112">
        <v>46</v>
      </c>
      <c r="B118" s="3776" t="s">
        <v>2736</v>
      </c>
      <c r="C118" s="3112" t="s">
        <v>2737</v>
      </c>
      <c r="D118" s="3086" t="s">
        <v>2738</v>
      </c>
      <c r="E118" s="3112">
        <v>0.1</v>
      </c>
      <c r="F118" s="3112">
        <v>15</v>
      </c>
    </row>
    <row r="119" spans="1:6" ht="24">
      <c r="A119" s="3112">
        <v>47</v>
      </c>
      <c r="B119" s="3780"/>
      <c r="C119" s="3112" t="s">
        <v>2739</v>
      </c>
      <c r="D119" s="3086" t="s">
        <v>2740</v>
      </c>
      <c r="E119" s="3112">
        <v>0.1</v>
      </c>
      <c r="F119" s="3112">
        <v>15</v>
      </c>
    </row>
    <row r="120" spans="1:6" ht="13.5">
      <c r="A120" s="3112">
        <v>48</v>
      </c>
      <c r="B120" s="3776" t="s">
        <v>2741</v>
      </c>
      <c r="C120" s="3112" t="s">
        <v>2742</v>
      </c>
      <c r="D120" s="3086" t="s">
        <v>2743</v>
      </c>
      <c r="E120" s="3112">
        <v>0.1</v>
      </c>
      <c r="F120" s="3112">
        <v>15</v>
      </c>
    </row>
    <row r="121" spans="1:6" ht="13.5">
      <c r="A121" s="3112">
        <v>49</v>
      </c>
      <c r="B121" s="3780"/>
      <c r="C121" s="3112" t="s">
        <v>2744</v>
      </c>
      <c r="D121" s="3086" t="s">
        <v>2745</v>
      </c>
      <c r="E121" s="3112">
        <v>0.1</v>
      </c>
      <c r="F121" s="3112">
        <v>15</v>
      </c>
    </row>
    <row r="122" spans="1:6" ht="24">
      <c r="A122" s="3112">
        <v>50</v>
      </c>
      <c r="B122" s="3781" t="s">
        <v>2746</v>
      </c>
      <c r="C122" s="3112" t="s">
        <v>2747</v>
      </c>
      <c r="D122" s="3086" t="s">
        <v>2748</v>
      </c>
      <c r="E122" s="3112">
        <v>0.1</v>
      </c>
      <c r="F122" s="3112">
        <v>15</v>
      </c>
    </row>
    <row r="123" spans="1:6" ht="24">
      <c r="A123" s="3112">
        <v>51</v>
      </c>
      <c r="B123" s="3781"/>
      <c r="C123" s="3112" t="s">
        <v>2749</v>
      </c>
      <c r="D123" s="3086" t="s">
        <v>2750</v>
      </c>
      <c r="E123" s="3112">
        <v>0.1</v>
      </c>
      <c r="F123" s="3112">
        <v>15</v>
      </c>
    </row>
    <row r="124" spans="1:6" ht="24">
      <c r="A124" s="3112">
        <v>52</v>
      </c>
      <c r="B124" s="3781" t="s">
        <v>2751</v>
      </c>
      <c r="C124" s="3112" t="s">
        <v>2752</v>
      </c>
      <c r="D124" s="3086" t="s">
        <v>2753</v>
      </c>
      <c r="E124" s="3112">
        <v>0.1</v>
      </c>
      <c r="F124" s="3112">
        <v>15</v>
      </c>
    </row>
    <row r="125" spans="1:6" ht="24">
      <c r="A125" s="3112">
        <v>53</v>
      </c>
      <c r="B125" s="3781"/>
      <c r="C125" s="3112" t="s">
        <v>2754</v>
      </c>
      <c r="D125" s="3086" t="s">
        <v>2755</v>
      </c>
      <c r="E125" s="3112">
        <v>0.1</v>
      </c>
      <c r="F125" s="3112">
        <v>15</v>
      </c>
    </row>
    <row r="126" spans="1:6" ht="13.5">
      <c r="A126" s="3112">
        <v>54</v>
      </c>
      <c r="B126" s="3112" t="s">
        <v>2756</v>
      </c>
      <c r="C126" s="3112" t="s">
        <v>2757</v>
      </c>
      <c r="D126" s="3086" t="s">
        <v>2758</v>
      </c>
      <c r="E126" s="3112">
        <v>0.1</v>
      </c>
      <c r="F126" s="3112">
        <v>15</v>
      </c>
    </row>
    <row r="127" spans="1:6" ht="13.5">
      <c r="A127" s="3112">
        <v>55</v>
      </c>
      <c r="B127" s="3781" t="s">
        <v>2759</v>
      </c>
      <c r="C127" s="3112" t="s">
        <v>2760</v>
      </c>
      <c r="D127" s="3086" t="s">
        <v>2761</v>
      </c>
      <c r="E127" s="3112">
        <v>0.1</v>
      </c>
      <c r="F127" s="3112">
        <v>15</v>
      </c>
    </row>
    <row r="128" spans="1:6" ht="13.5">
      <c r="A128" s="3112">
        <v>56</v>
      </c>
      <c r="B128" s="3781"/>
      <c r="C128" s="3112" t="s">
        <v>2762</v>
      </c>
      <c r="D128" s="3086" t="s">
        <v>2763</v>
      </c>
      <c r="E128" s="3112">
        <v>0.1</v>
      </c>
      <c r="F128" s="3112">
        <v>15</v>
      </c>
    </row>
    <row r="129" spans="1:6" ht="24">
      <c r="A129" s="3112">
        <v>57</v>
      </c>
      <c r="B129" s="3781"/>
      <c r="C129" s="3112" t="s">
        <v>2764</v>
      </c>
      <c r="D129" s="3086" t="s">
        <v>2765</v>
      </c>
      <c r="E129" s="3112">
        <v>0.1</v>
      </c>
      <c r="F129" s="3112">
        <v>15</v>
      </c>
    </row>
    <row r="130" spans="1:6" ht="24">
      <c r="A130" s="3112">
        <v>58</v>
      </c>
      <c r="B130" s="3781" t="s">
        <v>2766</v>
      </c>
      <c r="C130" s="3112" t="s">
        <v>2767</v>
      </c>
      <c r="D130" s="3086" t="s">
        <v>2768</v>
      </c>
      <c r="E130" s="3112">
        <v>0.1</v>
      </c>
      <c r="F130" s="3112">
        <v>15</v>
      </c>
    </row>
    <row r="131" spans="1:6" ht="13.5">
      <c r="A131" s="3112">
        <v>59</v>
      </c>
      <c r="B131" s="3781"/>
      <c r="C131" s="3112" t="s">
        <v>2769</v>
      </c>
      <c r="D131" s="3086" t="s">
        <v>2770</v>
      </c>
      <c r="E131" s="3112">
        <v>0.1</v>
      </c>
      <c r="F131" s="3112">
        <v>15</v>
      </c>
    </row>
    <row r="132" spans="1:6" ht="13.5">
      <c r="A132" s="3112">
        <v>60</v>
      </c>
      <c r="B132" s="3776" t="s">
        <v>2771</v>
      </c>
      <c r="C132" s="3112" t="s">
        <v>2772</v>
      </c>
      <c r="D132" s="3086" t="s">
        <v>2773</v>
      </c>
      <c r="E132" s="3112">
        <v>0.1</v>
      </c>
      <c r="F132" s="3112">
        <v>15</v>
      </c>
    </row>
    <row r="133" spans="1:6" ht="13.5">
      <c r="A133" s="3112">
        <v>61</v>
      </c>
      <c r="B133" s="3780"/>
      <c r="C133" s="3112" t="s">
        <v>2774</v>
      </c>
      <c r="D133" s="3086" t="s">
        <v>2775</v>
      </c>
      <c r="E133" s="3112">
        <v>0.1</v>
      </c>
      <c r="F133" s="3112">
        <v>15</v>
      </c>
    </row>
    <row r="134" spans="1:6" ht="24">
      <c r="A134" s="3112">
        <v>62</v>
      </c>
      <c r="B134" s="3112" t="s">
        <v>2776</v>
      </c>
      <c r="C134" s="3112" t="s">
        <v>2777</v>
      </c>
      <c r="D134" s="3086" t="s">
        <v>2778</v>
      </c>
      <c r="E134" s="3112">
        <v>0.1</v>
      </c>
      <c r="F134" s="3112">
        <v>15</v>
      </c>
    </row>
    <row r="135" spans="1:6" ht="13.5">
      <c r="A135" s="3112">
        <v>63</v>
      </c>
      <c r="B135" s="3781" t="s">
        <v>2779</v>
      </c>
      <c r="C135" s="3112" t="s">
        <v>2780</v>
      </c>
      <c r="D135" s="3086" t="s">
        <v>2781</v>
      </c>
      <c r="E135" s="3112">
        <v>0.1</v>
      </c>
      <c r="F135" s="3112">
        <v>15</v>
      </c>
    </row>
    <row r="136" spans="1:6" ht="13.5">
      <c r="A136" s="3112">
        <v>64</v>
      </c>
      <c r="B136" s="3781"/>
      <c r="C136" s="3112" t="s">
        <v>2782</v>
      </c>
      <c r="D136" s="3086" t="s">
        <v>2783</v>
      </c>
      <c r="E136" s="3112">
        <v>0.1</v>
      </c>
      <c r="F136" s="3112">
        <v>15</v>
      </c>
    </row>
    <row r="137" spans="1:6" ht="13.5">
      <c r="A137" s="3112">
        <v>65</v>
      </c>
      <c r="B137" s="3112" t="s">
        <v>2784</v>
      </c>
      <c r="C137" s="3112" t="s">
        <v>2785</v>
      </c>
      <c r="D137" s="3086" t="s">
        <v>2786</v>
      </c>
      <c r="E137" s="3112">
        <v>0.1</v>
      </c>
      <c r="F137" s="3112">
        <v>15</v>
      </c>
    </row>
    <row r="138" spans="1:6" ht="13.5">
      <c r="A138" s="3112"/>
      <c r="B138" s="3112"/>
      <c r="C138" s="3112"/>
      <c r="D138" s="3112"/>
      <c r="E138" s="3112" t="s">
        <v>2787</v>
      </c>
      <c r="F138" s="3112" t="s">
        <v>2787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9"/>
  </cols>
  <sheetData>
    <row r="1" spans="1:20" ht="15" thickBot="1">
      <c r="A1" s="3121" t="s">
        <v>2788</v>
      </c>
      <c r="B1" s="3121"/>
      <c r="C1" s="3121"/>
      <c r="D1" s="3121"/>
      <c r="E1" s="3121"/>
      <c r="F1" s="3121"/>
      <c r="G1" s="3121"/>
      <c r="H1" s="3121"/>
      <c r="I1" s="3121"/>
      <c r="J1" s="3121"/>
      <c r="K1" s="3121"/>
      <c r="L1" s="3121"/>
      <c r="M1" s="3121"/>
      <c r="N1" s="748"/>
    </row>
    <row r="2" spans="1:20">
      <c r="A2" s="3122" t="s">
        <v>2789</v>
      </c>
      <c r="B2" s="3123" t="s">
        <v>2585</v>
      </c>
      <c r="C2" s="3123" t="s">
        <v>2586</v>
      </c>
      <c r="D2" s="3123" t="s">
        <v>2587</v>
      </c>
      <c r="E2" s="3123" t="s">
        <v>2588</v>
      </c>
      <c r="F2" s="3123" t="s">
        <v>2589</v>
      </c>
      <c r="G2" s="3123" t="s">
        <v>2590</v>
      </c>
      <c r="H2" s="3124" t="s">
        <v>2591</v>
      </c>
      <c r="I2" s="3124" t="s">
        <v>2592</v>
      </c>
      <c r="J2" s="3125" t="s">
        <v>2593</v>
      </c>
      <c r="K2" s="3125" t="s">
        <v>2594</v>
      </c>
      <c r="L2" s="3125" t="s">
        <v>2595</v>
      </c>
      <c r="M2" s="3126" t="s">
        <v>2596</v>
      </c>
      <c r="Q2" s="3136" t="s">
        <v>2794</v>
      </c>
      <c r="R2" s="3136" t="s">
        <v>2795</v>
      </c>
      <c r="S2" s="3136" t="s">
        <v>2796</v>
      </c>
      <c r="T2" s="3136" t="s">
        <v>2797</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0"/>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0"/>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0"/>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2790</v>
      </c>
      <c r="B93" s="3121"/>
      <c r="C93" s="3121"/>
      <c r="D93" s="3121"/>
      <c r="E93" s="3121"/>
      <c r="F93" s="3121"/>
      <c r="G93" s="3121"/>
      <c r="H93" s="3121"/>
      <c r="I93" s="3121"/>
      <c r="J93" s="3121"/>
      <c r="K93" s="3121"/>
      <c r="L93" s="3121"/>
      <c r="M93" s="3121"/>
    </row>
    <row r="94" spans="1:20">
      <c r="A94" s="3122" t="s">
        <v>2789</v>
      </c>
      <c r="B94" s="3123" t="s">
        <v>2585</v>
      </c>
      <c r="C94" s="3123" t="s">
        <v>2586</v>
      </c>
      <c r="D94" s="3123" t="s">
        <v>2587</v>
      </c>
      <c r="E94" s="3123" t="s">
        <v>2588</v>
      </c>
      <c r="F94" s="3123" t="s">
        <v>2589</v>
      </c>
      <c r="G94" s="3123" t="s">
        <v>2590</v>
      </c>
      <c r="H94" s="3124" t="s">
        <v>2591</v>
      </c>
      <c r="I94" s="3124" t="s">
        <v>2592</v>
      </c>
      <c r="J94" s="3125" t="s">
        <v>2593</v>
      </c>
      <c r="K94" s="3125" t="s">
        <v>2594</v>
      </c>
      <c r="L94" s="3125" t="s">
        <v>2595</v>
      </c>
      <c r="M94" s="3126" t="s">
        <v>2596</v>
      </c>
      <c r="N94" s="749">
        <f>SUMPRODUCT((A95:A184=ROUNDDOWN(基准地价修正!G3,1))*(B94:M94=基准地价修正!G2)*(B95:M184))</f>
        <v>0.98670000000000002</v>
      </c>
      <c r="Q94" s="3136" t="s">
        <v>2794</v>
      </c>
      <c r="R94" s="3136" t="s">
        <v>2795</v>
      </c>
      <c r="S94" s="3136" t="s">
        <v>2796</v>
      </c>
      <c r="T94" s="3136" t="s">
        <v>2797</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8"/>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8"/>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2791</v>
      </c>
      <c r="B185" s="3121"/>
      <c r="C185" s="3121"/>
      <c r="D185" s="3121"/>
      <c r="E185" s="3121"/>
      <c r="F185" s="3121"/>
      <c r="G185" s="3121"/>
      <c r="H185" s="3121"/>
      <c r="I185" s="3121"/>
      <c r="J185" s="3121"/>
      <c r="K185" s="3121"/>
      <c r="L185" s="3121"/>
      <c r="M185" s="3121"/>
    </row>
    <row r="186" spans="1:20">
      <c r="A186" s="3122" t="s">
        <v>2789</v>
      </c>
      <c r="B186" s="3123" t="s">
        <v>2585</v>
      </c>
      <c r="C186" s="3123" t="s">
        <v>2586</v>
      </c>
      <c r="D186" s="3123" t="s">
        <v>2587</v>
      </c>
      <c r="E186" s="3123" t="s">
        <v>2588</v>
      </c>
      <c r="F186" s="3123" t="s">
        <v>2589</v>
      </c>
      <c r="G186" s="3123" t="s">
        <v>2590</v>
      </c>
      <c r="H186" s="3124" t="s">
        <v>2591</v>
      </c>
      <c r="I186" s="3124" t="s">
        <v>2592</v>
      </c>
      <c r="J186" s="3125" t="s">
        <v>2593</v>
      </c>
      <c r="K186" s="3125" t="s">
        <v>2594</v>
      </c>
      <c r="L186" s="3125" t="s">
        <v>2595</v>
      </c>
      <c r="M186" s="3126" t="s">
        <v>2596</v>
      </c>
      <c r="Q186" s="3136" t="s">
        <v>2794</v>
      </c>
      <c r="R186" s="3136" t="s">
        <v>2795</v>
      </c>
      <c r="S186" s="3136" t="s">
        <v>2796</v>
      </c>
      <c r="T186" s="3136" t="s">
        <v>2797</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2792</v>
      </c>
      <c r="B277" s="3121"/>
      <c r="C277" s="3121"/>
      <c r="D277" s="3121"/>
      <c r="E277" s="3121"/>
      <c r="F277" s="3121"/>
      <c r="G277" s="3121"/>
      <c r="H277" s="3121"/>
      <c r="I277" s="3121"/>
      <c r="J277" s="3121"/>
      <c r="K277" s="3121"/>
      <c r="L277" s="3121"/>
      <c r="M277" s="3121"/>
    </row>
    <row r="278" spans="1:21">
      <c r="A278" s="3122" t="s">
        <v>2789</v>
      </c>
      <c r="B278" s="3123" t="s">
        <v>2585</v>
      </c>
      <c r="C278" s="3123" t="s">
        <v>2586</v>
      </c>
      <c r="D278" s="3123" t="s">
        <v>2587</v>
      </c>
      <c r="E278" s="3123" t="s">
        <v>2588</v>
      </c>
      <c r="F278" s="3123" t="s">
        <v>2589</v>
      </c>
      <c r="G278" s="3123" t="s">
        <v>2590</v>
      </c>
      <c r="H278" s="3124" t="s">
        <v>2591</v>
      </c>
      <c r="I278" s="3124" t="s">
        <v>2592</v>
      </c>
      <c r="J278" s="3125" t="s">
        <v>2593</v>
      </c>
      <c r="K278" s="3125" t="s">
        <v>2594</v>
      </c>
      <c r="L278" s="3125" t="s">
        <v>2595</v>
      </c>
      <c r="M278" s="3126" t="s">
        <v>2596</v>
      </c>
      <c r="Q278" s="3136" t="s">
        <v>2794</v>
      </c>
      <c r="R278" s="3136" t="s">
        <v>2795</v>
      </c>
      <c r="S278" s="3136" t="s">
        <v>2798</v>
      </c>
      <c r="T278" s="3136" t="s">
        <v>2799</v>
      </c>
      <c r="U278" s="3136" t="s">
        <v>2797</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2793</v>
      </c>
      <c r="B369" s="3134"/>
      <c r="C369" s="3134"/>
      <c r="D369" s="3134"/>
      <c r="E369" s="3134"/>
      <c r="F369" s="3134"/>
      <c r="G369" s="3134"/>
      <c r="H369" s="3134"/>
      <c r="I369" s="3134"/>
      <c r="J369" s="3134"/>
      <c r="K369" s="3134"/>
      <c r="L369" s="3134"/>
      <c r="M369" s="3134"/>
    </row>
    <row r="370" spans="1:20">
      <c r="A370" s="3122" t="s">
        <v>2789</v>
      </c>
      <c r="B370" s="3123" t="s">
        <v>2585</v>
      </c>
      <c r="C370" s="3123" t="s">
        <v>2586</v>
      </c>
      <c r="D370" s="3123" t="s">
        <v>2587</v>
      </c>
      <c r="E370" s="3123" t="s">
        <v>2588</v>
      </c>
      <c r="F370" s="3123" t="s">
        <v>2589</v>
      </c>
      <c r="G370" s="3123" t="s">
        <v>2590</v>
      </c>
      <c r="H370" s="3124" t="s">
        <v>2591</v>
      </c>
      <c r="I370" s="3124" t="s">
        <v>2592</v>
      </c>
      <c r="J370" s="3125" t="s">
        <v>2593</v>
      </c>
      <c r="K370" s="3125" t="s">
        <v>2594</v>
      </c>
      <c r="L370" s="3125" t="s">
        <v>2595</v>
      </c>
      <c r="M370" s="3126" t="s">
        <v>2596</v>
      </c>
      <c r="N370" s="749">
        <f>SUMPRODUCT((A371:A460=ROUNDDOWN(基准地价修正!G3,1))*(B370:M370=基准地价修正!G2)*(B371:M460))</f>
        <v>0.93459999999999999</v>
      </c>
      <c r="Q370" s="3136" t="s">
        <v>2794</v>
      </c>
      <c r="R370" s="3136" t="s">
        <v>2795</v>
      </c>
      <c r="S370" s="3136" t="s">
        <v>2796</v>
      </c>
      <c r="T370" s="3136" t="s">
        <v>2797</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30178</v>
      </c>
      <c r="C2" s="2" t="s">
        <v>106</v>
      </c>
      <c r="D2" s="199"/>
      <c r="E2" s="199"/>
      <c r="F2" s="199"/>
      <c r="G2" s="199"/>
    </row>
    <row r="3" spans="1:7" s="200" customFormat="1" ht="18" customHeight="1" thickBot="1">
      <c r="A3" s="203" t="s">
        <v>58</v>
      </c>
      <c r="B3" s="204">
        <f ca="1">ROUND(B2*10000/'数据-汇总表'!E3,0)</f>
        <v>2502944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2</v>
      </c>
      <c r="D10" s="844">
        <f>'数据-汇总表'!E6</f>
        <v>120.57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120.57</v>
      </c>
      <c r="E19" s="211">
        <f>'数据-取费表'!B31</f>
        <v>200</v>
      </c>
      <c r="F19" s="231"/>
      <c r="G19" s="1" t="s">
        <v>436</v>
      </c>
    </row>
    <row r="20" spans="1:7" s="214" customFormat="1" ht="13.5" customHeight="1">
      <c r="A20" s="776" t="s">
        <v>419</v>
      </c>
      <c r="B20" s="210" t="s">
        <v>77</v>
      </c>
      <c r="C20" s="232">
        <f>ROUND((C5+C19)*F20,0)</f>
        <v>618</v>
      </c>
      <c r="D20" s="232"/>
      <c r="E20" s="232"/>
      <c r="F20" s="233">
        <f>'数据-取费表'!B37</f>
        <v>0.03</v>
      </c>
      <c r="G20" s="1066" t="s">
        <v>430</v>
      </c>
    </row>
    <row r="21" spans="1:7" s="214" customFormat="1" ht="13.5" customHeight="1">
      <c r="A21" s="776" t="s">
        <v>421</v>
      </c>
      <c r="B21" s="210" t="s">
        <v>78</v>
      </c>
      <c r="C21" s="235">
        <f>F21</f>
        <v>0.03</v>
      </c>
      <c r="D21" s="236" t="s">
        <v>99</v>
      </c>
      <c r="E21" s="232"/>
      <c r="F21" s="233">
        <f>'数据-取费表'!B38</f>
        <v>0.03</v>
      </c>
      <c r="G21" s="234" t="s">
        <v>79</v>
      </c>
    </row>
    <row r="22" spans="1:7" s="214" customFormat="1" ht="13.5" customHeight="1">
      <c r="A22" s="776" t="s">
        <v>341</v>
      </c>
      <c r="B22" s="210" t="s">
        <v>80</v>
      </c>
      <c r="C22" s="1103">
        <f ca="1">ROUND(SUM(C23:C25),0)</f>
        <v>1906</v>
      </c>
      <c r="D22" s="235">
        <f ca="1">C26</f>
        <v>1.2999999999999999E-3</v>
      </c>
      <c r="E22" s="236" t="s">
        <v>99</v>
      </c>
      <c r="F22" s="237">
        <f ca="1">'数据-取费表'!B40</f>
        <v>3.5499999999999997E-2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1878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28</v>
      </c>
      <c r="D25" s="238"/>
      <c r="E25" s="241"/>
      <c r="F25" s="239"/>
      <c r="G25" s="242" t="s">
        <v>83</v>
      </c>
    </row>
    <row r="26" spans="1:7" s="214" customFormat="1">
      <c r="A26" s="779" t="s">
        <v>350</v>
      </c>
      <c r="B26" s="215" t="s">
        <v>422</v>
      </c>
      <c r="C26" s="238">
        <f ca="1">ROUND(IF('数据-取费表'!B22&lt;=1,F21*F22*'数据-取费表'!B23/2,F21*(POWER((1+F22),'数据-取费表'!B23/2)-1)),4)</f>
        <v>1.2999999999999999E-3</v>
      </c>
      <c r="D26" s="238"/>
      <c r="E26" s="241"/>
      <c r="F26" s="239"/>
      <c r="G26" s="243"/>
    </row>
    <row r="27" spans="1:7" s="214" customFormat="1" ht="24.75">
      <c r="A27" s="776" t="s">
        <v>342</v>
      </c>
      <c r="B27" s="244" t="s">
        <v>85</v>
      </c>
      <c r="C27" s="245">
        <f>C28</f>
        <v>4246</v>
      </c>
      <c r="D27" s="235">
        <f>C29</f>
        <v>6.0000000000000001E-3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4246</v>
      </c>
      <c r="D28" s="235"/>
      <c r="E28" s="236"/>
      <c r="F28" s="246"/>
      <c r="G28" s="247"/>
    </row>
    <row r="29" spans="1:7" s="214" customFormat="1" ht="13.5" customHeight="1">
      <c r="A29" s="779" t="s">
        <v>347</v>
      </c>
      <c r="B29" s="248" t="s">
        <v>425</v>
      </c>
      <c r="C29" s="238">
        <f>ROUND(C21*F27*'数据-取费表'!B21/'数据-取费表'!B20,4)</f>
        <v>6.0000000000000001E-3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30111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59</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54</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v>
      </c>
      <c r="D37" s="217">
        <f>'数据-汇总表'!E3</f>
        <v>120.57</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2</v>
      </c>
      <c r="D39" s="232"/>
      <c r="E39" s="232"/>
      <c r="F39" s="233"/>
      <c r="G39" s="1066" t="s">
        <v>433</v>
      </c>
    </row>
    <row r="40" spans="1:7" s="214" customFormat="1" ht="13.5" customHeight="1">
      <c r="A40" s="776" t="s">
        <v>339</v>
      </c>
      <c r="B40" s="210" t="s">
        <v>78</v>
      </c>
      <c r="C40" s="262">
        <f>F21</f>
        <v>0.03</v>
      </c>
      <c r="D40" s="236" t="s">
        <v>102</v>
      </c>
      <c r="E40" s="232"/>
      <c r="F40" s="233"/>
      <c r="G40" s="234" t="s">
        <v>93</v>
      </c>
    </row>
    <row r="41" spans="1:7" s="214" customFormat="1" ht="13.5" customHeight="1">
      <c r="A41" s="776" t="s">
        <v>340</v>
      </c>
      <c r="B41" s="210" t="s">
        <v>80</v>
      </c>
      <c r="C41" s="232">
        <f ca="1">ROUND(SUM(C42:C43),0)</f>
        <v>3</v>
      </c>
      <c r="D41" s="235">
        <f ca="1">C44</f>
        <v>1.2999999999999999E-3</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3</v>
      </c>
      <c r="D42" s="238"/>
      <c r="E42" s="238"/>
      <c r="F42" s="239"/>
      <c r="G42" s="3645" t="s">
        <v>94</v>
      </c>
    </row>
    <row r="43" spans="1:7" ht="13.5" customHeight="1">
      <c r="A43" s="779" t="s">
        <v>347</v>
      </c>
      <c r="B43" s="215" t="s">
        <v>426</v>
      </c>
      <c r="C43" s="238">
        <f ca="1">ROUND(IF('数据-取费表'!B22&lt;=1,C39*F22*'数据-取费表'!B21/2,C39*(POWER((1+F22),'数据-取费表'!B21/2)-1)),0)</f>
        <v>0</v>
      </c>
      <c r="D43" s="238"/>
      <c r="E43" s="238"/>
      <c r="F43" s="239"/>
      <c r="G43" s="3646"/>
    </row>
    <row r="44" spans="1:7" ht="13.5" customHeight="1">
      <c r="A44" s="779" t="s">
        <v>348</v>
      </c>
      <c r="B44" s="215" t="s">
        <v>428</v>
      </c>
      <c r="C44" s="238">
        <f ca="1">ROUND(IF('数据-取费表'!B22&lt;=1,C40*F22*'数据-取费表'!B21/2,C40*(POWER((1+F22),'数据-取费表'!B21/2)-1)),4)</f>
        <v>1.2999999999999999E-3</v>
      </c>
      <c r="D44" s="238"/>
      <c r="E44" s="238"/>
      <c r="F44" s="239"/>
      <c r="G44" s="3647"/>
    </row>
    <row r="45" spans="1:7" s="214" customFormat="1" ht="13.5" customHeight="1">
      <c r="A45" s="776" t="s">
        <v>341</v>
      </c>
      <c r="B45" s="244" t="s">
        <v>85</v>
      </c>
      <c r="C45" s="245">
        <f>C46</f>
        <v>12</v>
      </c>
      <c r="D45" s="235">
        <f>C47</f>
        <v>6.0000000000000001E-3</v>
      </c>
      <c r="E45" s="236" t="s">
        <v>102</v>
      </c>
      <c r="F45" s="246"/>
      <c r="G45" s="247" t="s">
        <v>434</v>
      </c>
    </row>
    <row r="46" spans="1:7" s="214" customFormat="1" ht="13.5" customHeight="1">
      <c r="A46" s="779" t="s">
        <v>349</v>
      </c>
      <c r="B46" s="248" t="s">
        <v>427</v>
      </c>
      <c r="C46" s="249">
        <f>ROUND((C33+C39)*F27,0)</f>
        <v>12</v>
      </c>
      <c r="D46" s="263"/>
      <c r="E46" s="236"/>
      <c r="F46" s="246"/>
      <c r="G46" s="247"/>
    </row>
    <row r="47" spans="1:7" s="214" customFormat="1" ht="13.5" customHeight="1">
      <c r="A47" s="779" t="s">
        <v>347</v>
      </c>
      <c r="B47" s="248" t="s">
        <v>429</v>
      </c>
      <c r="C47" s="238">
        <f>ROUND(C40*F27,4)</f>
        <v>6.0000000000000001E-3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84</v>
      </c>
      <c r="D49" s="232"/>
      <c r="E49" s="232"/>
      <c r="F49" s="264"/>
      <c r="G49" s="234" t="s">
        <v>435</v>
      </c>
    </row>
    <row r="50" spans="1:7" s="258" customFormat="1" ht="24">
      <c r="A50" s="776" t="s">
        <v>344</v>
      </c>
      <c r="B50" s="210" t="s">
        <v>97</v>
      </c>
      <c r="C50" s="232"/>
      <c r="D50" s="232"/>
      <c r="E50" s="232"/>
      <c r="F50" s="264">
        <f>IF('数据-取费表'!B24=0,'数据-取费表'!N16,1)</f>
        <v>0.8</v>
      </c>
      <c r="G50" s="247" t="s">
        <v>98</v>
      </c>
    </row>
    <row r="51" spans="1:7" ht="16.5" customHeight="1">
      <c r="A51" s="776" t="s">
        <v>345</v>
      </c>
      <c r="B51" s="210" t="s">
        <v>105</v>
      </c>
      <c r="C51" s="232">
        <f ca="1">ROUND(C49*F50,0)</f>
        <v>67</v>
      </c>
      <c r="D51" s="232"/>
      <c r="E51" s="232"/>
      <c r="F51" s="264"/>
      <c r="G51" s="234" t="s">
        <v>37</v>
      </c>
    </row>
    <row r="52" spans="1:7" s="208" customFormat="1" ht="16.5" thickBot="1">
      <c r="A52" s="265" t="s">
        <v>38</v>
      </c>
      <c r="B52" s="266"/>
      <c r="C52" s="267">
        <f ca="1">C31+C51</f>
        <v>30178</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估价结果一览表（市场价值不需“结果表-1”）</v>
      </c>
      <c r="B3" s="3468"/>
      <c r="C3" s="3468"/>
      <c r="D3" s="3468"/>
      <c r="E3" s="3468"/>
    </row>
    <row r="4" spans="1:5" ht="19.5" thickBot="1">
      <c r="A4" s="1492"/>
      <c r="B4" s="3466" t="s">
        <v>917</v>
      </c>
      <c r="C4" s="3466"/>
      <c r="D4" s="3466"/>
      <c r="E4" s="1492"/>
    </row>
    <row r="5" spans="1:5" ht="16.5" thickTop="1">
      <c r="A5" s="1490"/>
      <c r="B5" s="3464" t="s">
        <v>909</v>
      </c>
      <c r="C5" s="1493" t="s">
        <v>910</v>
      </c>
      <c r="D5" s="849">
        <f ca="1">结果表!H101</f>
        <v>398</v>
      </c>
      <c r="E5" s="1490"/>
    </row>
    <row r="6" spans="1:5" ht="15.75">
      <c r="A6" s="1490"/>
      <c r="B6" s="3464"/>
      <c r="C6" s="1493" t="s">
        <v>911</v>
      </c>
      <c r="D6" s="849" t="str">
        <f ca="1">NUMBERSTRING(INT(D5*10000),2)&amp;"元整"</f>
        <v>叁佰玖拾捌万元整</v>
      </c>
      <c r="E6" s="1490"/>
    </row>
    <row r="7" spans="1:5" ht="15.75">
      <c r="A7" s="1490"/>
      <c r="B7" s="3469"/>
      <c r="C7" s="1494" t="s">
        <v>912</v>
      </c>
      <c r="D7" s="850">
        <f ca="1">结果表!H102</f>
        <v>33001</v>
      </c>
      <c r="E7" s="1490"/>
    </row>
    <row r="8" spans="1:5" ht="15.75">
      <c r="A8" s="1490"/>
      <c r="B8" s="3470" t="str">
        <f>结果表!E103</f>
        <v>2.估价师知悉的法定优先受偿款</v>
      </c>
      <c r="C8" s="1495" t="s">
        <v>913</v>
      </c>
      <c r="D8" s="850">
        <f>结果表!H103</f>
        <v>0</v>
      </c>
      <c r="E8" s="1490"/>
    </row>
    <row r="9" spans="1:5" ht="15.75">
      <c r="A9" s="1490"/>
      <c r="B9" s="3472"/>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3" t="str">
        <f>结果表!E107</f>
        <v>3.房地产抵押价值</v>
      </c>
      <c r="C13" s="1498" t="s">
        <v>910</v>
      </c>
      <c r="D13" s="852">
        <f ca="1">结果表!H107</f>
        <v>398</v>
      </c>
      <c r="E13" s="1490"/>
    </row>
    <row r="14" spans="1:5" ht="15.75">
      <c r="A14" s="1490"/>
      <c r="B14" s="3464"/>
      <c r="C14" s="1493" t="s">
        <v>911</v>
      </c>
      <c r="D14" s="849" t="str">
        <f ca="1">NUMBERSTRING(INT(D13*10000),2)&amp;"元整"</f>
        <v>叁佰玖拾捌万元整</v>
      </c>
      <c r="E14" s="1490"/>
    </row>
    <row r="15" spans="1:5" ht="15">
      <c r="A15" s="1490"/>
      <c r="B15" s="3469"/>
      <c r="C15" s="1494" t="s">
        <v>921</v>
      </c>
      <c r="D15" s="858">
        <f ca="1">结果表!H108</f>
        <v>33001</v>
      </c>
      <c r="E15" s="1490"/>
    </row>
    <row r="16" spans="1:5" ht="15">
      <c r="A16" s="1490"/>
      <c r="B16" s="3470" t="str">
        <f>结果表!E109</f>
        <v>——</v>
      </c>
      <c r="C16" s="1498" t="s">
        <v>922</v>
      </c>
      <c r="D16" s="1499" t="str">
        <f>结果表!H109</f>
        <v>——</v>
      </c>
      <c r="E16" s="1490"/>
    </row>
    <row r="17" spans="1:5" ht="15.75">
      <c r="A17" s="1490"/>
      <c r="B17" s="3471"/>
      <c r="C17" s="1493" t="s">
        <v>923</v>
      </c>
      <c r="D17" s="849" t="e">
        <f>NUMBERSTRING(INT(D16*10000),2)&amp;"元整"</f>
        <v>#VALUE!</v>
      </c>
      <c r="E17" s="1490"/>
    </row>
    <row r="18" spans="1:5" ht="15">
      <c r="A18" s="1490"/>
      <c r="B18" s="3472"/>
      <c r="C18" s="1494" t="s">
        <v>912</v>
      </c>
      <c r="D18" s="858" t="str">
        <f>结果表!H110</f>
        <v>——</v>
      </c>
      <c r="E18" s="1490"/>
    </row>
    <row r="19" spans="1:5" ht="15.75">
      <c r="A19" s="1490"/>
      <c r="B19" s="3463" t="str">
        <f>结果表!E111</f>
        <v>——</v>
      </c>
      <c r="C19" s="1498" t="s">
        <v>910</v>
      </c>
      <c r="D19" s="850" t="str">
        <f>结果表!H111</f>
        <v>——</v>
      </c>
      <c r="E19" s="1490"/>
    </row>
    <row r="20" spans="1:5" ht="15.75">
      <c r="A20" s="1490"/>
      <c r="B20" s="3464"/>
      <c r="C20" s="1493" t="s">
        <v>923</v>
      </c>
      <c r="D20" s="849" t="e">
        <f>NUMBERSTRING(INT(D19*10000),2)&amp;"元整"</f>
        <v>#VALUE!</v>
      </c>
      <c r="E20" s="1490"/>
    </row>
    <row r="21" spans="1:5" ht="15.75" thickBot="1">
      <c r="A21" s="1490"/>
      <c r="B21" s="3465"/>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84" t="s">
        <v>2831</v>
      </c>
      <c r="B1" s="3784"/>
      <c r="C1" s="3784"/>
      <c r="D1" s="3784"/>
      <c r="E1" s="3784"/>
      <c r="F1" s="3784"/>
      <c r="G1" s="3785"/>
      <c r="I1" s="3217" t="s">
        <v>2832</v>
      </c>
      <c r="J1" s="3218" t="s">
        <v>2833</v>
      </c>
      <c r="K1" s="3218" t="s">
        <v>2834</v>
      </c>
      <c r="L1" s="3218" t="s">
        <v>2835</v>
      </c>
      <c r="M1" s="3218" t="s">
        <v>2836</v>
      </c>
      <c r="N1" s="3218" t="s">
        <v>2837</v>
      </c>
      <c r="O1" s="3218" t="s">
        <v>2838</v>
      </c>
      <c r="P1" s="3218" t="s">
        <v>2839</v>
      </c>
      <c r="Q1" s="3218" t="s">
        <v>2840</v>
      </c>
      <c r="R1" s="3218" t="s">
        <v>2841</v>
      </c>
      <c r="S1" s="3218" t="s">
        <v>2842</v>
      </c>
      <c r="T1" s="3219" t="s">
        <v>2843</v>
      </c>
    </row>
    <row r="2" spans="1:20" ht="12" thickBot="1">
      <c r="A2" s="3221" t="s">
        <v>2844</v>
      </c>
      <c r="B2" s="3221"/>
      <c r="C2" s="3221"/>
      <c r="D2" s="3221"/>
      <c r="E2" s="3221"/>
      <c r="F2" s="3221"/>
      <c r="G2" s="3222" t="s">
        <v>2845</v>
      </c>
      <c r="I2" s="3223" t="s">
        <v>2846</v>
      </c>
      <c r="J2" s="3223" t="s">
        <v>2847</v>
      </c>
      <c r="K2" s="3223" t="s">
        <v>2848</v>
      </c>
      <c r="L2" s="3223" t="s">
        <v>2849</v>
      </c>
      <c r="M2" s="3223" t="s">
        <v>2850</v>
      </c>
      <c r="N2" s="3223" t="s">
        <v>2851</v>
      </c>
      <c r="O2" s="3223" t="s">
        <v>2852</v>
      </c>
      <c r="P2" s="3223" t="s">
        <v>2853</v>
      </c>
      <c r="Q2" s="3223" t="s">
        <v>2854</v>
      </c>
      <c r="R2" s="3223" t="s">
        <v>2855</v>
      </c>
      <c r="S2" s="3223" t="s">
        <v>2856</v>
      </c>
      <c r="T2" s="3223" t="s">
        <v>2857</v>
      </c>
    </row>
    <row r="3" spans="1:20" s="3229" customFormat="1">
      <c r="A3" s="3782" t="s">
        <v>2858</v>
      </c>
      <c r="B3" s="3224"/>
      <c r="C3" s="3225" t="s">
        <v>2801</v>
      </c>
      <c r="D3" s="3225" t="s">
        <v>2859</v>
      </c>
      <c r="E3" s="3225" t="s">
        <v>2803</v>
      </c>
      <c r="F3" s="3225" t="s">
        <v>2860</v>
      </c>
      <c r="G3" s="3225" t="s">
        <v>2621</v>
      </c>
      <c r="H3" s="3226"/>
      <c r="I3" s="3227" t="s">
        <v>2861</v>
      </c>
      <c r="J3" s="3228" t="s">
        <v>128</v>
      </c>
      <c r="K3" s="3228" t="s">
        <v>129</v>
      </c>
      <c r="L3" s="3227" t="s">
        <v>130</v>
      </c>
      <c r="M3" s="3227" t="s">
        <v>131</v>
      </c>
      <c r="N3" s="3227" t="s">
        <v>132</v>
      </c>
      <c r="O3" s="3227" t="s">
        <v>133</v>
      </c>
      <c r="P3" s="3227" t="s">
        <v>134</v>
      </c>
      <c r="Q3" s="3227" t="s">
        <v>135</v>
      </c>
      <c r="R3" s="3227" t="s">
        <v>136</v>
      </c>
      <c r="S3" s="3227" t="s">
        <v>2862</v>
      </c>
      <c r="T3" s="3227" t="s">
        <v>2863</v>
      </c>
    </row>
    <row r="4" spans="1:20" s="3229" customFormat="1" ht="12" thickBot="1">
      <c r="A4" s="3783"/>
      <c r="B4" s="3230" t="s">
        <v>2864</v>
      </c>
      <c r="C4" s="3230" t="s">
        <v>2865</v>
      </c>
      <c r="D4" s="3230" t="s">
        <v>2865</v>
      </c>
      <c r="E4" s="3230" t="s">
        <v>2865</v>
      </c>
      <c r="F4" s="3231" t="s">
        <v>2865</v>
      </c>
      <c r="G4" s="3231" t="s">
        <v>2865</v>
      </c>
      <c r="H4" s="3226"/>
      <c r="I4" s="3228" t="s">
        <v>137</v>
      </c>
      <c r="J4" s="3228" t="s">
        <v>111</v>
      </c>
      <c r="K4" s="3228" t="s">
        <v>138</v>
      </c>
      <c r="L4" s="3227" t="s">
        <v>139</v>
      </c>
      <c r="M4" s="3227" t="s">
        <v>140</v>
      </c>
      <c r="N4" s="3227" t="s">
        <v>141</v>
      </c>
      <c r="O4" s="3227" t="s">
        <v>142</v>
      </c>
      <c r="P4" s="3227" t="s">
        <v>143</v>
      </c>
      <c r="Q4" s="3227" t="s">
        <v>2866</v>
      </c>
      <c r="R4" s="3227" t="s">
        <v>2867</v>
      </c>
      <c r="S4" s="3227" t="s">
        <v>2868</v>
      </c>
      <c r="T4" s="3227" t="s">
        <v>2869</v>
      </c>
    </row>
    <row r="5" spans="1:20">
      <c r="A5" s="3232" t="s">
        <v>2832</v>
      </c>
      <c r="B5" s="3223" t="s">
        <v>2846</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2870</v>
      </c>
      <c r="R5" s="3227" t="s">
        <v>2871</v>
      </c>
      <c r="S5" s="3227" t="s">
        <v>153</v>
      </c>
      <c r="T5" s="3227" t="s">
        <v>2872</v>
      </c>
    </row>
    <row r="6" spans="1:20" ht="12" thickBot="1">
      <c r="A6" s="3227" t="s">
        <v>144</v>
      </c>
      <c r="B6" s="3227" t="s">
        <v>2861</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2873</v>
      </c>
      <c r="Q6" s="3227" t="s">
        <v>2874</v>
      </c>
      <c r="R6" s="3227" t="s">
        <v>161</v>
      </c>
      <c r="S6" s="3227" t="s">
        <v>2875</v>
      </c>
      <c r="T6" s="3227" t="s">
        <v>2876</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2877</v>
      </c>
      <c r="Q7" s="3227" t="s">
        <v>2878</v>
      </c>
      <c r="R7" s="3227" t="s">
        <v>2879</v>
      </c>
      <c r="S7" s="3227" t="s">
        <v>2880</v>
      </c>
      <c r="T7" s="3227" t="s">
        <v>2881</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2882</v>
      </c>
      <c r="Q8" s="3227" t="s">
        <v>174</v>
      </c>
      <c r="R8" s="3227" t="s">
        <v>2883</v>
      </c>
      <c r="S8" s="3227" t="s">
        <v>2884</v>
      </c>
      <c r="T8" s="3234" t="s">
        <v>2885</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2886</v>
      </c>
      <c r="Q9" s="3227" t="s">
        <v>182</v>
      </c>
      <c r="R9" s="3227" t="s">
        <v>183</v>
      </c>
      <c r="S9" s="3227" t="s">
        <v>200</v>
      </c>
    </row>
    <row r="10" spans="1:20">
      <c r="A10" s="3232" t="s">
        <v>184</v>
      </c>
      <c r="B10" s="3223" t="s">
        <v>2847</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2887</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2888</v>
      </c>
      <c r="P11" s="3227" t="s">
        <v>191</v>
      </c>
      <c r="Q11" s="3227" t="s">
        <v>199</v>
      </c>
      <c r="R11" s="3227" t="s">
        <v>2889</v>
      </c>
      <c r="S11" s="3227" t="s">
        <v>2890</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2891</v>
      </c>
      <c r="P12" s="3227" t="s">
        <v>2892</v>
      </c>
      <c r="Q12" s="3227" t="s">
        <v>2893</v>
      </c>
      <c r="R12" s="3227" t="s">
        <v>2894</v>
      </c>
      <c r="S12" s="3227" t="s">
        <v>2895</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2896</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2897</v>
      </c>
      <c r="K14" s="3228" t="s">
        <v>215</v>
      </c>
      <c r="L14" s="3227" t="s">
        <v>216</v>
      </c>
      <c r="M14" s="3227" t="s">
        <v>217</v>
      </c>
      <c r="N14" s="3227" t="s">
        <v>218</v>
      </c>
      <c r="O14" s="3227" t="s">
        <v>240</v>
      </c>
      <c r="P14" s="3227" t="s">
        <v>213</v>
      </c>
      <c r="Q14" s="3227" t="s">
        <v>2898</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2899</v>
      </c>
      <c r="P15" s="3227" t="s">
        <v>2900</v>
      </c>
      <c r="Q15" s="3227" t="s">
        <v>242</v>
      </c>
      <c r="R15" s="3227" t="s">
        <v>2901</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2902</v>
      </c>
      <c r="P16" s="3227" t="s">
        <v>227</v>
      </c>
      <c r="Q16" s="3227" t="s">
        <v>250</v>
      </c>
      <c r="R16" s="3227" t="s">
        <v>207</v>
      </c>
      <c r="S16" s="3227" t="s">
        <v>2903</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2904</v>
      </c>
      <c r="P17" s="3227" t="s">
        <v>2905</v>
      </c>
      <c r="Q17" s="3227" t="s">
        <v>256</v>
      </c>
      <c r="R17" s="3227" t="s">
        <v>2906</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2907</v>
      </c>
      <c r="P18" s="3227" t="s">
        <v>241</v>
      </c>
      <c r="Q18" s="3227" t="s">
        <v>2908</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2909</v>
      </c>
      <c r="P19" s="3227" t="s">
        <v>249</v>
      </c>
      <c r="Q19" s="3227" t="s">
        <v>2910</v>
      </c>
      <c r="R19" s="3227" t="s">
        <v>265</v>
      </c>
      <c r="S19" s="3227" t="s">
        <v>2911</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2912</v>
      </c>
      <c r="P20" s="3227" t="s">
        <v>2913</v>
      </c>
      <c r="Q20" s="3227" t="s">
        <v>290</v>
      </c>
      <c r="R20" s="3227" t="s">
        <v>2914</v>
      </c>
      <c r="S20" s="3227" t="s">
        <v>277</v>
      </c>
    </row>
    <row r="21" spans="1:19" ht="14.25" customHeight="1" thickBot="1">
      <c r="A21" s="3227" t="s">
        <v>184</v>
      </c>
      <c r="B21" s="3228" t="s">
        <v>208</v>
      </c>
      <c r="C21" s="3227">
        <v>32370</v>
      </c>
      <c r="D21" s="3227">
        <v>26730</v>
      </c>
      <c r="E21" s="3227">
        <v>26640</v>
      </c>
      <c r="F21" s="3227"/>
      <c r="G21" s="3227">
        <v>19440</v>
      </c>
      <c r="J21" s="3234" t="s">
        <v>2915</v>
      </c>
      <c r="K21" s="3228" t="s">
        <v>267</v>
      </c>
      <c r="L21" s="3227" t="s">
        <v>268</v>
      </c>
      <c r="M21" s="3227" t="s">
        <v>269</v>
      </c>
      <c r="N21" s="3227" t="s">
        <v>270</v>
      </c>
      <c r="O21" s="3227" t="s">
        <v>264</v>
      </c>
      <c r="P21" s="3227" t="s">
        <v>283</v>
      </c>
      <c r="Q21" s="3227" t="s">
        <v>293</v>
      </c>
      <c r="R21" s="3227" t="s">
        <v>2916</v>
      </c>
      <c r="S21" s="3234" t="s">
        <v>2917</v>
      </c>
    </row>
    <row r="22" spans="1:19" ht="14.25" customHeight="1">
      <c r="A22" s="3227" t="s">
        <v>184</v>
      </c>
      <c r="B22" s="3228" t="s">
        <v>2897</v>
      </c>
      <c r="C22" s="3227">
        <v>29830</v>
      </c>
      <c r="D22" s="3227">
        <v>27600</v>
      </c>
      <c r="E22" s="3227">
        <v>28150</v>
      </c>
      <c r="F22" s="3227"/>
      <c r="G22" s="3227">
        <v>20080</v>
      </c>
      <c r="K22" s="3228" t="s">
        <v>2918</v>
      </c>
      <c r="L22" s="3227" t="s">
        <v>272</v>
      </c>
      <c r="M22" s="3227" t="s">
        <v>273</v>
      </c>
      <c r="N22" s="3227" t="s">
        <v>274</v>
      </c>
      <c r="O22" s="3227" t="s">
        <v>2919</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2920</v>
      </c>
      <c r="L23" s="3227" t="s">
        <v>278</v>
      </c>
      <c r="M23" s="3227" t="s">
        <v>279</v>
      </c>
      <c r="N23" s="3227" t="s">
        <v>2921</v>
      </c>
      <c r="O23" s="3227" t="s">
        <v>2922</v>
      </c>
      <c r="P23" s="3227" t="s">
        <v>289</v>
      </c>
      <c r="Q23" s="3227" t="s">
        <v>298</v>
      </c>
      <c r="R23" s="3227" t="s">
        <v>2923</v>
      </c>
    </row>
    <row r="24" spans="1:19" ht="14.25" customHeight="1">
      <c r="A24" s="3227" t="s">
        <v>184</v>
      </c>
      <c r="B24" s="3228" t="s">
        <v>230</v>
      </c>
      <c r="C24" s="3227">
        <v>27930</v>
      </c>
      <c r="D24" s="3227">
        <v>32260</v>
      </c>
      <c r="E24" s="3227">
        <v>32120</v>
      </c>
      <c r="F24" s="3227"/>
      <c r="G24" s="3227">
        <v>23470</v>
      </c>
      <c r="K24" s="3228" t="s">
        <v>2924</v>
      </c>
      <c r="L24" s="3227" t="s">
        <v>281</v>
      </c>
      <c r="M24" s="3227" t="s">
        <v>282</v>
      </c>
      <c r="N24" s="3227" t="s">
        <v>2925</v>
      </c>
      <c r="O24" s="3227" t="s">
        <v>285</v>
      </c>
      <c r="P24" s="3227" t="s">
        <v>2926</v>
      </c>
      <c r="Q24" s="3236" t="s">
        <v>2927</v>
      </c>
      <c r="R24" s="3227" t="s">
        <v>2928</v>
      </c>
    </row>
    <row r="25" spans="1:19" ht="14.25" customHeight="1">
      <c r="A25" s="3227" t="s">
        <v>184</v>
      </c>
      <c r="B25" s="3228" t="s">
        <v>235</v>
      </c>
      <c r="C25" s="3227">
        <v>32230</v>
      </c>
      <c r="D25" s="3227">
        <v>29640</v>
      </c>
      <c r="E25" s="3227">
        <v>29510</v>
      </c>
      <c r="F25" s="3227"/>
      <c r="G25" s="3227">
        <v>21560</v>
      </c>
      <c r="K25" s="3228" t="s">
        <v>2929</v>
      </c>
      <c r="L25" s="3227" t="s">
        <v>2930</v>
      </c>
      <c r="M25" s="3227" t="s">
        <v>284</v>
      </c>
      <c r="N25" s="3227" t="s">
        <v>292</v>
      </c>
      <c r="O25" s="3227" t="s">
        <v>288</v>
      </c>
      <c r="P25" s="3227" t="s">
        <v>275</v>
      </c>
      <c r="Q25" s="3236" t="s">
        <v>271</v>
      </c>
      <c r="R25" s="3227" t="s">
        <v>2931</v>
      </c>
    </row>
    <row r="26" spans="1:19" ht="14.25" customHeight="1" thickBot="1">
      <c r="A26" s="3227" t="s">
        <v>184</v>
      </c>
      <c r="B26" s="3228" t="s">
        <v>244</v>
      </c>
      <c r="C26" s="3227">
        <v>31690</v>
      </c>
      <c r="D26" s="3227">
        <v>27650</v>
      </c>
      <c r="E26" s="3227">
        <v>28200</v>
      </c>
      <c r="F26" s="3227"/>
      <c r="G26" s="3227">
        <v>20110</v>
      </c>
      <c r="K26" s="3233" t="s">
        <v>2932</v>
      </c>
      <c r="L26" s="3227" t="s">
        <v>2933</v>
      </c>
      <c r="M26" s="3227" t="s">
        <v>287</v>
      </c>
      <c r="N26" s="3227" t="s">
        <v>294</v>
      </c>
      <c r="O26" s="3227" t="s">
        <v>2934</v>
      </c>
      <c r="P26" s="3227" t="s">
        <v>2935</v>
      </c>
      <c r="Q26" s="3236" t="s">
        <v>276</v>
      </c>
      <c r="R26" s="3227" t="s">
        <v>2936</v>
      </c>
    </row>
    <row r="27" spans="1:19" ht="14.25" customHeight="1">
      <c r="A27" s="3227" t="s">
        <v>184</v>
      </c>
      <c r="B27" s="3228" t="s">
        <v>251</v>
      </c>
      <c r="C27" s="3227">
        <v>29610</v>
      </c>
      <c r="D27" s="3227">
        <v>27770</v>
      </c>
      <c r="E27" s="3227">
        <v>28300</v>
      </c>
      <c r="F27" s="3227"/>
      <c r="G27" s="3227">
        <v>20210</v>
      </c>
      <c r="L27" s="3227" t="s">
        <v>2937</v>
      </c>
      <c r="M27" s="3227" t="s">
        <v>291</v>
      </c>
      <c r="N27" s="3227" t="s">
        <v>297</v>
      </c>
      <c r="O27" s="3227" t="s">
        <v>2938</v>
      </c>
      <c r="P27" s="3227" t="s">
        <v>2939</v>
      </c>
      <c r="Q27" s="3227" t="s">
        <v>2940</v>
      </c>
      <c r="R27" s="3227" t="s">
        <v>2941</v>
      </c>
    </row>
    <row r="28" spans="1:19" ht="14.25" customHeight="1">
      <c r="A28" s="3227" t="s">
        <v>184</v>
      </c>
      <c r="B28" s="3228" t="s">
        <v>259</v>
      </c>
      <c r="C28" s="3227"/>
      <c r="D28" s="3227">
        <v>31520</v>
      </c>
      <c r="E28" s="3227">
        <v>31410</v>
      </c>
      <c r="F28" s="3227"/>
      <c r="G28" s="3227">
        <v>22940</v>
      </c>
      <c r="L28" s="3227" t="s">
        <v>2942</v>
      </c>
      <c r="M28" s="3227" t="s">
        <v>2943</v>
      </c>
      <c r="N28" s="3227" t="s">
        <v>2944</v>
      </c>
      <c r="O28" s="3227" t="s">
        <v>2945</v>
      </c>
      <c r="P28" s="3227" t="s">
        <v>2946</v>
      </c>
      <c r="Q28" s="3227" t="s">
        <v>2947</v>
      </c>
      <c r="R28" s="3227" t="s">
        <v>2948</v>
      </c>
    </row>
    <row r="29" spans="1:19" ht="14.25" customHeight="1" thickBot="1">
      <c r="A29" s="3235" t="s">
        <v>184</v>
      </c>
      <c r="B29" s="3237" t="s">
        <v>2915</v>
      </c>
      <c r="C29" s="3238"/>
      <c r="D29" s="3238">
        <v>29460</v>
      </c>
      <c r="E29" s="3238">
        <v>28640</v>
      </c>
      <c r="F29" s="3238"/>
      <c r="G29" s="3238">
        <v>21430</v>
      </c>
      <c r="L29" s="3227" t="s">
        <v>2949</v>
      </c>
      <c r="M29" s="3227" t="s">
        <v>2950</v>
      </c>
      <c r="N29" s="3227" t="s">
        <v>2951</v>
      </c>
      <c r="O29" s="3227" t="s">
        <v>2952</v>
      </c>
      <c r="P29" s="3227" t="s">
        <v>2953</v>
      </c>
      <c r="Q29" s="3227" t="s">
        <v>2954</v>
      </c>
      <c r="R29" s="3227" t="s">
        <v>280</v>
      </c>
    </row>
    <row r="30" spans="1:19" ht="14.25" customHeight="1">
      <c r="A30" s="3232" t="s">
        <v>296</v>
      </c>
      <c r="B30" s="3223" t="s">
        <v>2848</v>
      </c>
      <c r="C30" s="3223">
        <v>26890</v>
      </c>
      <c r="D30" s="3223">
        <v>26770</v>
      </c>
      <c r="E30" s="3223">
        <v>25700</v>
      </c>
      <c r="F30" s="3223">
        <v>8180</v>
      </c>
      <c r="G30" s="3239">
        <v>18740</v>
      </c>
      <c r="L30" s="3227" t="s">
        <v>2955</v>
      </c>
      <c r="M30" s="3227" t="s">
        <v>2956</v>
      </c>
      <c r="N30" s="3227" t="s">
        <v>2957</v>
      </c>
      <c r="O30" s="3227" t="s">
        <v>2958</v>
      </c>
      <c r="P30" s="3227" t="s">
        <v>2959</v>
      </c>
      <c r="Q30" s="3227" t="s">
        <v>2960</v>
      </c>
      <c r="R30" s="3227" t="s">
        <v>2961</v>
      </c>
    </row>
    <row r="31" spans="1:19" ht="14.25" customHeight="1">
      <c r="A31" s="3227" t="s">
        <v>296</v>
      </c>
      <c r="B31" s="3228" t="s">
        <v>129</v>
      </c>
      <c r="C31" s="3227">
        <v>24550</v>
      </c>
      <c r="D31" s="3227">
        <v>23990</v>
      </c>
      <c r="E31" s="3227">
        <v>22930</v>
      </c>
      <c r="F31" s="3227">
        <v>7470</v>
      </c>
      <c r="G31" s="3240">
        <v>16790</v>
      </c>
      <c r="L31" s="3227" t="s">
        <v>2962</v>
      </c>
      <c r="M31" s="3227" t="s">
        <v>2963</v>
      </c>
      <c r="N31" s="3227" t="s">
        <v>2964</v>
      </c>
      <c r="O31" s="3227" t="s">
        <v>2965</v>
      </c>
      <c r="P31" s="3227" t="s">
        <v>2966</v>
      </c>
      <c r="Q31" s="3227" t="s">
        <v>2967</v>
      </c>
      <c r="R31" s="3227" t="s">
        <v>2968</v>
      </c>
    </row>
    <row r="32" spans="1:19" ht="14.25" customHeight="1" thickBot="1">
      <c r="A32" s="3227" t="s">
        <v>296</v>
      </c>
      <c r="B32" s="3228" t="s">
        <v>138</v>
      </c>
      <c r="C32" s="3227">
        <v>27210</v>
      </c>
      <c r="D32" s="3227">
        <v>23240</v>
      </c>
      <c r="E32" s="3227">
        <v>23260</v>
      </c>
      <c r="F32" s="3227">
        <v>7130</v>
      </c>
      <c r="G32" s="3240">
        <v>16270</v>
      </c>
      <c r="L32" s="3227" t="s">
        <v>2969</v>
      </c>
      <c r="M32" s="3227" t="s">
        <v>2970</v>
      </c>
      <c r="N32" s="3227" t="s">
        <v>300</v>
      </c>
      <c r="O32" s="3227" t="s">
        <v>2971</v>
      </c>
      <c r="P32" s="3227" t="s">
        <v>299</v>
      </c>
      <c r="Q32" s="3227" t="s">
        <v>2972</v>
      </c>
      <c r="R32" s="3234" t="s">
        <v>2973</v>
      </c>
    </row>
    <row r="33" spans="1:17" ht="14.25" customHeight="1" thickBot="1">
      <c r="A33" s="3227" t="s">
        <v>296</v>
      </c>
      <c r="B33" s="3228" t="s">
        <v>147</v>
      </c>
      <c r="C33" s="3227">
        <v>27300</v>
      </c>
      <c r="D33" s="3227">
        <v>22980</v>
      </c>
      <c r="E33" s="3227">
        <v>24260</v>
      </c>
      <c r="F33" s="3227">
        <v>5860</v>
      </c>
      <c r="G33" s="3240">
        <v>16090</v>
      </c>
      <c r="L33" s="3234" t="s">
        <v>2974</v>
      </c>
      <c r="M33" s="3227" t="s">
        <v>2975</v>
      </c>
      <c r="N33" s="3227" t="s">
        <v>301</v>
      </c>
      <c r="O33" s="3227" t="s">
        <v>2976</v>
      </c>
      <c r="P33" s="3227" t="s">
        <v>2977</v>
      </c>
      <c r="Q33" s="3227" t="s">
        <v>2978</v>
      </c>
    </row>
    <row r="34" spans="1:17" ht="14.25" customHeight="1">
      <c r="A34" s="3227" t="s">
        <v>296</v>
      </c>
      <c r="B34" s="3228" t="s">
        <v>156</v>
      </c>
      <c r="C34" s="3227">
        <v>23090</v>
      </c>
      <c r="D34" s="3227">
        <v>23390</v>
      </c>
      <c r="E34" s="3227">
        <v>23510</v>
      </c>
      <c r="F34" s="3227">
        <v>6700</v>
      </c>
      <c r="G34" s="3240">
        <v>16370</v>
      </c>
      <c r="M34" s="3227" t="s">
        <v>2979</v>
      </c>
      <c r="N34" s="3227" t="s">
        <v>302</v>
      </c>
      <c r="O34" s="3227" t="s">
        <v>2980</v>
      </c>
      <c r="P34" s="3227" t="s">
        <v>2981</v>
      </c>
      <c r="Q34" s="3227" t="s">
        <v>2982</v>
      </c>
    </row>
    <row r="35" spans="1:17" ht="14.25" customHeight="1">
      <c r="A35" s="3227" t="s">
        <v>296</v>
      </c>
      <c r="B35" s="3228" t="s">
        <v>163</v>
      </c>
      <c r="C35" s="3227">
        <v>27270</v>
      </c>
      <c r="D35" s="3227">
        <v>24270</v>
      </c>
      <c r="E35" s="3227">
        <v>24950</v>
      </c>
      <c r="F35" s="3227">
        <v>6600</v>
      </c>
      <c r="G35" s="3240">
        <v>16990</v>
      </c>
      <c r="M35" s="3227" t="s">
        <v>2983</v>
      </c>
      <c r="N35" s="3227" t="s">
        <v>2984</v>
      </c>
      <c r="O35" s="3227" t="s">
        <v>2985</v>
      </c>
      <c r="P35" s="3227" t="s">
        <v>2986</v>
      </c>
      <c r="Q35" s="3227" t="s">
        <v>2987</v>
      </c>
    </row>
    <row r="36" spans="1:17" ht="14.25" customHeight="1">
      <c r="A36" s="3227" t="s">
        <v>296</v>
      </c>
      <c r="B36" s="3228" t="s">
        <v>169</v>
      </c>
      <c r="C36" s="3227">
        <v>23490</v>
      </c>
      <c r="D36" s="3227">
        <v>23020</v>
      </c>
      <c r="E36" s="3227">
        <v>25230</v>
      </c>
      <c r="F36" s="3227">
        <v>6780</v>
      </c>
      <c r="G36" s="3240">
        <v>16120</v>
      </c>
      <c r="M36" s="3227" t="s">
        <v>2988</v>
      </c>
      <c r="N36" s="3227" t="s">
        <v>2989</v>
      </c>
      <c r="O36" s="3227" t="s">
        <v>2990</v>
      </c>
      <c r="P36" s="3227" t="s">
        <v>2991</v>
      </c>
      <c r="Q36" s="3227" t="s">
        <v>2992</v>
      </c>
    </row>
    <row r="37" spans="1:17" ht="14.25" customHeight="1">
      <c r="A37" s="3227" t="s">
        <v>296</v>
      </c>
      <c r="B37" s="3228" t="s">
        <v>176</v>
      </c>
      <c r="C37" s="3227">
        <v>24380</v>
      </c>
      <c r="D37" s="3227">
        <v>22240</v>
      </c>
      <c r="E37" s="3227">
        <v>25980</v>
      </c>
      <c r="F37" s="3227">
        <v>8160</v>
      </c>
      <c r="G37" s="3240">
        <v>15570</v>
      </c>
      <c r="M37" s="3227" t="s">
        <v>2993</v>
      </c>
      <c r="N37" s="3227" t="s">
        <v>2994</v>
      </c>
      <c r="O37" s="3227" t="s">
        <v>2995</v>
      </c>
      <c r="P37" s="3227" t="s">
        <v>2996</v>
      </c>
      <c r="Q37" s="3227" t="s">
        <v>2997</v>
      </c>
    </row>
    <row r="38" spans="1:17" ht="14.25" customHeight="1">
      <c r="A38" s="3227" t="s">
        <v>296</v>
      </c>
      <c r="B38" s="3228" t="s">
        <v>186</v>
      </c>
      <c r="C38" s="3227">
        <v>23120</v>
      </c>
      <c r="D38" s="3227">
        <v>24630</v>
      </c>
      <c r="E38" s="3227">
        <v>25030</v>
      </c>
      <c r="F38" s="3227">
        <v>7710</v>
      </c>
      <c r="G38" s="3240">
        <v>17240</v>
      </c>
      <c r="M38" s="3227" t="s">
        <v>2998</v>
      </c>
      <c r="N38" s="3227" t="s">
        <v>2999</v>
      </c>
      <c r="O38" s="3227" t="s">
        <v>3000</v>
      </c>
      <c r="P38" s="3227" t="s">
        <v>3001</v>
      </c>
      <c r="Q38" s="3227" t="s">
        <v>3002</v>
      </c>
    </row>
    <row r="39" spans="1:17" ht="14.25" customHeight="1">
      <c r="A39" s="3227" t="s">
        <v>296</v>
      </c>
      <c r="B39" s="3228" t="s">
        <v>195</v>
      </c>
      <c r="C39" s="3227">
        <v>22330</v>
      </c>
      <c r="D39" s="3227">
        <v>21140</v>
      </c>
      <c r="E39" s="3227">
        <v>23970</v>
      </c>
      <c r="F39" s="3227">
        <v>7940</v>
      </c>
      <c r="G39" s="3240">
        <v>14790</v>
      </c>
      <c r="M39" s="3227" t="s">
        <v>3003</v>
      </c>
      <c r="N39" s="3227" t="s">
        <v>3004</v>
      </c>
      <c r="O39" s="3227" t="s">
        <v>3005</v>
      </c>
      <c r="P39" s="3227" t="s">
        <v>3006</v>
      </c>
      <c r="Q39" s="3227" t="s">
        <v>3007</v>
      </c>
    </row>
    <row r="40" spans="1:17" ht="14.25" customHeight="1">
      <c r="A40" s="3227" t="s">
        <v>296</v>
      </c>
      <c r="B40" s="3228" t="s">
        <v>202</v>
      </c>
      <c r="C40" s="3227">
        <v>24740</v>
      </c>
      <c r="D40" s="3227">
        <v>24690</v>
      </c>
      <c r="E40" s="3227">
        <v>22610</v>
      </c>
      <c r="F40" s="3227"/>
      <c r="G40" s="3240">
        <v>17280</v>
      </c>
      <c r="M40" s="3227" t="s">
        <v>3008</v>
      </c>
      <c r="N40" s="3227" t="s">
        <v>3009</v>
      </c>
      <c r="O40" s="3227" t="s">
        <v>3010</v>
      </c>
      <c r="P40" s="3227" t="s">
        <v>3011</v>
      </c>
      <c r="Q40" s="3227" t="s">
        <v>3012</v>
      </c>
    </row>
    <row r="41" spans="1:17" ht="14.25" customHeight="1" thickBot="1">
      <c r="A41" s="3227" t="s">
        <v>296</v>
      </c>
      <c r="B41" s="3228" t="s">
        <v>209</v>
      </c>
      <c r="C41" s="3227">
        <v>21220</v>
      </c>
      <c r="D41" s="3227">
        <v>21120</v>
      </c>
      <c r="E41" s="3227">
        <v>22590</v>
      </c>
      <c r="F41" s="3227"/>
      <c r="G41" s="3240">
        <v>14780</v>
      </c>
      <c r="M41" s="3234" t="s">
        <v>3013</v>
      </c>
      <c r="N41" s="3227" t="s">
        <v>3014</v>
      </c>
      <c r="O41" s="3227" t="s">
        <v>3015</v>
      </c>
      <c r="P41" s="3227" t="s">
        <v>3016</v>
      </c>
      <c r="Q41" s="3227" t="s">
        <v>3017</v>
      </c>
    </row>
    <row r="42" spans="1:17" ht="14.25" customHeight="1">
      <c r="A42" s="3227" t="s">
        <v>296</v>
      </c>
      <c r="B42" s="3228" t="s">
        <v>215</v>
      </c>
      <c r="C42" s="3227">
        <v>24800</v>
      </c>
      <c r="D42" s="3227">
        <v>22280</v>
      </c>
      <c r="E42" s="3227">
        <v>24350</v>
      </c>
      <c r="F42" s="3227"/>
      <c r="G42" s="3240">
        <v>15590</v>
      </c>
      <c r="N42" s="3227" t="s">
        <v>3018</v>
      </c>
      <c r="O42" s="3227" t="s">
        <v>3019</v>
      </c>
      <c r="P42" s="3227" t="s">
        <v>3020</v>
      </c>
      <c r="Q42" s="3227" t="s">
        <v>3021</v>
      </c>
    </row>
    <row r="43" spans="1:17" ht="14.25" customHeight="1">
      <c r="A43" s="3227" t="s">
        <v>3022</v>
      </c>
      <c r="B43" s="3228" t="s">
        <v>223</v>
      </c>
      <c r="C43" s="3227">
        <v>21210</v>
      </c>
      <c r="D43" s="3227">
        <v>21160</v>
      </c>
      <c r="E43" s="3227">
        <v>22650</v>
      </c>
      <c r="F43" s="3227"/>
      <c r="G43" s="3240">
        <v>14800</v>
      </c>
      <c r="N43" s="3227" t="s">
        <v>3023</v>
      </c>
      <c r="O43" s="3227" t="s">
        <v>3024</v>
      </c>
      <c r="P43" s="3227" t="s">
        <v>3025</v>
      </c>
      <c r="Q43" s="3227" t="s">
        <v>3026</v>
      </c>
    </row>
    <row r="44" spans="1:17" ht="14.25" customHeight="1" thickBot="1">
      <c r="A44" s="3227" t="s">
        <v>296</v>
      </c>
      <c r="B44" s="3228" t="s">
        <v>231</v>
      </c>
      <c r="C44" s="3227">
        <v>22370</v>
      </c>
      <c r="D44" s="3227">
        <v>23140</v>
      </c>
      <c r="E44" s="3227">
        <v>25090</v>
      </c>
      <c r="F44" s="3227"/>
      <c r="G44" s="3240">
        <v>16190</v>
      </c>
      <c r="N44" s="3227" t="s">
        <v>3027</v>
      </c>
      <c r="O44" s="3227" t="s">
        <v>3028</v>
      </c>
      <c r="P44" s="3234" t="s">
        <v>3029</v>
      </c>
      <c r="Q44" s="3227" t="s">
        <v>3030</v>
      </c>
    </row>
    <row r="45" spans="1:17" ht="14.25" customHeight="1" thickBot="1">
      <c r="A45" s="3227" t="s">
        <v>296</v>
      </c>
      <c r="B45" s="3228" t="s">
        <v>236</v>
      </c>
      <c r="C45" s="3227">
        <v>21240</v>
      </c>
      <c r="D45" s="3227">
        <v>27050</v>
      </c>
      <c r="E45" s="3227">
        <v>28000</v>
      </c>
      <c r="F45" s="3227"/>
      <c r="G45" s="3240">
        <v>18940</v>
      </c>
      <c r="N45" s="3227" t="s">
        <v>3031</v>
      </c>
      <c r="O45" s="3234" t="s">
        <v>3032</v>
      </c>
      <c r="Q45" s="3227" t="s">
        <v>3033</v>
      </c>
    </row>
    <row r="46" spans="1:17" ht="14.25" customHeight="1">
      <c r="A46" s="3227" t="s">
        <v>296</v>
      </c>
      <c r="B46" s="3228" t="s">
        <v>245</v>
      </c>
      <c r="C46" s="3227">
        <v>23240</v>
      </c>
      <c r="D46" s="3227">
        <v>23000</v>
      </c>
      <c r="E46" s="3227">
        <v>24980</v>
      </c>
      <c r="F46" s="3227"/>
      <c r="G46" s="3240">
        <v>16100</v>
      </c>
      <c r="N46" s="3227" t="s">
        <v>3034</v>
      </c>
      <c r="Q46" s="3227" t="s">
        <v>3035</v>
      </c>
    </row>
    <row r="47" spans="1:17" ht="14.25" customHeight="1">
      <c r="A47" s="3227" t="s">
        <v>296</v>
      </c>
      <c r="B47" s="3228" t="s">
        <v>252</v>
      </c>
      <c r="C47" s="3227">
        <v>27150</v>
      </c>
      <c r="D47" s="3227">
        <v>23310</v>
      </c>
      <c r="E47" s="3227">
        <v>25150</v>
      </c>
      <c r="F47" s="3227"/>
      <c r="G47" s="3240">
        <v>16310</v>
      </c>
      <c r="N47" s="3227" t="s">
        <v>3036</v>
      </c>
      <c r="Q47" s="3227" t="s">
        <v>3037</v>
      </c>
    </row>
    <row r="48" spans="1:17" ht="14.25" customHeight="1">
      <c r="A48" s="3227" t="s">
        <v>296</v>
      </c>
      <c r="B48" s="3228" t="s">
        <v>260</v>
      </c>
      <c r="C48" s="3227">
        <v>23100</v>
      </c>
      <c r="D48" s="3227">
        <v>21110</v>
      </c>
      <c r="E48" s="3227">
        <v>23080</v>
      </c>
      <c r="F48" s="3227"/>
      <c r="G48" s="3240">
        <v>14780</v>
      </c>
      <c r="N48" s="3227" t="s">
        <v>3038</v>
      </c>
      <c r="Q48" s="3227" t="s">
        <v>3039</v>
      </c>
    </row>
    <row r="49" spans="1:17" ht="14.25" customHeight="1">
      <c r="A49" s="3227" t="s">
        <v>296</v>
      </c>
      <c r="B49" s="3228" t="s">
        <v>267</v>
      </c>
      <c r="C49" s="3227">
        <v>23400</v>
      </c>
      <c r="D49" s="3227">
        <v>22920</v>
      </c>
      <c r="E49" s="3227">
        <v>24900</v>
      </c>
      <c r="F49" s="3227"/>
      <c r="G49" s="3240">
        <v>16040</v>
      </c>
      <c r="N49" s="3227" t="s">
        <v>3040</v>
      </c>
      <c r="Q49" s="3227" t="s">
        <v>3041</v>
      </c>
    </row>
    <row r="50" spans="1:17" ht="14.25" customHeight="1">
      <c r="A50" s="3227" t="s">
        <v>296</v>
      </c>
      <c r="B50" s="3228" t="s">
        <v>2918</v>
      </c>
      <c r="C50" s="3227">
        <v>21200</v>
      </c>
      <c r="D50" s="3227">
        <v>26540</v>
      </c>
      <c r="E50" s="3227">
        <v>23200</v>
      </c>
      <c r="F50" s="3227"/>
      <c r="G50" s="3240">
        <v>18580</v>
      </c>
      <c r="N50" s="3227" t="s">
        <v>3042</v>
      </c>
      <c r="Q50" s="3228" t="s">
        <v>3043</v>
      </c>
    </row>
    <row r="51" spans="1:17" ht="14.25" customHeight="1" thickBot="1">
      <c r="A51" s="3227" t="s">
        <v>296</v>
      </c>
      <c r="B51" s="3228" t="s">
        <v>2920</v>
      </c>
      <c r="C51" s="3227">
        <v>23000</v>
      </c>
      <c r="D51" s="3227">
        <v>23460</v>
      </c>
      <c r="E51" s="3227">
        <v>25290</v>
      </c>
      <c r="F51" s="3227"/>
      <c r="G51" s="3240">
        <v>16420</v>
      </c>
      <c r="N51" s="3227" t="s">
        <v>3044</v>
      </c>
      <c r="Q51" s="3234" t="s">
        <v>3045</v>
      </c>
    </row>
    <row r="52" spans="1:17" ht="14.25" customHeight="1">
      <c r="A52" s="3227" t="s">
        <v>296</v>
      </c>
      <c r="B52" s="3228" t="s">
        <v>2924</v>
      </c>
      <c r="C52" s="3227">
        <v>26660</v>
      </c>
      <c r="D52" s="3227">
        <v>22350</v>
      </c>
      <c r="E52" s="3227">
        <v>22920</v>
      </c>
      <c r="F52" s="3227"/>
      <c r="G52" s="3240">
        <v>15640</v>
      </c>
      <c r="N52" s="3227" t="s">
        <v>3046</v>
      </c>
    </row>
    <row r="53" spans="1:17" ht="14.25" customHeight="1">
      <c r="A53" s="3227" t="s">
        <v>296</v>
      </c>
      <c r="B53" s="3228" t="s">
        <v>2929</v>
      </c>
      <c r="C53" s="3227">
        <v>23580</v>
      </c>
      <c r="D53" s="3227"/>
      <c r="E53" s="3227">
        <v>24280</v>
      </c>
      <c r="F53" s="3227"/>
      <c r="G53" s="3240"/>
      <c r="N53" s="3227" t="s">
        <v>3047</v>
      </c>
    </row>
    <row r="54" spans="1:17" ht="14.25" customHeight="1" thickBot="1">
      <c r="A54" s="3241" t="s">
        <v>296</v>
      </c>
      <c r="B54" s="3233" t="s">
        <v>2932</v>
      </c>
      <c r="C54" s="3234">
        <v>22460</v>
      </c>
      <c r="D54" s="3234"/>
      <c r="E54" s="3234"/>
      <c r="F54" s="3234"/>
      <c r="G54" s="3242"/>
      <c r="N54" s="3227" t="s">
        <v>3048</v>
      </c>
    </row>
    <row r="55" spans="1:17" ht="14.25" customHeight="1">
      <c r="A55" s="3232" t="s">
        <v>110</v>
      </c>
      <c r="B55" s="3223" t="s">
        <v>3049</v>
      </c>
      <c r="C55" s="3227">
        <v>21970</v>
      </c>
      <c r="D55" s="3227">
        <v>20370</v>
      </c>
      <c r="E55" s="3227">
        <v>20180</v>
      </c>
      <c r="F55" s="3227">
        <v>5730</v>
      </c>
      <c r="G55" s="3227">
        <v>13820</v>
      </c>
      <c r="N55" s="3227" t="s">
        <v>3050</v>
      </c>
    </row>
    <row r="56" spans="1:17" ht="14.25" customHeight="1">
      <c r="A56" s="3227" t="s">
        <v>110</v>
      </c>
      <c r="B56" s="3227" t="s">
        <v>130</v>
      </c>
      <c r="C56" s="3227">
        <v>20470</v>
      </c>
      <c r="D56" s="3227">
        <v>20700</v>
      </c>
      <c r="E56" s="3227">
        <v>20380</v>
      </c>
      <c r="F56" s="3227">
        <v>4760</v>
      </c>
      <c r="G56" s="3227">
        <v>14050</v>
      </c>
      <c r="N56" s="3227" t="s">
        <v>3051</v>
      </c>
    </row>
    <row r="57" spans="1:17" ht="14.25" customHeight="1">
      <c r="A57" s="3227" t="s">
        <v>110</v>
      </c>
      <c r="B57" s="3227" t="s">
        <v>139</v>
      </c>
      <c r="C57" s="3227">
        <v>20790</v>
      </c>
      <c r="D57" s="3227">
        <v>21370</v>
      </c>
      <c r="E57" s="3227">
        <v>20890</v>
      </c>
      <c r="F57" s="3227">
        <v>4910</v>
      </c>
      <c r="G57" s="3227">
        <v>14510</v>
      </c>
      <c r="N57" s="3227" t="s">
        <v>3052</v>
      </c>
    </row>
    <row r="58" spans="1:17" ht="14.25" customHeight="1">
      <c r="A58" s="3227" t="s">
        <v>110</v>
      </c>
      <c r="B58" s="3227" t="s">
        <v>148</v>
      </c>
      <c r="C58" s="3227">
        <v>21460</v>
      </c>
      <c r="D58" s="3227">
        <v>20920</v>
      </c>
      <c r="E58" s="3227">
        <v>23410</v>
      </c>
      <c r="F58" s="3227">
        <v>5100</v>
      </c>
      <c r="G58" s="3227">
        <v>14200</v>
      </c>
      <c r="N58" s="3227" t="s">
        <v>3053</v>
      </c>
    </row>
    <row r="59" spans="1:17" ht="14.25" customHeight="1">
      <c r="A59" s="3227" t="s">
        <v>110</v>
      </c>
      <c r="B59" s="3227" t="s">
        <v>157</v>
      </c>
      <c r="C59" s="3227">
        <v>21000</v>
      </c>
      <c r="D59" s="3227">
        <v>21550</v>
      </c>
      <c r="E59" s="3227">
        <v>21150</v>
      </c>
      <c r="F59" s="3227">
        <v>5250</v>
      </c>
      <c r="G59" s="3227">
        <v>14630</v>
      </c>
      <c r="N59" s="3227" t="s">
        <v>3054</v>
      </c>
    </row>
    <row r="60" spans="1:17" ht="14.25" customHeight="1">
      <c r="A60" s="3227" t="s">
        <v>110</v>
      </c>
      <c r="B60" s="3227" t="s">
        <v>164</v>
      </c>
      <c r="C60" s="3227">
        <v>21640</v>
      </c>
      <c r="D60" s="3227">
        <v>21260</v>
      </c>
      <c r="E60" s="3227">
        <v>24040</v>
      </c>
      <c r="F60" s="3227">
        <v>4470</v>
      </c>
      <c r="G60" s="3227">
        <v>14430</v>
      </c>
      <c r="N60" s="3227" t="s">
        <v>3055</v>
      </c>
    </row>
    <row r="61" spans="1:17" ht="14.25" customHeight="1">
      <c r="A61" s="3227" t="s">
        <v>110</v>
      </c>
      <c r="B61" s="3227" t="s">
        <v>170</v>
      </c>
      <c r="C61" s="3227">
        <v>21330</v>
      </c>
      <c r="D61" s="3227">
        <v>18640</v>
      </c>
      <c r="E61" s="3227">
        <v>21190</v>
      </c>
      <c r="F61" s="3227">
        <v>4180</v>
      </c>
      <c r="G61" s="3227">
        <v>12650</v>
      </c>
      <c r="N61" s="3227" t="s">
        <v>3056</v>
      </c>
    </row>
    <row r="62" spans="1:17" ht="14.25" customHeight="1">
      <c r="A62" s="3227" t="s">
        <v>110</v>
      </c>
      <c r="B62" s="3227" t="s">
        <v>177</v>
      </c>
      <c r="C62" s="3227">
        <v>18710</v>
      </c>
      <c r="D62" s="3227">
        <v>19400</v>
      </c>
      <c r="E62" s="3227">
        <v>23750</v>
      </c>
      <c r="F62" s="3227">
        <v>4860</v>
      </c>
      <c r="G62" s="3227">
        <v>13170</v>
      </c>
      <c r="N62" s="3227" t="s">
        <v>3057</v>
      </c>
    </row>
    <row r="63" spans="1:17" ht="14.25" customHeight="1">
      <c r="A63" s="3227" t="s">
        <v>110</v>
      </c>
      <c r="B63" s="3227" t="s">
        <v>187</v>
      </c>
      <c r="C63" s="3227">
        <v>19480</v>
      </c>
      <c r="D63" s="3227">
        <v>16830</v>
      </c>
      <c r="E63" s="3227">
        <v>21590</v>
      </c>
      <c r="F63" s="3227">
        <v>4560</v>
      </c>
      <c r="G63" s="3227">
        <v>11420</v>
      </c>
      <c r="N63" s="3227" t="s">
        <v>3058</v>
      </c>
    </row>
    <row r="64" spans="1:17" ht="14.25" customHeight="1" thickBot="1">
      <c r="A64" s="3227" t="s">
        <v>110</v>
      </c>
      <c r="B64" s="3227" t="s">
        <v>196</v>
      </c>
      <c r="C64" s="3227">
        <v>16920</v>
      </c>
      <c r="D64" s="3227">
        <v>19190</v>
      </c>
      <c r="E64" s="3227">
        <v>22200</v>
      </c>
      <c r="F64" s="3227">
        <v>4390</v>
      </c>
      <c r="G64" s="3227">
        <v>13030</v>
      </c>
      <c r="N64" s="3234" t="s">
        <v>3059</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2930</v>
      </c>
      <c r="C78" s="3227">
        <v>19820</v>
      </c>
      <c r="D78" s="3227">
        <v>19780</v>
      </c>
      <c r="E78" s="3227">
        <v>18560</v>
      </c>
      <c r="F78" s="3227"/>
      <c r="G78" s="3227">
        <v>13430</v>
      </c>
    </row>
    <row r="79" spans="1:7" s="3216" customFormat="1" ht="14.25" customHeight="1">
      <c r="A79" s="3227" t="s">
        <v>110</v>
      </c>
      <c r="B79" s="3227" t="s">
        <v>2933</v>
      </c>
      <c r="C79" s="3227">
        <v>21660</v>
      </c>
      <c r="D79" s="3227">
        <v>18000</v>
      </c>
      <c r="E79" s="3227">
        <v>22570</v>
      </c>
      <c r="F79" s="3227"/>
      <c r="G79" s="3227">
        <v>12220</v>
      </c>
    </row>
    <row r="80" spans="1:7" s="3216" customFormat="1" ht="14.25" customHeight="1">
      <c r="A80" s="3227" t="s">
        <v>110</v>
      </c>
      <c r="B80" s="3227" t="s">
        <v>2937</v>
      </c>
      <c r="C80" s="3227">
        <v>19850</v>
      </c>
      <c r="D80" s="3227"/>
      <c r="E80" s="3227">
        <v>21700</v>
      </c>
      <c r="F80" s="3227"/>
      <c r="G80" s="3227"/>
    </row>
    <row r="81" spans="1:7" s="3216" customFormat="1" ht="14.25" customHeight="1">
      <c r="A81" s="3227" t="s">
        <v>110</v>
      </c>
      <c r="B81" s="3227" t="s">
        <v>2942</v>
      </c>
      <c r="C81" s="3227">
        <v>18080</v>
      </c>
      <c r="D81" s="3227"/>
      <c r="E81" s="3227">
        <v>20900</v>
      </c>
      <c r="F81" s="3227"/>
      <c r="G81" s="3227"/>
    </row>
    <row r="82" spans="1:7" s="3216" customFormat="1" ht="14.25" customHeight="1">
      <c r="A82" s="3227" t="s">
        <v>110</v>
      </c>
      <c r="B82" s="3227" t="s">
        <v>2949</v>
      </c>
      <c r="C82" s="3227"/>
      <c r="D82" s="3227"/>
      <c r="E82" s="3227">
        <v>20840</v>
      </c>
      <c r="F82" s="3227"/>
      <c r="G82" s="3227"/>
    </row>
    <row r="83" spans="1:7" s="3216" customFormat="1" ht="14.25" customHeight="1">
      <c r="A83" s="3227" t="s">
        <v>110</v>
      </c>
      <c r="B83" s="3227" t="s">
        <v>3060</v>
      </c>
      <c r="C83" s="3227"/>
      <c r="D83" s="3227"/>
      <c r="E83" s="3227"/>
      <c r="F83" s="3227">
        <v>4770</v>
      </c>
      <c r="G83" s="3227"/>
    </row>
    <row r="84" spans="1:7" s="3216" customFormat="1" ht="14.25" customHeight="1">
      <c r="A84" s="3227" t="s">
        <v>110</v>
      </c>
      <c r="B84" s="3227" t="s">
        <v>3061</v>
      </c>
      <c r="C84" s="3227"/>
      <c r="D84" s="3227"/>
      <c r="E84" s="3227"/>
      <c r="F84" s="3227">
        <v>4600</v>
      </c>
      <c r="G84" s="3227"/>
    </row>
    <row r="85" spans="1:7" s="3216" customFormat="1" ht="14.25" customHeight="1">
      <c r="A85" s="3227" t="s">
        <v>110</v>
      </c>
      <c r="B85" s="3227" t="s">
        <v>3062</v>
      </c>
      <c r="C85" s="3227"/>
      <c r="D85" s="3227"/>
      <c r="E85" s="3227"/>
      <c r="F85" s="3227">
        <v>4680</v>
      </c>
      <c r="G85" s="3227"/>
    </row>
    <row r="86" spans="1:7" s="3216" customFormat="1" ht="14.25" customHeight="1" thickBot="1">
      <c r="A86" s="3235" t="s">
        <v>110</v>
      </c>
      <c r="B86" s="3237" t="s">
        <v>3063</v>
      </c>
      <c r="C86" s="3238">
        <v>16610</v>
      </c>
      <c r="D86" s="3238">
        <v>16540</v>
      </c>
      <c r="E86" s="3238">
        <v>18850</v>
      </c>
      <c r="F86" s="3238"/>
      <c r="G86" s="3238">
        <v>11220</v>
      </c>
    </row>
    <row r="87" spans="1:7" s="3216" customFormat="1" ht="14.25" customHeight="1">
      <c r="A87" s="3232" t="s">
        <v>303</v>
      </c>
      <c r="B87" s="3223" t="s">
        <v>3064</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2943</v>
      </c>
      <c r="C113" s="3227">
        <v>15520</v>
      </c>
      <c r="D113" s="3227">
        <v>15450</v>
      </c>
      <c r="E113" s="3227"/>
      <c r="F113" s="3227"/>
      <c r="G113" s="3240">
        <v>10210</v>
      </c>
    </row>
    <row r="114" spans="1:7" s="3216" customFormat="1" ht="14.25" customHeight="1">
      <c r="A114" s="3227" t="s">
        <v>303</v>
      </c>
      <c r="B114" s="3227" t="s">
        <v>2950</v>
      </c>
      <c r="C114" s="3227">
        <v>13110</v>
      </c>
      <c r="D114" s="3227">
        <v>13050</v>
      </c>
      <c r="E114" s="3227"/>
      <c r="F114" s="3227"/>
      <c r="G114" s="3240">
        <v>8620</v>
      </c>
    </row>
    <row r="115" spans="1:7" s="3216" customFormat="1" ht="14.25" customHeight="1">
      <c r="A115" s="3227" t="s">
        <v>303</v>
      </c>
      <c r="B115" s="3227" t="s">
        <v>2956</v>
      </c>
      <c r="C115" s="3227">
        <v>12460</v>
      </c>
      <c r="D115" s="3227">
        <v>12390</v>
      </c>
      <c r="E115" s="3227"/>
      <c r="F115" s="3227"/>
      <c r="G115" s="3240">
        <v>8190</v>
      </c>
    </row>
    <row r="116" spans="1:7" s="3216" customFormat="1" ht="14.25" customHeight="1">
      <c r="A116" s="3227" t="s">
        <v>303</v>
      </c>
      <c r="B116" s="3227" t="s">
        <v>2963</v>
      </c>
      <c r="C116" s="3227">
        <v>13580</v>
      </c>
      <c r="D116" s="3227">
        <v>13520</v>
      </c>
      <c r="E116" s="3227"/>
      <c r="F116" s="3227"/>
      <c r="G116" s="3240">
        <v>8930</v>
      </c>
    </row>
    <row r="117" spans="1:7" s="3216" customFormat="1" ht="14.25" customHeight="1">
      <c r="A117" s="3227" t="s">
        <v>303</v>
      </c>
      <c r="B117" s="3227" t="s">
        <v>2970</v>
      </c>
      <c r="C117" s="3227">
        <v>17120</v>
      </c>
      <c r="D117" s="3227">
        <v>17040</v>
      </c>
      <c r="E117" s="3227"/>
      <c r="F117" s="3227"/>
      <c r="G117" s="3240">
        <v>11260</v>
      </c>
    </row>
    <row r="118" spans="1:7" s="3216" customFormat="1" ht="14.25" customHeight="1">
      <c r="A118" s="3227" t="s">
        <v>303</v>
      </c>
      <c r="B118" s="3227" t="s">
        <v>2975</v>
      </c>
      <c r="C118" s="3227">
        <v>14860</v>
      </c>
      <c r="D118" s="3227">
        <v>14790</v>
      </c>
      <c r="E118" s="3227"/>
      <c r="F118" s="3227"/>
      <c r="G118" s="3240">
        <v>9780</v>
      </c>
    </row>
    <row r="119" spans="1:7" s="3216" customFormat="1" ht="14.25" customHeight="1">
      <c r="A119" s="3227" t="s">
        <v>303</v>
      </c>
      <c r="B119" s="3227" t="s">
        <v>2979</v>
      </c>
      <c r="C119" s="3227">
        <v>16470</v>
      </c>
      <c r="D119" s="3227">
        <v>16400</v>
      </c>
      <c r="E119" s="3227"/>
      <c r="F119" s="3227"/>
      <c r="G119" s="3240">
        <v>10840</v>
      </c>
    </row>
    <row r="120" spans="1:7" s="3216" customFormat="1" ht="14.25" customHeight="1">
      <c r="A120" s="3227" t="s">
        <v>303</v>
      </c>
      <c r="B120" s="3227" t="s">
        <v>3065</v>
      </c>
      <c r="C120" s="3227"/>
      <c r="D120" s="3227"/>
      <c r="E120" s="3227"/>
      <c r="F120" s="3227">
        <v>4160</v>
      </c>
      <c r="G120" s="3240"/>
    </row>
    <row r="121" spans="1:7" s="3216" customFormat="1" ht="14.25" customHeight="1">
      <c r="A121" s="3227" t="s">
        <v>303</v>
      </c>
      <c r="B121" s="3227" t="s">
        <v>3066</v>
      </c>
      <c r="C121" s="3227"/>
      <c r="D121" s="3227"/>
      <c r="E121" s="3227"/>
      <c r="F121" s="3227">
        <v>3880</v>
      </c>
      <c r="G121" s="3240"/>
    </row>
    <row r="122" spans="1:7" s="3216" customFormat="1" ht="14.25" customHeight="1">
      <c r="A122" s="3227" t="s">
        <v>303</v>
      </c>
      <c r="B122" s="3227" t="s">
        <v>3067</v>
      </c>
      <c r="C122" s="3227">
        <v>13750</v>
      </c>
      <c r="D122" s="3227">
        <v>13680</v>
      </c>
      <c r="E122" s="3227">
        <v>16460</v>
      </c>
      <c r="F122" s="3227">
        <v>2880</v>
      </c>
      <c r="G122" s="3240">
        <v>9040</v>
      </c>
    </row>
    <row r="123" spans="1:7" s="3216" customFormat="1" ht="14.25" customHeight="1">
      <c r="A123" s="3227" t="s">
        <v>303</v>
      </c>
      <c r="B123" s="3227" t="s">
        <v>2998</v>
      </c>
      <c r="C123" s="3227">
        <v>13590</v>
      </c>
      <c r="D123" s="3227">
        <v>13520</v>
      </c>
      <c r="E123" s="3227">
        <v>16290</v>
      </c>
      <c r="F123" s="3227">
        <v>2790</v>
      </c>
      <c r="G123" s="3240">
        <v>8930</v>
      </c>
    </row>
    <row r="124" spans="1:7" s="3216" customFormat="1" ht="14.25" customHeight="1">
      <c r="A124" s="3227" t="s">
        <v>303</v>
      </c>
      <c r="B124" s="3227" t="s">
        <v>3003</v>
      </c>
      <c r="C124" s="3227">
        <v>13400</v>
      </c>
      <c r="D124" s="3227">
        <v>13320</v>
      </c>
      <c r="E124" s="3227">
        <v>16100</v>
      </c>
      <c r="F124" s="3227">
        <v>2320</v>
      </c>
      <c r="G124" s="3240">
        <v>8800</v>
      </c>
    </row>
    <row r="125" spans="1:7" s="3216" customFormat="1" ht="14.25" customHeight="1">
      <c r="A125" s="3227" t="s">
        <v>303</v>
      </c>
      <c r="B125" s="3227" t="s">
        <v>3008</v>
      </c>
      <c r="C125" s="3227">
        <v>12860</v>
      </c>
      <c r="D125" s="3227">
        <v>12790</v>
      </c>
      <c r="E125" s="3227">
        <v>15370</v>
      </c>
      <c r="F125" s="3227">
        <v>2280</v>
      </c>
      <c r="G125" s="3240">
        <v>8450</v>
      </c>
    </row>
    <row r="126" spans="1:7" s="3216" customFormat="1" ht="14.25" customHeight="1" thickBot="1">
      <c r="A126" s="3241" t="s">
        <v>303</v>
      </c>
      <c r="B126" s="3234" t="s">
        <v>3013</v>
      </c>
      <c r="C126" s="3234">
        <v>12960</v>
      </c>
      <c r="D126" s="3234">
        <v>12890</v>
      </c>
      <c r="E126" s="3234">
        <v>15530</v>
      </c>
      <c r="F126" s="3234">
        <v>2910</v>
      </c>
      <c r="G126" s="3242">
        <v>8520</v>
      </c>
    </row>
    <row r="127" spans="1:7" s="3216" customFormat="1" ht="14.25" customHeight="1">
      <c r="A127" s="3232" t="s">
        <v>29</v>
      </c>
      <c r="B127" s="3223" t="s">
        <v>3068</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3069</v>
      </c>
      <c r="C148" s="3227">
        <v>10370</v>
      </c>
      <c r="D148" s="3227">
        <v>10310</v>
      </c>
      <c r="E148" s="3227">
        <v>12970</v>
      </c>
      <c r="F148" s="3227"/>
      <c r="G148" s="3227">
        <v>6630</v>
      </c>
    </row>
    <row r="149" spans="1:7" s="3216" customFormat="1" ht="14.25" customHeight="1">
      <c r="A149" s="3227" t="s">
        <v>29</v>
      </c>
      <c r="B149" s="3227" t="s">
        <v>3070</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2944</v>
      </c>
      <c r="C153" s="3227">
        <v>10880</v>
      </c>
      <c r="D153" s="3227">
        <v>10820</v>
      </c>
      <c r="E153" s="3227">
        <v>13660</v>
      </c>
      <c r="F153" s="3227">
        <v>2260</v>
      </c>
      <c r="G153" s="3227">
        <v>6970</v>
      </c>
    </row>
    <row r="154" spans="1:7" s="3216" customFormat="1" ht="14.25" customHeight="1">
      <c r="A154" s="3227" t="s">
        <v>29</v>
      </c>
      <c r="B154" s="3227" t="s">
        <v>3071</v>
      </c>
      <c r="C154" s="3227">
        <v>11220</v>
      </c>
      <c r="D154" s="3227">
        <v>11160</v>
      </c>
      <c r="E154" s="3227">
        <v>14130</v>
      </c>
      <c r="F154" s="3227">
        <v>2230</v>
      </c>
      <c r="G154" s="3227">
        <v>7180</v>
      </c>
    </row>
    <row r="155" spans="1:7" s="3216" customFormat="1" ht="14.25" customHeight="1">
      <c r="A155" s="3227" t="s">
        <v>29</v>
      </c>
      <c r="B155" s="3227" t="s">
        <v>2957</v>
      </c>
      <c r="C155" s="3227">
        <v>10430</v>
      </c>
      <c r="D155" s="3227">
        <v>10380</v>
      </c>
      <c r="E155" s="3227">
        <v>13140</v>
      </c>
      <c r="F155" s="3227">
        <v>2080</v>
      </c>
      <c r="G155" s="3227">
        <v>6650</v>
      </c>
    </row>
    <row r="156" spans="1:7" s="3216" customFormat="1" ht="14.25" customHeight="1">
      <c r="A156" s="3227" t="s">
        <v>29</v>
      </c>
      <c r="B156" s="3227" t="s">
        <v>3072</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3073</v>
      </c>
      <c r="C160" s="3227">
        <v>11180</v>
      </c>
      <c r="D160" s="3227">
        <v>11140</v>
      </c>
      <c r="E160" s="3227">
        <v>14050</v>
      </c>
      <c r="F160" s="3227">
        <v>2270</v>
      </c>
      <c r="G160" s="3227">
        <v>7170</v>
      </c>
    </row>
    <row r="161" spans="1:7" s="3216" customFormat="1" ht="14.25" customHeight="1">
      <c r="A161" s="3227" t="s">
        <v>29</v>
      </c>
      <c r="B161" s="3227" t="s">
        <v>2989</v>
      </c>
      <c r="C161" s="3227">
        <v>11160</v>
      </c>
      <c r="D161" s="3227">
        <v>11120</v>
      </c>
      <c r="E161" s="3227">
        <v>14020</v>
      </c>
      <c r="F161" s="3227">
        <v>2150</v>
      </c>
      <c r="G161" s="3227">
        <v>7160</v>
      </c>
    </row>
    <row r="162" spans="1:7" s="3216" customFormat="1" ht="14.25" customHeight="1">
      <c r="A162" s="3227" t="s">
        <v>29</v>
      </c>
      <c r="B162" s="3227" t="s">
        <v>2994</v>
      </c>
      <c r="C162" s="3227">
        <v>9620</v>
      </c>
      <c r="D162" s="3227">
        <v>9570</v>
      </c>
      <c r="E162" s="3227">
        <v>12320</v>
      </c>
      <c r="F162" s="3227">
        <v>2010</v>
      </c>
      <c r="G162" s="3227">
        <v>6160</v>
      </c>
    </row>
    <row r="163" spans="1:7" s="3216" customFormat="1" ht="14.25" customHeight="1">
      <c r="A163" s="3227" t="s">
        <v>29</v>
      </c>
      <c r="B163" s="3227" t="s">
        <v>2999</v>
      </c>
      <c r="C163" s="3227">
        <v>9320</v>
      </c>
      <c r="D163" s="3227">
        <v>9270</v>
      </c>
      <c r="E163" s="3227">
        <v>11790</v>
      </c>
      <c r="F163" s="3227">
        <v>1920</v>
      </c>
      <c r="G163" s="3227">
        <v>5960</v>
      </c>
    </row>
    <row r="164" spans="1:7" s="3216" customFormat="1" ht="14.25" customHeight="1">
      <c r="A164" s="3227" t="s">
        <v>29</v>
      </c>
      <c r="B164" s="3227" t="s">
        <v>3004</v>
      </c>
      <c r="C164" s="3227"/>
      <c r="D164" s="3227"/>
      <c r="E164" s="3227"/>
      <c r="F164" s="3227">
        <v>1980</v>
      </c>
      <c r="G164" s="3227"/>
    </row>
    <row r="165" spans="1:7" s="3216" customFormat="1" ht="14.25" customHeight="1">
      <c r="A165" s="3227" t="s">
        <v>29</v>
      </c>
      <c r="B165" s="3227" t="s">
        <v>3074</v>
      </c>
      <c r="C165" s="3227">
        <v>11060</v>
      </c>
      <c r="D165" s="3227">
        <v>11030</v>
      </c>
      <c r="E165" s="3227">
        <v>13850</v>
      </c>
      <c r="F165" s="3227">
        <v>2170</v>
      </c>
      <c r="G165" s="3227">
        <v>7090</v>
      </c>
    </row>
    <row r="166" spans="1:7" s="3216" customFormat="1" ht="14.25" customHeight="1">
      <c r="A166" s="3227" t="s">
        <v>29</v>
      </c>
      <c r="B166" s="3227" t="s">
        <v>3014</v>
      </c>
      <c r="C166" s="3227">
        <v>11050</v>
      </c>
      <c r="D166" s="3227">
        <v>11010</v>
      </c>
      <c r="E166" s="3227">
        <v>13920</v>
      </c>
      <c r="F166" s="3227">
        <v>2140</v>
      </c>
      <c r="G166" s="3227">
        <v>7080</v>
      </c>
    </row>
    <row r="167" spans="1:7" s="3216" customFormat="1" ht="14.25" customHeight="1">
      <c r="A167" s="3227" t="s">
        <v>29</v>
      </c>
      <c r="B167" s="3227" t="s">
        <v>3018</v>
      </c>
      <c r="C167" s="3227">
        <v>10930</v>
      </c>
      <c r="D167" s="3227">
        <v>10890</v>
      </c>
      <c r="E167" s="3227">
        <v>13790</v>
      </c>
      <c r="F167" s="3227">
        <v>2010</v>
      </c>
      <c r="G167" s="3227">
        <v>7000</v>
      </c>
    </row>
    <row r="168" spans="1:7" s="3216" customFormat="1" ht="14.25" customHeight="1">
      <c r="A168" s="3227" t="s">
        <v>29</v>
      </c>
      <c r="B168" s="3227" t="s">
        <v>3023</v>
      </c>
      <c r="C168" s="3227">
        <v>9420</v>
      </c>
      <c r="D168" s="3227">
        <v>9380</v>
      </c>
      <c r="E168" s="3227">
        <v>11970</v>
      </c>
      <c r="F168" s="3227"/>
      <c r="G168" s="3227">
        <v>6040</v>
      </c>
    </row>
    <row r="169" spans="1:7" s="3216" customFormat="1" ht="14.25" customHeight="1">
      <c r="A169" s="3227" t="s">
        <v>29</v>
      </c>
      <c r="B169" s="3227" t="s">
        <v>3075</v>
      </c>
      <c r="C169" s="3227"/>
      <c r="D169" s="3227"/>
      <c r="E169" s="3227"/>
      <c r="F169" s="3227">
        <v>2880</v>
      </c>
      <c r="G169" s="3227"/>
    </row>
    <row r="170" spans="1:7" s="3216" customFormat="1" ht="14.25" customHeight="1">
      <c r="A170" s="3227" t="s">
        <v>29</v>
      </c>
      <c r="B170" s="3227" t="s">
        <v>3031</v>
      </c>
      <c r="C170" s="3227"/>
      <c r="D170" s="3227"/>
      <c r="E170" s="3227"/>
      <c r="F170" s="3227">
        <v>2880</v>
      </c>
      <c r="G170" s="3227"/>
    </row>
    <row r="171" spans="1:7" s="3216" customFormat="1" ht="14.25" customHeight="1">
      <c r="A171" s="3227" t="s">
        <v>29</v>
      </c>
      <c r="B171" s="3227" t="s">
        <v>3034</v>
      </c>
      <c r="C171" s="3227"/>
      <c r="D171" s="3227"/>
      <c r="E171" s="3227"/>
      <c r="F171" s="3227">
        <v>2880</v>
      </c>
      <c r="G171" s="3227"/>
    </row>
    <row r="172" spans="1:7" s="3216" customFormat="1" ht="14.25" customHeight="1">
      <c r="A172" s="3227" t="s">
        <v>29</v>
      </c>
      <c r="B172" s="3227" t="s">
        <v>3036</v>
      </c>
      <c r="C172" s="3227"/>
      <c r="D172" s="3227"/>
      <c r="E172" s="3227"/>
      <c r="F172" s="3227">
        <v>2880</v>
      </c>
      <c r="G172" s="3227"/>
    </row>
    <row r="173" spans="1:7" s="3216" customFormat="1" ht="14.25" customHeight="1">
      <c r="A173" s="3227" t="s">
        <v>29</v>
      </c>
      <c r="B173" s="3227" t="s">
        <v>3038</v>
      </c>
      <c r="C173" s="3227"/>
      <c r="D173" s="3227"/>
      <c r="E173" s="3227"/>
      <c r="F173" s="3227">
        <v>2150</v>
      </c>
      <c r="G173" s="3227"/>
    </row>
    <row r="174" spans="1:7" s="3216" customFormat="1" ht="14.25" customHeight="1">
      <c r="A174" s="3227" t="s">
        <v>29</v>
      </c>
      <c r="B174" s="3227" t="s">
        <v>3040</v>
      </c>
      <c r="C174" s="3227"/>
      <c r="D174" s="3227"/>
      <c r="E174" s="3227"/>
      <c r="F174" s="3227">
        <v>2030</v>
      </c>
      <c r="G174" s="3227"/>
    </row>
    <row r="175" spans="1:7" s="3216" customFormat="1" ht="14.25" customHeight="1">
      <c r="A175" s="3227" t="s">
        <v>29</v>
      </c>
      <c r="B175" s="3227" t="s">
        <v>3042</v>
      </c>
      <c r="C175" s="3227"/>
      <c r="D175" s="3227"/>
      <c r="E175" s="3227"/>
      <c r="F175" s="3227">
        <v>2780</v>
      </c>
      <c r="G175" s="3227"/>
    </row>
    <row r="176" spans="1:7" s="3216" customFormat="1" ht="14.25" customHeight="1">
      <c r="A176" s="3227" t="s">
        <v>29</v>
      </c>
      <c r="B176" s="3227" t="s">
        <v>3044</v>
      </c>
      <c r="C176" s="3227"/>
      <c r="D176" s="3227"/>
      <c r="E176" s="3227"/>
      <c r="F176" s="3227">
        <v>2780</v>
      </c>
      <c r="G176" s="3227"/>
    </row>
    <row r="177" spans="1:7" s="3216" customFormat="1" ht="14.25" customHeight="1">
      <c r="A177" s="3227" t="s">
        <v>29</v>
      </c>
      <c r="B177" s="3227" t="s">
        <v>3076</v>
      </c>
      <c r="C177" s="3227"/>
      <c r="D177" s="3227"/>
      <c r="E177" s="3227"/>
      <c r="F177" s="3227">
        <v>2780</v>
      </c>
      <c r="G177" s="3227"/>
    </row>
    <row r="178" spans="1:7" s="3216" customFormat="1" ht="14.25" customHeight="1">
      <c r="A178" s="3227" t="s">
        <v>29</v>
      </c>
      <c r="B178" s="3227" t="s">
        <v>3077</v>
      </c>
      <c r="C178" s="3227"/>
      <c r="D178" s="3227"/>
      <c r="E178" s="3227"/>
      <c r="F178" s="3227">
        <v>2060</v>
      </c>
      <c r="G178" s="3227"/>
    </row>
    <row r="179" spans="1:7" s="3216" customFormat="1" ht="14.25" customHeight="1">
      <c r="A179" s="3227" t="s">
        <v>29</v>
      </c>
      <c r="B179" s="3227" t="s">
        <v>3078</v>
      </c>
      <c r="C179" s="3227"/>
      <c r="D179" s="3227"/>
      <c r="E179" s="3227"/>
      <c r="F179" s="3227">
        <v>2120</v>
      </c>
      <c r="G179" s="3227"/>
    </row>
    <row r="180" spans="1:7" s="3216" customFormat="1" ht="14.25" customHeight="1">
      <c r="A180" s="3227" t="s">
        <v>29</v>
      </c>
      <c r="B180" s="3227" t="s">
        <v>3050</v>
      </c>
      <c r="C180" s="3227"/>
      <c r="D180" s="3227"/>
      <c r="E180" s="3227"/>
      <c r="F180" s="3227">
        <v>2340</v>
      </c>
      <c r="G180" s="3227"/>
    </row>
    <row r="181" spans="1:7" s="3216" customFormat="1" ht="14.25" customHeight="1">
      <c r="A181" s="3227" t="s">
        <v>29</v>
      </c>
      <c r="B181" s="3227" t="s">
        <v>3051</v>
      </c>
      <c r="C181" s="3227"/>
      <c r="D181" s="3227"/>
      <c r="E181" s="3227"/>
      <c r="F181" s="3227">
        <v>2340</v>
      </c>
      <c r="G181" s="3227"/>
    </row>
    <row r="182" spans="1:7" s="3216" customFormat="1" ht="14.25" customHeight="1">
      <c r="A182" s="3227" t="s">
        <v>29</v>
      </c>
      <c r="B182" s="3227" t="s">
        <v>3052</v>
      </c>
      <c r="C182" s="3227"/>
      <c r="D182" s="3227"/>
      <c r="E182" s="3227"/>
      <c r="F182" s="3227">
        <v>2340</v>
      </c>
      <c r="G182" s="3227"/>
    </row>
    <row r="183" spans="1:7" s="3216" customFormat="1" ht="14.25" customHeight="1">
      <c r="A183" s="3227" t="s">
        <v>29</v>
      </c>
      <c r="B183" s="3227" t="s">
        <v>3053</v>
      </c>
      <c r="C183" s="3227"/>
      <c r="D183" s="3227"/>
      <c r="E183" s="3227"/>
      <c r="F183" s="3227">
        <v>2340</v>
      </c>
      <c r="G183" s="3227"/>
    </row>
    <row r="184" spans="1:7" s="3216" customFormat="1" ht="14.25" customHeight="1">
      <c r="A184" s="3227" t="s">
        <v>29</v>
      </c>
      <c r="B184" s="3227" t="s">
        <v>3054</v>
      </c>
      <c r="C184" s="3227"/>
      <c r="D184" s="3227"/>
      <c r="E184" s="3227"/>
      <c r="F184" s="3227">
        <v>2340</v>
      </c>
      <c r="G184" s="3227"/>
    </row>
    <row r="185" spans="1:7" s="3216" customFormat="1" ht="14.25" customHeight="1">
      <c r="A185" s="3227" t="s">
        <v>29</v>
      </c>
      <c r="B185" s="3227" t="s">
        <v>3055</v>
      </c>
      <c r="C185" s="3227"/>
      <c r="D185" s="3227"/>
      <c r="E185" s="3227"/>
      <c r="F185" s="3227">
        <v>2530</v>
      </c>
      <c r="G185" s="3227"/>
    </row>
    <row r="186" spans="1:7" s="3216" customFormat="1" ht="14.25" customHeight="1">
      <c r="A186" s="3227" t="s">
        <v>29</v>
      </c>
      <c r="B186" s="3227" t="s">
        <v>3056</v>
      </c>
      <c r="C186" s="3227"/>
      <c r="D186" s="3227"/>
      <c r="E186" s="3227"/>
      <c r="F186" s="3227">
        <v>2550</v>
      </c>
      <c r="G186" s="3227"/>
    </row>
    <row r="187" spans="1:7" s="3216" customFormat="1" ht="14.25" customHeight="1">
      <c r="A187" s="3227" t="s">
        <v>29</v>
      </c>
      <c r="B187" s="3227" t="s">
        <v>3057</v>
      </c>
      <c r="C187" s="3227"/>
      <c r="D187" s="3227"/>
      <c r="E187" s="3227"/>
      <c r="F187" s="3227">
        <v>2070</v>
      </c>
      <c r="G187" s="3227"/>
    </row>
    <row r="188" spans="1:7" s="3216" customFormat="1" ht="14.25" customHeight="1">
      <c r="A188" s="3227" t="s">
        <v>29</v>
      </c>
      <c r="B188" s="3227" t="s">
        <v>3058</v>
      </c>
      <c r="C188" s="3227"/>
      <c r="D188" s="3227"/>
      <c r="E188" s="3227"/>
      <c r="F188" s="3227">
        <v>2340</v>
      </c>
      <c r="G188" s="3227"/>
    </row>
    <row r="189" spans="1:7" s="3216" customFormat="1" ht="14.25" customHeight="1" thickBot="1">
      <c r="A189" s="3235" t="s">
        <v>29</v>
      </c>
      <c r="B189" s="3238" t="s">
        <v>3059</v>
      </c>
      <c r="C189" s="3238"/>
      <c r="D189" s="3238"/>
      <c r="E189" s="3238"/>
      <c r="F189" s="3238">
        <v>2050</v>
      </c>
      <c r="G189" s="3238"/>
    </row>
    <row r="190" spans="1:7" s="3216" customFormat="1" ht="14.25" customHeight="1">
      <c r="A190" s="3232" t="s">
        <v>304</v>
      </c>
      <c r="B190" s="3223" t="s">
        <v>3079</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3080</v>
      </c>
      <c r="C199" s="3227">
        <v>8690</v>
      </c>
      <c r="D199" s="3227">
        <v>8630</v>
      </c>
      <c r="E199" s="3227">
        <v>11350</v>
      </c>
      <c r="F199" s="3227">
        <v>1600</v>
      </c>
      <c r="G199" s="3240">
        <v>5450</v>
      </c>
    </row>
    <row r="200" spans="1:7" s="3216" customFormat="1" ht="14.25" customHeight="1">
      <c r="A200" s="3227" t="s">
        <v>304</v>
      </c>
      <c r="B200" s="3227" t="s">
        <v>2891</v>
      </c>
      <c r="C200" s="3227"/>
      <c r="D200" s="3227"/>
      <c r="E200" s="3227"/>
      <c r="F200" s="3227">
        <v>1510</v>
      </c>
      <c r="G200" s="3240"/>
    </row>
    <row r="201" spans="1:7" s="3216" customFormat="1" ht="14.25" customHeight="1">
      <c r="A201" s="3227" t="s">
        <v>304</v>
      </c>
      <c r="B201" s="3227" t="s">
        <v>3081</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3082</v>
      </c>
      <c r="C203" s="3227">
        <v>8130</v>
      </c>
      <c r="D203" s="3227">
        <v>8070</v>
      </c>
      <c r="E203" s="3227">
        <v>10820</v>
      </c>
      <c r="F203" s="3227">
        <v>1690</v>
      </c>
      <c r="G203" s="3240">
        <v>5100</v>
      </c>
    </row>
    <row r="204" spans="1:7" s="3216" customFormat="1" ht="14.25" customHeight="1">
      <c r="A204" s="3227" t="s">
        <v>304</v>
      </c>
      <c r="B204" s="3227" t="s">
        <v>2902</v>
      </c>
      <c r="C204" s="3227">
        <v>8350</v>
      </c>
      <c r="D204" s="3227">
        <v>8290</v>
      </c>
      <c r="E204" s="3227">
        <v>11080</v>
      </c>
      <c r="F204" s="3227">
        <v>1450</v>
      </c>
      <c r="G204" s="3240">
        <v>5240</v>
      </c>
    </row>
    <row r="205" spans="1:7" s="3216" customFormat="1" ht="14.25" customHeight="1">
      <c r="A205" s="3227" t="s">
        <v>304</v>
      </c>
      <c r="B205" s="3227" t="s">
        <v>2904</v>
      </c>
      <c r="C205" s="3227">
        <v>7190</v>
      </c>
      <c r="D205" s="3227">
        <v>7130</v>
      </c>
      <c r="E205" s="3227">
        <v>9490</v>
      </c>
      <c r="F205" s="3227">
        <v>1470</v>
      </c>
      <c r="G205" s="3240">
        <v>4510</v>
      </c>
    </row>
    <row r="206" spans="1:7" s="3216" customFormat="1" ht="14.25" customHeight="1">
      <c r="A206" s="3227" t="s">
        <v>304</v>
      </c>
      <c r="B206" s="3227" t="s">
        <v>2907</v>
      </c>
      <c r="C206" s="3227">
        <v>7000</v>
      </c>
      <c r="D206" s="3227">
        <v>6950</v>
      </c>
      <c r="E206" s="3227">
        <v>9170</v>
      </c>
      <c r="F206" s="3227">
        <v>1400</v>
      </c>
      <c r="G206" s="3240">
        <v>4380</v>
      </c>
    </row>
    <row r="207" spans="1:7" s="3216" customFormat="1" ht="14.25" customHeight="1">
      <c r="A207" s="3227" t="s">
        <v>304</v>
      </c>
      <c r="B207" s="3227" t="s">
        <v>2909</v>
      </c>
      <c r="C207" s="3227">
        <v>6950</v>
      </c>
      <c r="D207" s="3227">
        <v>6900</v>
      </c>
      <c r="E207" s="3227">
        <v>9110</v>
      </c>
      <c r="F207" s="3227">
        <v>1790</v>
      </c>
      <c r="G207" s="3240">
        <v>4360</v>
      </c>
    </row>
    <row r="208" spans="1:7" s="3216" customFormat="1" ht="14.25" customHeight="1">
      <c r="A208" s="3227" t="s">
        <v>304</v>
      </c>
      <c r="B208" s="3227" t="s">
        <v>3083</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2919</v>
      </c>
      <c r="C210" s="3227">
        <v>8710</v>
      </c>
      <c r="D210" s="3227">
        <v>8660</v>
      </c>
      <c r="E210" s="3227">
        <v>11440</v>
      </c>
      <c r="F210" s="3227">
        <v>1740</v>
      </c>
      <c r="G210" s="3240">
        <v>5470</v>
      </c>
    </row>
    <row r="211" spans="1:7" s="3216" customFormat="1" ht="14.25" customHeight="1">
      <c r="A211" s="3227" t="s">
        <v>304</v>
      </c>
      <c r="B211" s="3227" t="s">
        <v>3084</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3085</v>
      </c>
      <c r="C214" s="3227">
        <v>8090</v>
      </c>
      <c r="D214" s="3227">
        <v>8030</v>
      </c>
      <c r="E214" s="3227">
        <v>10780</v>
      </c>
      <c r="F214" s="3227">
        <v>1570</v>
      </c>
      <c r="G214" s="3240">
        <v>5070</v>
      </c>
    </row>
    <row r="215" spans="1:7" s="3216" customFormat="1" ht="14.25" customHeight="1">
      <c r="A215" s="3227" t="s">
        <v>304</v>
      </c>
      <c r="B215" s="3227" t="s">
        <v>3086</v>
      </c>
      <c r="C215" s="3227">
        <v>7950</v>
      </c>
      <c r="D215" s="3227">
        <v>7900</v>
      </c>
      <c r="E215" s="3227">
        <v>10560</v>
      </c>
      <c r="F215" s="3227">
        <v>1630</v>
      </c>
      <c r="G215" s="3240">
        <v>4990</v>
      </c>
    </row>
    <row r="216" spans="1:7" s="3216" customFormat="1" ht="14.25" customHeight="1">
      <c r="A216" s="3227" t="s">
        <v>304</v>
      </c>
      <c r="B216" s="3227" t="s">
        <v>3087</v>
      </c>
      <c r="C216" s="3227">
        <v>8490</v>
      </c>
      <c r="D216" s="3227">
        <v>8440</v>
      </c>
      <c r="E216" s="3227">
        <v>11260</v>
      </c>
      <c r="F216" s="3227">
        <v>1690</v>
      </c>
      <c r="G216" s="3240">
        <v>5330</v>
      </c>
    </row>
    <row r="217" spans="1:7" s="3216" customFormat="1" ht="14.25" customHeight="1">
      <c r="A217" s="3227" t="s">
        <v>304</v>
      </c>
      <c r="B217" s="3227" t="s">
        <v>2952</v>
      </c>
      <c r="C217" s="3227">
        <v>8200</v>
      </c>
      <c r="D217" s="3227">
        <v>8150</v>
      </c>
      <c r="E217" s="3227">
        <v>10910</v>
      </c>
      <c r="F217" s="3227">
        <v>1670</v>
      </c>
      <c r="G217" s="3240">
        <v>5150</v>
      </c>
    </row>
    <row r="218" spans="1:7" s="3216" customFormat="1" ht="14.25" customHeight="1">
      <c r="A218" s="3227" t="s">
        <v>304</v>
      </c>
      <c r="B218" s="3227" t="s">
        <v>3088</v>
      </c>
      <c r="C218" s="3227"/>
      <c r="D218" s="3227"/>
      <c r="E218" s="3227"/>
      <c r="F218" s="3227">
        <v>2040</v>
      </c>
      <c r="G218" s="3240"/>
    </row>
    <row r="219" spans="1:7" s="3216" customFormat="1" ht="14.25" customHeight="1">
      <c r="A219" s="3227" t="s">
        <v>304</v>
      </c>
      <c r="B219" s="3227" t="s">
        <v>3089</v>
      </c>
      <c r="C219" s="3227"/>
      <c r="D219" s="3227"/>
      <c r="E219" s="3227"/>
      <c r="F219" s="3227">
        <v>2040</v>
      </c>
      <c r="G219" s="3240"/>
    </row>
    <row r="220" spans="1:7" s="3216" customFormat="1" ht="14.25" customHeight="1">
      <c r="A220" s="3227" t="s">
        <v>304</v>
      </c>
      <c r="B220" s="3227" t="s">
        <v>3090</v>
      </c>
      <c r="C220" s="3227"/>
      <c r="D220" s="3227"/>
      <c r="E220" s="3227"/>
      <c r="F220" s="3227">
        <v>2040</v>
      </c>
      <c r="G220" s="3240"/>
    </row>
    <row r="221" spans="1:7" s="3216" customFormat="1" ht="14.25" customHeight="1">
      <c r="A221" s="3227" t="s">
        <v>304</v>
      </c>
      <c r="B221" s="3227" t="s">
        <v>3091</v>
      </c>
      <c r="C221" s="3227"/>
      <c r="D221" s="3227"/>
      <c r="E221" s="3227"/>
      <c r="F221" s="3227">
        <v>2040</v>
      </c>
      <c r="G221" s="3240"/>
    </row>
    <row r="222" spans="1:7" s="3216" customFormat="1" ht="14.25" customHeight="1">
      <c r="A222" s="3227" t="s">
        <v>304</v>
      </c>
      <c r="B222" s="3227" t="s">
        <v>3092</v>
      </c>
      <c r="C222" s="3227"/>
      <c r="D222" s="3227"/>
      <c r="E222" s="3227"/>
      <c r="F222" s="3227">
        <v>2040</v>
      </c>
      <c r="G222" s="3240"/>
    </row>
    <row r="223" spans="1:7" s="3216" customFormat="1" ht="14.25" customHeight="1">
      <c r="A223" s="3227" t="s">
        <v>304</v>
      </c>
      <c r="B223" s="3227" t="s">
        <v>3093</v>
      </c>
      <c r="C223" s="3227"/>
      <c r="D223" s="3227"/>
      <c r="E223" s="3227"/>
      <c r="F223" s="3227">
        <v>1930</v>
      </c>
      <c r="G223" s="3240"/>
    </row>
    <row r="224" spans="1:7" s="3216" customFormat="1" ht="14.25" customHeight="1">
      <c r="A224" s="3227" t="s">
        <v>304</v>
      </c>
      <c r="B224" s="3227" t="s">
        <v>3094</v>
      </c>
      <c r="C224" s="3227"/>
      <c r="D224" s="3227"/>
      <c r="E224" s="3227"/>
      <c r="F224" s="3227">
        <v>1930</v>
      </c>
      <c r="G224" s="3240"/>
    </row>
    <row r="225" spans="1:7" s="3216" customFormat="1" ht="14.25" customHeight="1">
      <c r="A225" s="3227" t="s">
        <v>304</v>
      </c>
      <c r="B225" s="3227" t="s">
        <v>3095</v>
      </c>
      <c r="C225" s="3227"/>
      <c r="D225" s="3227"/>
      <c r="E225" s="3227"/>
      <c r="F225" s="3227">
        <v>1930</v>
      </c>
      <c r="G225" s="3240"/>
    </row>
    <row r="226" spans="1:7" s="3216" customFormat="1" ht="14.25" customHeight="1">
      <c r="A226" s="3227" t="s">
        <v>304</v>
      </c>
      <c r="B226" s="3227" t="s">
        <v>3096</v>
      </c>
      <c r="C226" s="3227"/>
      <c r="D226" s="3227"/>
      <c r="E226" s="3227"/>
      <c r="F226" s="3227">
        <v>1700</v>
      </c>
      <c r="G226" s="3240"/>
    </row>
    <row r="227" spans="1:7" s="3216" customFormat="1" ht="14.25" customHeight="1">
      <c r="A227" s="3227" t="s">
        <v>304</v>
      </c>
      <c r="B227" s="3227" t="s">
        <v>3097</v>
      </c>
      <c r="C227" s="3227"/>
      <c r="D227" s="3227"/>
      <c r="E227" s="3227"/>
      <c r="F227" s="3227">
        <v>1520</v>
      </c>
      <c r="G227" s="3240"/>
    </row>
    <row r="228" spans="1:7" s="3216" customFormat="1" ht="14.25" customHeight="1">
      <c r="A228" s="3227" t="s">
        <v>304</v>
      </c>
      <c r="B228" s="3227" t="s">
        <v>3098</v>
      </c>
      <c r="C228" s="3227"/>
      <c r="D228" s="3227"/>
      <c r="E228" s="3227"/>
      <c r="F228" s="3227">
        <v>1520</v>
      </c>
      <c r="G228" s="3240"/>
    </row>
    <row r="229" spans="1:7" s="3216" customFormat="1" ht="14.25" customHeight="1">
      <c r="A229" s="3227" t="s">
        <v>304</v>
      </c>
      <c r="B229" s="3227" t="s">
        <v>3015</v>
      </c>
      <c r="C229" s="3227"/>
      <c r="D229" s="3227"/>
      <c r="E229" s="3227"/>
      <c r="F229" s="3227">
        <v>1520</v>
      </c>
      <c r="G229" s="3240"/>
    </row>
    <row r="230" spans="1:7" s="3216" customFormat="1" ht="14.25" customHeight="1">
      <c r="A230" s="3227" t="s">
        <v>304</v>
      </c>
      <c r="B230" s="3227" t="s">
        <v>3099</v>
      </c>
      <c r="C230" s="3227"/>
      <c r="D230" s="3227"/>
      <c r="E230" s="3227"/>
      <c r="F230" s="3227">
        <v>1820</v>
      </c>
      <c r="G230" s="3240"/>
    </row>
    <row r="231" spans="1:7" s="3216" customFormat="1" ht="14.25" customHeight="1">
      <c r="A231" s="3227" t="s">
        <v>304</v>
      </c>
      <c r="B231" s="3227" t="s">
        <v>3100</v>
      </c>
      <c r="C231" s="3227"/>
      <c r="D231" s="3227"/>
      <c r="E231" s="3227"/>
      <c r="F231" s="3227">
        <v>1760</v>
      </c>
      <c r="G231" s="3240"/>
    </row>
    <row r="232" spans="1:7" s="3216" customFormat="1" ht="14.25" customHeight="1">
      <c r="A232" s="3227" t="s">
        <v>304</v>
      </c>
      <c r="B232" s="3227" t="s">
        <v>3101</v>
      </c>
      <c r="C232" s="3227"/>
      <c r="D232" s="3227"/>
      <c r="E232" s="3227"/>
      <c r="F232" s="3227">
        <v>1840</v>
      </c>
      <c r="G232" s="3240"/>
    </row>
    <row r="233" spans="1:7" s="3216" customFormat="1" ht="14.25" customHeight="1" thickBot="1">
      <c r="A233" s="3241" t="s">
        <v>304</v>
      </c>
      <c r="B233" s="3234" t="s">
        <v>3032</v>
      </c>
      <c r="C233" s="3234"/>
      <c r="D233" s="3234"/>
      <c r="E233" s="3234"/>
      <c r="F233" s="3234">
        <v>1770</v>
      </c>
      <c r="G233" s="3242"/>
    </row>
    <row r="234" spans="1:7" s="3216" customFormat="1" ht="14.25" customHeight="1">
      <c r="A234" s="3232" t="s">
        <v>305</v>
      </c>
      <c r="B234" s="3223" t="s">
        <v>3102</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2873</v>
      </c>
      <c r="C238" s="3227">
        <v>6920</v>
      </c>
      <c r="D238" s="3227">
        <v>6890</v>
      </c>
      <c r="E238" s="3227">
        <v>8640</v>
      </c>
      <c r="F238" s="3227">
        <v>1310</v>
      </c>
      <c r="G238" s="3227">
        <v>4230</v>
      </c>
    </row>
    <row r="239" spans="1:7" s="3216" customFormat="1" ht="14.25" customHeight="1">
      <c r="A239" s="3227" t="s">
        <v>305</v>
      </c>
      <c r="B239" s="3227" t="s">
        <v>3103</v>
      </c>
      <c r="C239" s="3227">
        <v>6780</v>
      </c>
      <c r="D239" s="3227">
        <v>6750</v>
      </c>
      <c r="E239" s="3227">
        <v>8440</v>
      </c>
      <c r="F239" s="3227">
        <v>1160</v>
      </c>
      <c r="G239" s="3227">
        <v>4140</v>
      </c>
    </row>
    <row r="240" spans="1:7" s="3216" customFormat="1" ht="14.25" customHeight="1">
      <c r="A240" s="3227" t="s">
        <v>305</v>
      </c>
      <c r="B240" s="3227" t="s">
        <v>3104</v>
      </c>
      <c r="C240" s="3227">
        <v>5420</v>
      </c>
      <c r="D240" s="3227">
        <v>5380</v>
      </c>
      <c r="E240" s="3227">
        <v>6640</v>
      </c>
      <c r="F240" s="3227">
        <v>1020</v>
      </c>
      <c r="G240" s="3227">
        <v>3300</v>
      </c>
    </row>
    <row r="241" spans="1:7" s="3216" customFormat="1" ht="14.25" customHeight="1">
      <c r="A241" s="3227" t="s">
        <v>305</v>
      </c>
      <c r="B241" s="3227" t="s">
        <v>3105</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3106</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3107</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3108</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3109</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3110</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2935</v>
      </c>
      <c r="C258" s="3227">
        <v>6190</v>
      </c>
      <c r="D258" s="3227">
        <v>6160</v>
      </c>
      <c r="E258" s="3227">
        <v>7680</v>
      </c>
      <c r="F258" s="3227">
        <v>1170</v>
      </c>
      <c r="G258" s="3227">
        <v>3780</v>
      </c>
    </row>
    <row r="259" spans="1:7" s="3216" customFormat="1" ht="14.25" customHeight="1">
      <c r="A259" s="3227" t="s">
        <v>305</v>
      </c>
      <c r="B259" s="3227" t="s">
        <v>3111</v>
      </c>
      <c r="C259" s="3227">
        <v>7610</v>
      </c>
      <c r="D259" s="3227">
        <v>7570</v>
      </c>
      <c r="E259" s="3227">
        <v>9350</v>
      </c>
      <c r="F259" s="3227">
        <v>1350</v>
      </c>
      <c r="G259" s="3227">
        <v>4650</v>
      </c>
    </row>
    <row r="260" spans="1:7" s="3216" customFormat="1" ht="14.25" customHeight="1">
      <c r="A260" s="3227" t="s">
        <v>305</v>
      </c>
      <c r="B260" s="3227" t="s">
        <v>3112</v>
      </c>
      <c r="C260" s="3227">
        <v>6920</v>
      </c>
      <c r="D260" s="3227">
        <v>6880</v>
      </c>
      <c r="E260" s="3227">
        <v>8380</v>
      </c>
      <c r="F260" s="3227">
        <v>1160</v>
      </c>
      <c r="G260" s="3227">
        <v>4220</v>
      </c>
    </row>
    <row r="261" spans="1:7" s="3216" customFormat="1" ht="14.25" customHeight="1">
      <c r="A261" s="3227" t="s">
        <v>305</v>
      </c>
      <c r="B261" s="3227" t="s">
        <v>3113</v>
      </c>
      <c r="C261" s="3227">
        <v>6850</v>
      </c>
      <c r="D261" s="3227">
        <v>6810</v>
      </c>
      <c r="E261" s="3227">
        <v>8290</v>
      </c>
      <c r="F261" s="3227">
        <v>1130</v>
      </c>
      <c r="G261" s="3227">
        <v>4180</v>
      </c>
    </row>
    <row r="262" spans="1:7" s="3216" customFormat="1" ht="14.25" customHeight="1">
      <c r="A262" s="3227" t="s">
        <v>305</v>
      </c>
      <c r="B262" s="3227" t="s">
        <v>3114</v>
      </c>
      <c r="C262" s="3227">
        <v>5860</v>
      </c>
      <c r="D262" s="3227">
        <v>5820</v>
      </c>
      <c r="E262" s="3227">
        <v>7640</v>
      </c>
      <c r="F262" s="3227">
        <v>1070</v>
      </c>
      <c r="G262" s="3227">
        <v>3570</v>
      </c>
    </row>
    <row r="263" spans="1:7" s="3216" customFormat="1" ht="14.25" customHeight="1">
      <c r="A263" s="3227" t="s">
        <v>305</v>
      </c>
      <c r="B263" s="3227" t="s">
        <v>3115</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3116</v>
      </c>
      <c r="C265" s="3227"/>
      <c r="D265" s="3227"/>
      <c r="E265" s="3227"/>
      <c r="F265" s="3227">
        <v>1500</v>
      </c>
      <c r="G265" s="3227"/>
    </row>
    <row r="266" spans="1:7" s="3216" customFormat="1" ht="14.25" customHeight="1">
      <c r="A266" s="3227" t="s">
        <v>305</v>
      </c>
      <c r="B266" s="3227" t="s">
        <v>3117</v>
      </c>
      <c r="C266" s="3227"/>
      <c r="D266" s="3227"/>
      <c r="E266" s="3227"/>
      <c r="F266" s="3227">
        <v>1500</v>
      </c>
      <c r="G266" s="3227"/>
    </row>
    <row r="267" spans="1:7" s="3216" customFormat="1" ht="14.25" customHeight="1">
      <c r="A267" s="3227" t="s">
        <v>305</v>
      </c>
      <c r="B267" s="3227" t="s">
        <v>3118</v>
      </c>
      <c r="C267" s="3227"/>
      <c r="D267" s="3227"/>
      <c r="E267" s="3227"/>
      <c r="F267" s="3227">
        <v>1500</v>
      </c>
      <c r="G267" s="3227"/>
    </row>
    <row r="268" spans="1:7" s="3216" customFormat="1" ht="14.25" customHeight="1">
      <c r="A268" s="3227" t="s">
        <v>305</v>
      </c>
      <c r="B268" s="3227" t="s">
        <v>3119</v>
      </c>
      <c r="C268" s="3227"/>
      <c r="D268" s="3227"/>
      <c r="E268" s="3227"/>
      <c r="F268" s="3227">
        <v>1290</v>
      </c>
      <c r="G268" s="3227"/>
    </row>
    <row r="269" spans="1:7" s="3216" customFormat="1" ht="14.25" customHeight="1">
      <c r="A269" s="3227" t="s">
        <v>305</v>
      </c>
      <c r="B269" s="3227" t="s">
        <v>3120</v>
      </c>
      <c r="C269" s="3227"/>
      <c r="D269" s="3227"/>
      <c r="E269" s="3227"/>
      <c r="F269" s="3227">
        <v>1150</v>
      </c>
      <c r="G269" s="3227"/>
    </row>
    <row r="270" spans="1:7" s="3216" customFormat="1" ht="14.25" customHeight="1">
      <c r="A270" s="3227" t="s">
        <v>305</v>
      </c>
      <c r="B270" s="3227" t="s">
        <v>3121</v>
      </c>
      <c r="C270" s="3227"/>
      <c r="D270" s="3227"/>
      <c r="E270" s="3227"/>
      <c r="F270" s="3227">
        <v>1380</v>
      </c>
      <c r="G270" s="3227"/>
    </row>
    <row r="271" spans="1:7" s="3216" customFormat="1" ht="14.25" customHeight="1">
      <c r="A271" s="3227" t="s">
        <v>305</v>
      </c>
      <c r="B271" s="3227" t="s">
        <v>3122</v>
      </c>
      <c r="C271" s="3227"/>
      <c r="D271" s="3227"/>
      <c r="E271" s="3227"/>
      <c r="F271" s="3227">
        <v>1460</v>
      </c>
      <c r="G271" s="3227"/>
    </row>
    <row r="272" spans="1:7" s="3216" customFormat="1" ht="14.25" customHeight="1">
      <c r="A272" s="3227" t="s">
        <v>305</v>
      </c>
      <c r="B272" s="3227" t="s">
        <v>3123</v>
      </c>
      <c r="C272" s="3227"/>
      <c r="D272" s="3227"/>
      <c r="E272" s="3227"/>
      <c r="F272" s="3227">
        <v>1460</v>
      </c>
      <c r="G272" s="3227"/>
    </row>
    <row r="273" spans="1:7" s="3216" customFormat="1" ht="14.25" customHeight="1">
      <c r="A273" s="3227" t="s">
        <v>305</v>
      </c>
      <c r="B273" s="3227" t="s">
        <v>3016</v>
      </c>
      <c r="C273" s="3227"/>
      <c r="D273" s="3227"/>
      <c r="E273" s="3227"/>
      <c r="F273" s="3227">
        <v>1490</v>
      </c>
      <c r="G273" s="3227"/>
    </row>
    <row r="274" spans="1:7" s="3216" customFormat="1" ht="14.25" customHeight="1">
      <c r="A274" s="3227" t="s">
        <v>305</v>
      </c>
      <c r="B274" s="3227" t="s">
        <v>3124</v>
      </c>
      <c r="C274" s="3227"/>
      <c r="D274" s="3227"/>
      <c r="E274" s="3227"/>
      <c r="F274" s="3227">
        <v>1490</v>
      </c>
      <c r="G274" s="3227"/>
    </row>
    <row r="275" spans="1:7" s="3216" customFormat="1" ht="14.25" customHeight="1">
      <c r="A275" s="3227" t="s">
        <v>305</v>
      </c>
      <c r="B275" s="3227" t="s">
        <v>3125</v>
      </c>
      <c r="C275" s="3227"/>
      <c r="D275" s="3227"/>
      <c r="E275" s="3227"/>
      <c r="F275" s="3227">
        <v>1220</v>
      </c>
      <c r="G275" s="3227"/>
    </row>
    <row r="276" spans="1:7" s="3216" customFormat="1" ht="14.25" customHeight="1" thickBot="1">
      <c r="A276" s="3235" t="s">
        <v>305</v>
      </c>
      <c r="B276" s="3237" t="s">
        <v>3126</v>
      </c>
      <c r="C276" s="3238"/>
      <c r="D276" s="3238"/>
      <c r="E276" s="3238"/>
      <c r="F276" s="3238">
        <v>1380</v>
      </c>
      <c r="G276" s="3238"/>
    </row>
    <row r="277" spans="1:7" s="3216" customFormat="1" ht="14.25" customHeight="1">
      <c r="A277" s="3232" t="s">
        <v>306</v>
      </c>
      <c r="B277" s="3223" t="s">
        <v>3127</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3128</v>
      </c>
      <c r="C279" s="3227">
        <v>4760</v>
      </c>
      <c r="D279" s="3227">
        <v>4720</v>
      </c>
      <c r="E279" s="3227">
        <v>5540</v>
      </c>
      <c r="F279" s="3227">
        <v>810</v>
      </c>
      <c r="G279" s="3240">
        <v>2850</v>
      </c>
    </row>
    <row r="280" spans="1:7" s="3216" customFormat="1" ht="14.25" customHeight="1">
      <c r="A280" s="3227" t="s">
        <v>306</v>
      </c>
      <c r="B280" s="3227" t="s">
        <v>3129</v>
      </c>
      <c r="C280" s="3227">
        <v>4010</v>
      </c>
      <c r="D280" s="3227">
        <v>3950</v>
      </c>
      <c r="E280" s="3227">
        <v>4710</v>
      </c>
      <c r="F280" s="3227">
        <v>800</v>
      </c>
      <c r="G280" s="3240">
        <v>2390</v>
      </c>
    </row>
    <row r="281" spans="1:7" s="3216" customFormat="1" ht="14.25" customHeight="1">
      <c r="A281" s="3227" t="s">
        <v>306</v>
      </c>
      <c r="B281" s="3227" t="s">
        <v>3130</v>
      </c>
      <c r="C281" s="3227">
        <v>4480</v>
      </c>
      <c r="D281" s="3227">
        <v>4420</v>
      </c>
      <c r="E281" s="3227">
        <v>5230</v>
      </c>
      <c r="F281" s="3227">
        <v>870</v>
      </c>
      <c r="G281" s="3240">
        <v>2660</v>
      </c>
    </row>
    <row r="282" spans="1:7" s="3216" customFormat="1" ht="14.25" customHeight="1">
      <c r="A282" s="3227" t="s">
        <v>306</v>
      </c>
      <c r="B282" s="3227" t="s">
        <v>3131</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3132</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3133</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2908</v>
      </c>
      <c r="C293" s="3227">
        <v>5320</v>
      </c>
      <c r="D293" s="3227">
        <v>5270</v>
      </c>
      <c r="E293" s="3227">
        <v>6160</v>
      </c>
      <c r="F293" s="3227">
        <v>990</v>
      </c>
      <c r="G293" s="3240">
        <v>3170</v>
      </c>
    </row>
    <row r="294" spans="1:7" s="3216" customFormat="1" ht="14.25" customHeight="1">
      <c r="A294" s="3227" t="s">
        <v>306</v>
      </c>
      <c r="B294" s="3227" t="s">
        <v>3134</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2927</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3135</v>
      </c>
      <c r="C302" s="3227">
        <v>5520</v>
      </c>
      <c r="D302" s="3227">
        <v>5470</v>
      </c>
      <c r="E302" s="3227">
        <v>6410</v>
      </c>
      <c r="F302" s="3227">
        <v>950</v>
      </c>
      <c r="G302" s="3240">
        <v>3300</v>
      </c>
    </row>
    <row r="303" spans="1:7" s="3216" customFormat="1" ht="14.25" customHeight="1">
      <c r="A303" s="3227" t="s">
        <v>306</v>
      </c>
      <c r="B303" s="3227" t="s">
        <v>2947</v>
      </c>
      <c r="C303" s="3227">
        <v>5630</v>
      </c>
      <c r="D303" s="3227">
        <v>5590</v>
      </c>
      <c r="E303" s="3227">
        <v>6550</v>
      </c>
      <c r="F303" s="3227">
        <v>1010</v>
      </c>
      <c r="G303" s="3240">
        <v>3370</v>
      </c>
    </row>
    <row r="304" spans="1:7" s="3216" customFormat="1" ht="14.25" customHeight="1">
      <c r="A304" s="3227" t="s">
        <v>306</v>
      </c>
      <c r="B304" s="3227" t="s">
        <v>2954</v>
      </c>
      <c r="C304" s="3227">
        <v>5680</v>
      </c>
      <c r="D304" s="3227">
        <v>5620</v>
      </c>
      <c r="E304" s="3227">
        <v>6620</v>
      </c>
      <c r="F304" s="3227">
        <v>1050</v>
      </c>
      <c r="G304" s="3240">
        <v>3390</v>
      </c>
    </row>
    <row r="305" spans="1:7" s="3216" customFormat="1" ht="14.25" customHeight="1">
      <c r="A305" s="3227" t="s">
        <v>306</v>
      </c>
      <c r="B305" s="3227" t="s">
        <v>2960</v>
      </c>
      <c r="C305" s="3227">
        <v>5590</v>
      </c>
      <c r="D305" s="3227">
        <v>5530</v>
      </c>
      <c r="E305" s="3227">
        <v>6460</v>
      </c>
      <c r="F305" s="3227">
        <v>900</v>
      </c>
      <c r="G305" s="3240">
        <v>3340</v>
      </c>
    </row>
    <row r="306" spans="1:7" s="3216" customFormat="1" ht="14.25" customHeight="1">
      <c r="A306" s="3227" t="s">
        <v>306</v>
      </c>
      <c r="B306" s="3227" t="s">
        <v>3136</v>
      </c>
      <c r="C306" s="3227">
        <v>5560</v>
      </c>
      <c r="D306" s="3227">
        <v>5510</v>
      </c>
      <c r="E306" s="3227">
        <v>6440</v>
      </c>
      <c r="F306" s="3227">
        <v>900</v>
      </c>
      <c r="G306" s="3240">
        <v>3320</v>
      </c>
    </row>
    <row r="307" spans="1:7" s="3216" customFormat="1" ht="14.25" customHeight="1">
      <c r="A307" s="3227" t="s">
        <v>306</v>
      </c>
      <c r="B307" s="3227" t="s">
        <v>2972</v>
      </c>
      <c r="C307" s="3227">
        <v>5650</v>
      </c>
      <c r="D307" s="3227">
        <v>5600</v>
      </c>
      <c r="E307" s="3227">
        <v>6590</v>
      </c>
      <c r="F307" s="3227">
        <v>930</v>
      </c>
      <c r="G307" s="3240">
        <v>3380</v>
      </c>
    </row>
    <row r="308" spans="1:7" s="3216" customFormat="1" ht="14.25" customHeight="1">
      <c r="A308" s="3227" t="s">
        <v>306</v>
      </c>
      <c r="B308" s="3227" t="s">
        <v>3137</v>
      </c>
      <c r="C308" s="3227">
        <v>5620</v>
      </c>
      <c r="D308" s="3227">
        <v>5580</v>
      </c>
      <c r="E308" s="3227">
        <v>6540</v>
      </c>
      <c r="F308" s="3227">
        <v>910</v>
      </c>
      <c r="G308" s="3240">
        <v>3370</v>
      </c>
    </row>
    <row r="309" spans="1:7" s="3216" customFormat="1" ht="14.25" customHeight="1">
      <c r="A309" s="3227" t="s">
        <v>306</v>
      </c>
      <c r="B309" s="3227" t="s">
        <v>3138</v>
      </c>
      <c r="C309" s="3227">
        <v>5060</v>
      </c>
      <c r="D309" s="3227">
        <v>5020</v>
      </c>
      <c r="E309" s="3227">
        <v>6370</v>
      </c>
      <c r="F309" s="3227">
        <v>800</v>
      </c>
      <c r="G309" s="3240">
        <v>3020</v>
      </c>
    </row>
    <row r="310" spans="1:7" s="3216" customFormat="1" ht="14.25" customHeight="1">
      <c r="A310" s="3227" t="s">
        <v>306</v>
      </c>
      <c r="B310" s="3227" t="s">
        <v>2987</v>
      </c>
      <c r="C310" s="3227">
        <v>5150</v>
      </c>
      <c r="D310" s="3227">
        <v>5110</v>
      </c>
      <c r="E310" s="3227">
        <v>6500</v>
      </c>
      <c r="F310" s="3227">
        <v>880</v>
      </c>
      <c r="G310" s="3240">
        <v>3080</v>
      </c>
    </row>
    <row r="311" spans="1:7" s="3216" customFormat="1" ht="14.25" customHeight="1">
      <c r="A311" s="3227" t="s">
        <v>306</v>
      </c>
      <c r="B311" s="3227" t="s">
        <v>3139</v>
      </c>
      <c r="C311" s="3227">
        <v>4750</v>
      </c>
      <c r="D311" s="3227">
        <v>4710</v>
      </c>
      <c r="E311" s="3227">
        <v>5510</v>
      </c>
      <c r="F311" s="3227">
        <v>880</v>
      </c>
      <c r="G311" s="3240">
        <v>2840</v>
      </c>
    </row>
    <row r="312" spans="1:7" s="3216" customFormat="1" ht="14.25" customHeight="1">
      <c r="A312" s="3227" t="s">
        <v>306</v>
      </c>
      <c r="B312" s="3227" t="s">
        <v>2997</v>
      </c>
      <c r="C312" s="3227">
        <v>4690</v>
      </c>
      <c r="D312" s="3227">
        <v>4640</v>
      </c>
      <c r="E312" s="3227">
        <v>5420</v>
      </c>
      <c r="F312" s="3227">
        <v>800</v>
      </c>
      <c r="G312" s="3240">
        <v>2800</v>
      </c>
    </row>
    <row r="313" spans="1:7" s="3216" customFormat="1" ht="14.25" customHeight="1">
      <c r="A313" s="3227" t="s">
        <v>306</v>
      </c>
      <c r="B313" s="3227" t="s">
        <v>3002</v>
      </c>
      <c r="C313" s="3227">
        <v>4810</v>
      </c>
      <c r="D313" s="3227">
        <v>4760</v>
      </c>
      <c r="E313" s="3227">
        <v>5550</v>
      </c>
      <c r="F313" s="3227">
        <v>920</v>
      </c>
      <c r="G313" s="3240">
        <v>2870</v>
      </c>
    </row>
    <row r="314" spans="1:7" s="3216" customFormat="1" ht="14.25" customHeight="1">
      <c r="A314" s="3227" t="s">
        <v>306</v>
      </c>
      <c r="B314" s="3227" t="s">
        <v>3140</v>
      </c>
      <c r="C314" s="3227"/>
      <c r="D314" s="3227"/>
      <c r="E314" s="3227"/>
      <c r="F314" s="3227">
        <v>1020</v>
      </c>
      <c r="G314" s="3240"/>
    </row>
    <row r="315" spans="1:7" s="3216" customFormat="1" ht="14.25" customHeight="1">
      <c r="A315" s="3227" t="s">
        <v>306</v>
      </c>
      <c r="B315" s="3227" t="s">
        <v>3141</v>
      </c>
      <c r="C315" s="3227"/>
      <c r="D315" s="3227"/>
      <c r="E315" s="3227"/>
      <c r="F315" s="3227">
        <v>1050</v>
      </c>
      <c r="G315" s="3240"/>
    </row>
    <row r="316" spans="1:7" s="3216" customFormat="1" ht="14.25" customHeight="1">
      <c r="A316" s="3227" t="s">
        <v>306</v>
      </c>
      <c r="B316" s="3227" t="s">
        <v>3017</v>
      </c>
      <c r="C316" s="3227"/>
      <c r="D316" s="3227"/>
      <c r="E316" s="3227"/>
      <c r="F316" s="3227">
        <v>900</v>
      </c>
      <c r="G316" s="3240"/>
    </row>
    <row r="317" spans="1:7" s="3216" customFormat="1" ht="14.25" customHeight="1">
      <c r="A317" s="3227" t="s">
        <v>306</v>
      </c>
      <c r="B317" s="3227" t="s">
        <v>3142</v>
      </c>
      <c r="C317" s="3227"/>
      <c r="D317" s="3227"/>
      <c r="E317" s="3227"/>
      <c r="F317" s="3227">
        <v>920</v>
      </c>
      <c r="G317" s="3240"/>
    </row>
    <row r="318" spans="1:7" s="3216" customFormat="1" ht="14.25" customHeight="1">
      <c r="A318" s="3227" t="s">
        <v>306</v>
      </c>
      <c r="B318" s="3227" t="s">
        <v>3143</v>
      </c>
      <c r="C318" s="3227"/>
      <c r="D318" s="3227"/>
      <c r="E318" s="3227"/>
      <c r="F318" s="3227">
        <v>1080</v>
      </c>
      <c r="G318" s="3240"/>
    </row>
    <row r="319" spans="1:7" s="3216" customFormat="1" ht="14.25" customHeight="1">
      <c r="A319" s="3227" t="s">
        <v>306</v>
      </c>
      <c r="B319" s="3227" t="s">
        <v>3030</v>
      </c>
      <c r="C319" s="3227"/>
      <c r="D319" s="3227"/>
      <c r="E319" s="3227"/>
      <c r="F319" s="3227">
        <v>1020</v>
      </c>
      <c r="G319" s="3240"/>
    </row>
    <row r="320" spans="1:7" s="3216" customFormat="1" ht="14.25" customHeight="1">
      <c r="A320" s="3227" t="s">
        <v>306</v>
      </c>
      <c r="B320" s="3227" t="s">
        <v>3033</v>
      </c>
      <c r="C320" s="3227"/>
      <c r="D320" s="3227"/>
      <c r="E320" s="3227"/>
      <c r="F320" s="3227">
        <v>1050</v>
      </c>
      <c r="G320" s="3240"/>
    </row>
    <row r="321" spans="1:7" s="3216" customFormat="1" ht="14.25" customHeight="1">
      <c r="A321" s="3227" t="s">
        <v>306</v>
      </c>
      <c r="B321" s="3227" t="s">
        <v>3035</v>
      </c>
      <c r="C321" s="3227"/>
      <c r="D321" s="3227"/>
      <c r="E321" s="3227"/>
      <c r="F321" s="3227">
        <v>960</v>
      </c>
      <c r="G321" s="3240"/>
    </row>
    <row r="322" spans="1:7" s="3216" customFormat="1" ht="14.25" customHeight="1">
      <c r="A322" s="3227" t="s">
        <v>306</v>
      </c>
      <c r="B322" s="3227" t="s">
        <v>3037</v>
      </c>
      <c r="C322" s="3227"/>
      <c r="D322" s="3227"/>
      <c r="E322" s="3227"/>
      <c r="F322" s="3227">
        <v>960</v>
      </c>
      <c r="G322" s="3240"/>
    </row>
    <row r="323" spans="1:7" s="3216" customFormat="1" ht="14.25" customHeight="1">
      <c r="A323" s="3227" t="s">
        <v>306</v>
      </c>
      <c r="B323" s="3227" t="s">
        <v>3039</v>
      </c>
      <c r="C323" s="3227"/>
      <c r="D323" s="3227"/>
      <c r="E323" s="3227"/>
      <c r="F323" s="3227">
        <v>880</v>
      </c>
      <c r="G323" s="3240"/>
    </row>
    <row r="324" spans="1:7" s="3216" customFormat="1" ht="14.25" customHeight="1">
      <c r="A324" s="3227" t="s">
        <v>306</v>
      </c>
      <c r="B324" s="3227" t="s">
        <v>3041</v>
      </c>
      <c r="C324" s="3227"/>
      <c r="D324" s="3227"/>
      <c r="E324" s="3227"/>
      <c r="F324" s="3227">
        <v>930</v>
      </c>
      <c r="G324" s="3240"/>
    </row>
    <row r="325" spans="1:7" s="3216" customFormat="1" ht="14.25" customHeight="1">
      <c r="A325" s="3227" t="s">
        <v>306</v>
      </c>
      <c r="B325" s="3228" t="s">
        <v>3043</v>
      </c>
      <c r="C325" s="3227"/>
      <c r="D325" s="3227"/>
      <c r="E325" s="3227"/>
      <c r="F325" s="3227">
        <v>900</v>
      </c>
      <c r="G325" s="3240"/>
    </row>
    <row r="326" spans="1:7" s="3216" customFormat="1" ht="14.25" customHeight="1" thickBot="1">
      <c r="A326" s="3241" t="s">
        <v>306</v>
      </c>
      <c r="B326" s="3234" t="s">
        <v>3045</v>
      </c>
      <c r="C326" s="3234"/>
      <c r="D326" s="3234"/>
      <c r="E326" s="3234"/>
      <c r="F326" s="3234">
        <v>790</v>
      </c>
      <c r="G326" s="3242"/>
    </row>
    <row r="327" spans="1:7" s="3216" customFormat="1" ht="14.25" customHeight="1">
      <c r="A327" s="3232" t="s">
        <v>307</v>
      </c>
      <c r="B327" s="3223" t="s">
        <v>3144</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3145</v>
      </c>
      <c r="C329" s="3227">
        <v>2730</v>
      </c>
      <c r="D329" s="3227">
        <v>2690</v>
      </c>
      <c r="E329" s="3227">
        <v>3100</v>
      </c>
      <c r="F329" s="3227">
        <v>660</v>
      </c>
      <c r="G329" s="3227">
        <v>1610</v>
      </c>
    </row>
    <row r="330" spans="1:7" s="3216" customFormat="1" ht="14.25" customHeight="1">
      <c r="A330" s="3227" t="s">
        <v>307</v>
      </c>
      <c r="B330" s="3227" t="s">
        <v>3146</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2879</v>
      </c>
      <c r="C332" s="3227">
        <v>3520</v>
      </c>
      <c r="D332" s="3227">
        <v>3480</v>
      </c>
      <c r="E332" s="3227">
        <v>3830</v>
      </c>
      <c r="F332" s="3227">
        <v>720</v>
      </c>
      <c r="G332" s="3227">
        <v>2090</v>
      </c>
    </row>
    <row r="333" spans="1:7" s="3216" customFormat="1" ht="14.25" customHeight="1">
      <c r="A333" s="3227" t="s">
        <v>307</v>
      </c>
      <c r="B333" s="3227" t="s">
        <v>3147</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2889</v>
      </c>
      <c r="C336" s="3227">
        <v>3570</v>
      </c>
      <c r="D336" s="3227">
        <v>3530</v>
      </c>
      <c r="E336" s="3227">
        <v>3880</v>
      </c>
      <c r="F336" s="3227">
        <v>770</v>
      </c>
      <c r="G336" s="3227">
        <v>2110</v>
      </c>
    </row>
    <row r="337" spans="1:10" s="3216" customFormat="1" ht="14.25" customHeight="1">
      <c r="A337" s="3227" t="s">
        <v>307</v>
      </c>
      <c r="B337" s="3227" t="s">
        <v>3148</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3149</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3150</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2914</v>
      </c>
      <c r="C345" s="3227">
        <v>3190</v>
      </c>
      <c r="D345" s="3227">
        <v>3140</v>
      </c>
      <c r="E345" s="3227">
        <v>3450</v>
      </c>
      <c r="F345" s="3227">
        <v>720</v>
      </c>
      <c r="G345" s="3227">
        <v>1880</v>
      </c>
      <c r="J345" s="3216"/>
    </row>
    <row r="346" spans="1:10">
      <c r="A346" s="3227" t="s">
        <v>307</v>
      </c>
      <c r="B346" s="3227" t="s">
        <v>3151</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2923</v>
      </c>
      <c r="C348" s="3227">
        <v>4000</v>
      </c>
      <c r="D348" s="3227">
        <v>3950</v>
      </c>
      <c r="E348" s="3227">
        <v>4430</v>
      </c>
      <c r="F348" s="3227">
        <v>760</v>
      </c>
      <c r="G348" s="3227">
        <v>2360</v>
      </c>
      <c r="J348" s="3216"/>
    </row>
    <row r="349" spans="1:10">
      <c r="A349" s="3227" t="s">
        <v>307</v>
      </c>
      <c r="B349" s="3227" t="s">
        <v>2928</v>
      </c>
      <c r="C349" s="3227">
        <v>3820</v>
      </c>
      <c r="D349" s="3227">
        <v>3780</v>
      </c>
      <c r="E349" s="3227">
        <v>4170</v>
      </c>
      <c r="F349" s="3227">
        <v>710</v>
      </c>
      <c r="G349" s="3227">
        <v>2260</v>
      </c>
      <c r="J349" s="3216"/>
    </row>
    <row r="350" spans="1:10">
      <c r="A350" s="3227" t="s">
        <v>307</v>
      </c>
      <c r="B350" s="3227" t="s">
        <v>3152</v>
      </c>
      <c r="C350" s="3227">
        <v>3760</v>
      </c>
      <c r="D350" s="3227">
        <v>3730</v>
      </c>
      <c r="E350" s="3227">
        <v>4100</v>
      </c>
      <c r="F350" s="3227">
        <v>800</v>
      </c>
      <c r="G350" s="3227">
        <v>2230</v>
      </c>
      <c r="J350" s="3216"/>
    </row>
    <row r="351" spans="1:10">
      <c r="A351" s="3227" t="s">
        <v>307</v>
      </c>
      <c r="B351" s="3227" t="s">
        <v>2936</v>
      </c>
      <c r="C351" s="3227">
        <v>3610</v>
      </c>
      <c r="D351" s="3227">
        <v>3580</v>
      </c>
      <c r="E351" s="3227">
        <v>3930</v>
      </c>
      <c r="F351" s="3227">
        <v>700</v>
      </c>
      <c r="G351" s="3227">
        <v>2140</v>
      </c>
      <c r="J351" s="3216"/>
    </row>
    <row r="352" spans="1:10">
      <c r="A352" s="3227" t="s">
        <v>307</v>
      </c>
      <c r="B352" s="3227" t="s">
        <v>2941</v>
      </c>
      <c r="C352" s="3227">
        <v>3670</v>
      </c>
      <c r="D352" s="3227">
        <v>3630</v>
      </c>
      <c r="E352" s="3227">
        <v>4000</v>
      </c>
      <c r="F352" s="3227">
        <v>750</v>
      </c>
      <c r="G352" s="3227">
        <v>2180</v>
      </c>
    </row>
    <row r="353" spans="1:7" s="3220" customFormat="1">
      <c r="A353" s="3227" t="s">
        <v>307</v>
      </c>
      <c r="B353" s="3227" t="s">
        <v>3153</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2961</v>
      </c>
      <c r="C355" s="3227">
        <v>3650</v>
      </c>
      <c r="D355" s="3227">
        <v>3610</v>
      </c>
      <c r="E355" s="3227">
        <v>4200</v>
      </c>
      <c r="F355" s="3227">
        <v>640</v>
      </c>
      <c r="G355" s="3227">
        <v>2160</v>
      </c>
    </row>
    <row r="356" spans="1:7" s="3220" customFormat="1">
      <c r="A356" s="3227" t="s">
        <v>307</v>
      </c>
      <c r="B356" s="3227" t="s">
        <v>2968</v>
      </c>
      <c r="C356" s="3227">
        <v>3260</v>
      </c>
      <c r="D356" s="3227">
        <v>3230</v>
      </c>
      <c r="E356" s="3227">
        <v>3740</v>
      </c>
      <c r="F356" s="3227">
        <v>600</v>
      </c>
      <c r="G356" s="3227">
        <v>1930</v>
      </c>
    </row>
    <row r="357" spans="1:7" s="3220" customFormat="1" ht="12" thickBot="1">
      <c r="A357" s="3235" t="s">
        <v>307</v>
      </c>
      <c r="B357" s="3238" t="s">
        <v>3154</v>
      </c>
      <c r="C357" s="3238">
        <v>3690</v>
      </c>
      <c r="D357" s="3238">
        <v>3650</v>
      </c>
      <c r="E357" s="3238">
        <v>4020</v>
      </c>
      <c r="F357" s="3238">
        <v>700</v>
      </c>
      <c r="G357" s="3238">
        <v>2190</v>
      </c>
    </row>
    <row r="358" spans="1:7" s="3220" customFormat="1">
      <c r="A358" s="3232" t="s">
        <v>3155</v>
      </c>
      <c r="B358" s="3223" t="s">
        <v>3156</v>
      </c>
      <c r="C358" s="3223">
        <v>2080</v>
      </c>
      <c r="D358" s="3223">
        <v>2040</v>
      </c>
      <c r="E358" s="3223">
        <v>2010</v>
      </c>
      <c r="F358" s="3223">
        <v>530</v>
      </c>
      <c r="G358" s="3239">
        <v>1230</v>
      </c>
    </row>
    <row r="359" spans="1:7" s="3220" customFormat="1">
      <c r="A359" s="3227" t="s">
        <v>3155</v>
      </c>
      <c r="B359" s="3227" t="s">
        <v>3157</v>
      </c>
      <c r="C359" s="3227">
        <v>1850</v>
      </c>
      <c r="D359" s="3227">
        <v>1820</v>
      </c>
      <c r="E359" s="3227">
        <v>1780</v>
      </c>
      <c r="F359" s="3227">
        <v>520</v>
      </c>
      <c r="G359" s="3240">
        <v>1100</v>
      </c>
    </row>
    <row r="360" spans="1:7" s="3220" customFormat="1">
      <c r="A360" s="3227" t="s">
        <v>3155</v>
      </c>
      <c r="B360" s="3227" t="s">
        <v>3158</v>
      </c>
      <c r="C360" s="3227">
        <v>2020</v>
      </c>
      <c r="D360" s="3227">
        <v>1990</v>
      </c>
      <c r="E360" s="3227">
        <v>1950</v>
      </c>
      <c r="F360" s="3227">
        <v>500</v>
      </c>
      <c r="G360" s="3240">
        <v>1200</v>
      </c>
    </row>
    <row r="361" spans="1:7" s="3220" customFormat="1">
      <c r="A361" s="3227" t="s">
        <v>3155</v>
      </c>
      <c r="B361" s="3227" t="s">
        <v>153</v>
      </c>
      <c r="C361" s="3227">
        <v>2260</v>
      </c>
      <c r="D361" s="3227">
        <v>2220</v>
      </c>
      <c r="E361" s="3227">
        <v>2180</v>
      </c>
      <c r="F361" s="3227">
        <v>580</v>
      </c>
      <c r="G361" s="3240">
        <v>1340</v>
      </c>
    </row>
    <row r="362" spans="1:7" s="3220" customFormat="1">
      <c r="A362" s="3227" t="s">
        <v>3155</v>
      </c>
      <c r="B362" s="3227" t="s">
        <v>3159</v>
      </c>
      <c r="C362" s="3227">
        <v>2650</v>
      </c>
      <c r="D362" s="3227">
        <v>2610</v>
      </c>
      <c r="E362" s="3227">
        <v>2570</v>
      </c>
      <c r="F362" s="3227">
        <v>630</v>
      </c>
      <c r="G362" s="3240">
        <v>1570</v>
      </c>
    </row>
    <row r="363" spans="1:7" s="3220" customFormat="1">
      <c r="A363" s="3227" t="s">
        <v>3155</v>
      </c>
      <c r="B363" s="3227" t="s">
        <v>2880</v>
      </c>
      <c r="C363" s="3227">
        <v>2390</v>
      </c>
      <c r="D363" s="3227">
        <v>2360</v>
      </c>
      <c r="E363" s="3227">
        <v>2320</v>
      </c>
      <c r="F363" s="3227">
        <v>600</v>
      </c>
      <c r="G363" s="3240">
        <v>1420</v>
      </c>
    </row>
    <row r="364" spans="1:7" s="3220" customFormat="1">
      <c r="A364" s="3227" t="s">
        <v>3155</v>
      </c>
      <c r="B364" s="3227" t="s">
        <v>3160</v>
      </c>
      <c r="C364" s="3227">
        <v>2050</v>
      </c>
      <c r="D364" s="3227">
        <v>2030</v>
      </c>
      <c r="E364" s="3227">
        <v>1990</v>
      </c>
      <c r="F364" s="3227">
        <v>550</v>
      </c>
      <c r="G364" s="3240">
        <v>1220</v>
      </c>
    </row>
    <row r="365" spans="1:7" s="3220" customFormat="1">
      <c r="A365" s="3227" t="s">
        <v>3155</v>
      </c>
      <c r="B365" s="3227" t="s">
        <v>200</v>
      </c>
      <c r="C365" s="3227">
        <v>2140</v>
      </c>
      <c r="D365" s="3227">
        <v>2100</v>
      </c>
      <c r="E365" s="3227">
        <v>2060</v>
      </c>
      <c r="F365" s="3227">
        <v>540</v>
      </c>
      <c r="G365" s="3240">
        <v>1270</v>
      </c>
    </row>
    <row r="366" spans="1:7" s="3220" customFormat="1">
      <c r="A366" s="3227" t="s">
        <v>3155</v>
      </c>
      <c r="B366" s="3227" t="s">
        <v>2887</v>
      </c>
      <c r="C366" s="3227">
        <v>2410</v>
      </c>
      <c r="D366" s="3227">
        <v>2370</v>
      </c>
      <c r="E366" s="3227">
        <v>2330</v>
      </c>
      <c r="F366" s="3227">
        <v>570</v>
      </c>
      <c r="G366" s="3240">
        <v>1440</v>
      </c>
    </row>
    <row r="367" spans="1:7" s="3220" customFormat="1">
      <c r="A367" s="3227" t="s">
        <v>3155</v>
      </c>
      <c r="B367" s="3227" t="s">
        <v>3161</v>
      </c>
      <c r="C367" s="3227">
        <v>2300</v>
      </c>
      <c r="D367" s="3227">
        <v>2260</v>
      </c>
      <c r="E367" s="3227">
        <v>2220</v>
      </c>
      <c r="F367" s="3227">
        <v>560</v>
      </c>
      <c r="G367" s="3240">
        <v>1370</v>
      </c>
    </row>
    <row r="368" spans="1:7" s="3220" customFormat="1">
      <c r="A368" s="3227" t="s">
        <v>3155</v>
      </c>
      <c r="B368" s="3227" t="s">
        <v>3162</v>
      </c>
      <c r="C368" s="3227">
        <v>2430</v>
      </c>
      <c r="D368" s="3227">
        <v>2390</v>
      </c>
      <c r="E368" s="3227">
        <v>2350</v>
      </c>
      <c r="F368" s="3227">
        <v>570</v>
      </c>
      <c r="G368" s="3240">
        <v>1450</v>
      </c>
    </row>
    <row r="369" spans="1:7" s="3220" customFormat="1">
      <c r="A369" s="3227" t="s">
        <v>3155</v>
      </c>
      <c r="B369" s="3227" t="s">
        <v>214</v>
      </c>
      <c r="C369" s="3227">
        <v>2320</v>
      </c>
      <c r="D369" s="3227">
        <v>2290</v>
      </c>
      <c r="E369" s="3227">
        <v>2250</v>
      </c>
      <c r="F369" s="3227">
        <v>550</v>
      </c>
      <c r="G369" s="3240">
        <v>1380</v>
      </c>
    </row>
    <row r="370" spans="1:7" s="3220" customFormat="1">
      <c r="A370" s="3227" t="s">
        <v>3155</v>
      </c>
      <c r="B370" s="3227" t="s">
        <v>221</v>
      </c>
      <c r="C370" s="3227">
        <v>2190</v>
      </c>
      <c r="D370" s="3227">
        <v>2170</v>
      </c>
      <c r="E370" s="3227">
        <v>2130</v>
      </c>
      <c r="F370" s="3227">
        <v>530</v>
      </c>
      <c r="G370" s="3240">
        <v>1310</v>
      </c>
    </row>
    <row r="371" spans="1:7" s="3220" customFormat="1">
      <c r="A371" s="3227" t="s">
        <v>3155</v>
      </c>
      <c r="B371" s="3227" t="s">
        <v>229</v>
      </c>
      <c r="C371" s="3227">
        <v>2460</v>
      </c>
      <c r="D371" s="3227">
        <v>2420</v>
      </c>
      <c r="E371" s="3227">
        <v>2370</v>
      </c>
      <c r="F371" s="3227">
        <v>560</v>
      </c>
      <c r="G371" s="3240">
        <v>1470</v>
      </c>
    </row>
    <row r="372" spans="1:7" s="3220" customFormat="1">
      <c r="A372" s="3227" t="s">
        <v>3155</v>
      </c>
      <c r="B372" s="3227" t="s">
        <v>3163</v>
      </c>
      <c r="C372" s="3227">
        <v>2250</v>
      </c>
      <c r="D372" s="3227">
        <v>2210</v>
      </c>
      <c r="E372" s="3227">
        <v>2180</v>
      </c>
      <c r="F372" s="3227">
        <v>550</v>
      </c>
      <c r="G372" s="3240">
        <v>1340</v>
      </c>
    </row>
    <row r="373" spans="1:7" s="3220" customFormat="1">
      <c r="A373" s="3227" t="s">
        <v>3155</v>
      </c>
      <c r="B373" s="3227" t="s">
        <v>258</v>
      </c>
      <c r="C373" s="3227">
        <v>2210</v>
      </c>
      <c r="D373" s="3227">
        <v>2190</v>
      </c>
      <c r="E373" s="3227">
        <v>2150</v>
      </c>
      <c r="F373" s="3227">
        <v>530</v>
      </c>
      <c r="G373" s="3240">
        <v>1320</v>
      </c>
    </row>
    <row r="374" spans="1:7" s="3220" customFormat="1">
      <c r="A374" s="3227" t="s">
        <v>3155</v>
      </c>
      <c r="B374" s="3227" t="s">
        <v>266</v>
      </c>
      <c r="C374" s="3227">
        <v>2320</v>
      </c>
      <c r="D374" s="3227">
        <v>2280</v>
      </c>
      <c r="E374" s="3227">
        <v>2230</v>
      </c>
      <c r="F374" s="3227">
        <v>580</v>
      </c>
      <c r="G374" s="3240">
        <v>1380</v>
      </c>
    </row>
    <row r="375" spans="1:7" s="3220" customFormat="1">
      <c r="A375" s="3227" t="s">
        <v>3155</v>
      </c>
      <c r="B375" s="3227" t="s">
        <v>3164</v>
      </c>
      <c r="C375" s="3227">
        <v>2090</v>
      </c>
      <c r="D375" s="3227">
        <v>2050</v>
      </c>
      <c r="E375" s="3227">
        <v>2020</v>
      </c>
      <c r="F375" s="3227">
        <v>520</v>
      </c>
      <c r="G375" s="3240">
        <v>1240</v>
      </c>
    </row>
    <row r="376" spans="1:7" s="3220" customFormat="1">
      <c r="A376" s="3227" t="s">
        <v>3155</v>
      </c>
      <c r="B376" s="3227" t="s">
        <v>277</v>
      </c>
      <c r="C376" s="3227">
        <v>2010</v>
      </c>
      <c r="D376" s="3227">
        <v>1980</v>
      </c>
      <c r="E376" s="3227">
        <v>1940</v>
      </c>
      <c r="F376" s="3227">
        <v>540</v>
      </c>
      <c r="G376" s="3240">
        <v>1190</v>
      </c>
    </row>
    <row r="377" spans="1:7" s="3220" customFormat="1" ht="12" thickBot="1">
      <c r="A377" s="3235" t="s">
        <v>3155</v>
      </c>
      <c r="B377" s="3238" t="s">
        <v>2917</v>
      </c>
      <c r="C377" s="3238">
        <v>1930</v>
      </c>
      <c r="D377" s="3238">
        <v>1890</v>
      </c>
      <c r="E377" s="3238">
        <v>1860</v>
      </c>
      <c r="F377" s="3238">
        <v>530</v>
      </c>
      <c r="G377" s="3243">
        <v>1150</v>
      </c>
    </row>
    <row r="378" spans="1:7" s="3220" customFormat="1">
      <c r="A378" s="3244" t="s">
        <v>3165</v>
      </c>
      <c r="B378" s="3223" t="s">
        <v>3166</v>
      </c>
      <c r="C378" s="3223">
        <v>1520</v>
      </c>
      <c r="D378" s="3223">
        <v>1490</v>
      </c>
      <c r="E378" s="3223">
        <v>1460</v>
      </c>
      <c r="F378" s="3223">
        <v>460</v>
      </c>
      <c r="G378" s="3239">
        <v>940</v>
      </c>
    </row>
    <row r="379" spans="1:7" s="3220" customFormat="1">
      <c r="A379" s="3245" t="s">
        <v>3165</v>
      </c>
      <c r="B379" s="3227" t="s">
        <v>3167</v>
      </c>
      <c r="C379" s="3227">
        <v>1500</v>
      </c>
      <c r="D379" s="3227">
        <v>1470</v>
      </c>
      <c r="E379" s="3227">
        <v>1430</v>
      </c>
      <c r="F379" s="3227">
        <v>460</v>
      </c>
      <c r="G379" s="3240">
        <v>920</v>
      </c>
    </row>
    <row r="380" spans="1:7" s="3220" customFormat="1">
      <c r="A380" s="3245" t="s">
        <v>3165</v>
      </c>
      <c r="B380" s="3227" t="s">
        <v>3168</v>
      </c>
      <c r="C380" s="3227">
        <v>1620</v>
      </c>
      <c r="D380" s="3227">
        <v>1590</v>
      </c>
      <c r="E380" s="3227">
        <v>1560</v>
      </c>
      <c r="F380" s="3227">
        <v>480</v>
      </c>
      <c r="G380" s="3240">
        <v>1000</v>
      </c>
    </row>
    <row r="381" spans="1:7" s="3220" customFormat="1">
      <c r="A381" s="3245" t="s">
        <v>3165</v>
      </c>
      <c r="B381" s="3227" t="s">
        <v>3169</v>
      </c>
      <c r="C381" s="3227">
        <v>1460</v>
      </c>
      <c r="D381" s="3227">
        <v>1430</v>
      </c>
      <c r="E381" s="3227">
        <v>1390</v>
      </c>
      <c r="F381" s="3227">
        <v>450</v>
      </c>
      <c r="G381" s="3240">
        <v>900</v>
      </c>
    </row>
    <row r="382" spans="1:7" s="3220" customFormat="1">
      <c r="A382" s="3245" t="s">
        <v>3165</v>
      </c>
      <c r="B382" s="3227" t="s">
        <v>3170</v>
      </c>
      <c r="C382" s="3227">
        <v>1310</v>
      </c>
      <c r="D382" s="3227">
        <v>1280</v>
      </c>
      <c r="E382" s="3227">
        <v>1250</v>
      </c>
      <c r="F382" s="3227">
        <v>440</v>
      </c>
      <c r="G382" s="3240">
        <v>800</v>
      </c>
    </row>
    <row r="383" spans="1:7" s="3220" customFormat="1">
      <c r="A383" s="3245" t="s">
        <v>3165</v>
      </c>
      <c r="B383" s="3227" t="s">
        <v>3171</v>
      </c>
      <c r="C383" s="3227">
        <v>1260</v>
      </c>
      <c r="D383" s="3227">
        <v>1230</v>
      </c>
      <c r="E383" s="3227">
        <v>1200</v>
      </c>
      <c r="F383" s="3227">
        <v>420</v>
      </c>
      <c r="G383" s="3240">
        <v>770</v>
      </c>
    </row>
    <row r="384" spans="1:7" s="3220" customFormat="1" ht="12" thickBot="1">
      <c r="A384" s="3246" t="s">
        <v>3165</v>
      </c>
      <c r="B384" s="3234" t="s">
        <v>3172</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86" t="s">
        <v>3173</v>
      </c>
      <c r="B1" s="3786"/>
    </row>
    <row r="2" spans="1:7" ht="14.25" thickBot="1">
      <c r="A2" s="3249"/>
      <c r="B2" s="3249"/>
    </row>
    <row r="3" spans="1:7" ht="14.25" thickBot="1">
      <c r="A3" s="3249"/>
      <c r="B3" s="3249"/>
      <c r="C3" s="3250" t="s">
        <v>2801</v>
      </c>
      <c r="D3" s="3250" t="s">
        <v>2859</v>
      </c>
      <c r="E3" s="3250" t="s">
        <v>2803</v>
      </c>
      <c r="F3" s="3250" t="s">
        <v>2860</v>
      </c>
      <c r="G3" s="3250" t="s">
        <v>2621</v>
      </c>
    </row>
    <row r="4" spans="1:7" ht="14.25" thickBot="1">
      <c r="A4" s="3251" t="s">
        <v>2858</v>
      </c>
      <c r="B4" s="3252" t="s">
        <v>2864</v>
      </c>
      <c r="C4" s="3250"/>
      <c r="D4" s="3250"/>
      <c r="E4" s="3250"/>
      <c r="F4" s="3250"/>
      <c r="G4" s="3250"/>
    </row>
    <row r="5" spans="1:7">
      <c r="A5" s="3253" t="s">
        <v>2832</v>
      </c>
      <c r="B5" s="3254" t="s">
        <v>2846</v>
      </c>
      <c r="C5" s="3255">
        <v>9.8000000000000004E-2</v>
      </c>
      <c r="D5" s="3255">
        <v>8.6999999999999994E-2</v>
      </c>
      <c r="E5" s="3255">
        <v>8.6999999999999994E-2</v>
      </c>
      <c r="F5" s="3255">
        <v>9.8000000000000004E-2</v>
      </c>
      <c r="G5" s="3256">
        <v>9.5000000000000001E-2</v>
      </c>
    </row>
    <row r="6" spans="1:7">
      <c r="A6" s="3257" t="s">
        <v>144</v>
      </c>
      <c r="B6" s="3258" t="s">
        <v>2861</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2847</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2897</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2915</v>
      </c>
      <c r="C29" s="3267"/>
      <c r="D29" s="3263">
        <v>5.1999999999999998E-2</v>
      </c>
      <c r="E29" s="3263">
        <v>7.0000000000000007E-2</v>
      </c>
      <c r="F29" s="3267"/>
      <c r="G29" s="3265">
        <v>7.0999999999999994E-2</v>
      </c>
    </row>
    <row r="30" spans="1:7">
      <c r="A30" s="3268" t="s">
        <v>296</v>
      </c>
      <c r="B30" s="3254" t="s">
        <v>2848</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2834</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2918</v>
      </c>
      <c r="C50" s="3259">
        <v>9.8000000000000004E-2</v>
      </c>
      <c r="D50" s="3259">
        <v>7.2999999999999995E-2</v>
      </c>
      <c r="E50" s="3259">
        <v>7.0999999999999994E-2</v>
      </c>
      <c r="F50" s="3270"/>
      <c r="G50" s="3260">
        <v>7.2999999999999995E-2</v>
      </c>
    </row>
    <row r="51" spans="1:7">
      <c r="A51" s="3269" t="s">
        <v>296</v>
      </c>
      <c r="B51" s="3258" t="s">
        <v>2920</v>
      </c>
      <c r="C51" s="3259">
        <v>9.9000000000000005E-2</v>
      </c>
      <c r="D51" s="3259">
        <v>8.5000000000000006E-2</v>
      </c>
      <c r="E51" s="3259">
        <v>6.3E-2</v>
      </c>
      <c r="F51" s="3270"/>
      <c r="G51" s="3260">
        <v>9.6000000000000002E-2</v>
      </c>
    </row>
    <row r="52" spans="1:7">
      <c r="A52" s="3269" t="s">
        <v>296</v>
      </c>
      <c r="B52" s="3258" t="s">
        <v>2924</v>
      </c>
      <c r="C52" s="3259">
        <v>7.3999999999999996E-2</v>
      </c>
      <c r="D52" s="3259">
        <v>9.6000000000000002E-2</v>
      </c>
      <c r="E52" s="3259">
        <v>0.05</v>
      </c>
      <c r="F52" s="3270"/>
      <c r="G52" s="3260">
        <v>9.8000000000000004E-2</v>
      </c>
    </row>
    <row r="53" spans="1:7">
      <c r="A53" s="3269" t="s">
        <v>296</v>
      </c>
      <c r="B53" s="3258" t="s">
        <v>2929</v>
      </c>
      <c r="C53" s="3259">
        <v>8.5999999999999993E-2</v>
      </c>
      <c r="D53" s="3270"/>
      <c r="E53" s="3259">
        <v>9.1999999999999998E-2</v>
      </c>
      <c r="F53" s="3270"/>
      <c r="G53" s="3271"/>
    </row>
    <row r="54" spans="1:7" ht="14.25" thickBot="1">
      <c r="A54" s="3272" t="s">
        <v>296</v>
      </c>
      <c r="B54" s="3262" t="s">
        <v>2932</v>
      </c>
      <c r="C54" s="3263">
        <v>9.6000000000000002E-2</v>
      </c>
      <c r="D54" s="3264"/>
      <c r="E54" s="3273"/>
      <c r="F54" s="3264"/>
      <c r="G54" s="3274"/>
    </row>
    <row r="55" spans="1:7">
      <c r="A55" s="3268" t="s">
        <v>110</v>
      </c>
      <c r="B55" s="3254" t="s">
        <v>2849</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2930</v>
      </c>
      <c r="C78" s="3259">
        <v>0.1</v>
      </c>
      <c r="D78" s="3259">
        <v>8.5000000000000006E-2</v>
      </c>
      <c r="E78" s="3259">
        <v>9.6000000000000002E-2</v>
      </c>
      <c r="F78" s="3270"/>
      <c r="G78" s="3260">
        <v>9.6000000000000002E-2</v>
      </c>
    </row>
    <row r="79" spans="1:7">
      <c r="A79" s="3269" t="s">
        <v>110</v>
      </c>
      <c r="B79" s="3258" t="s">
        <v>2933</v>
      </c>
      <c r="C79" s="3259">
        <v>0.05</v>
      </c>
      <c r="D79" s="3259">
        <v>9.6000000000000002E-2</v>
      </c>
      <c r="E79" s="3259">
        <v>9.5000000000000001E-2</v>
      </c>
      <c r="F79" s="3270"/>
      <c r="G79" s="3260">
        <v>9.8000000000000004E-2</v>
      </c>
    </row>
    <row r="80" spans="1:7">
      <c r="A80" s="3269" t="s">
        <v>110</v>
      </c>
      <c r="B80" s="3258" t="s">
        <v>2937</v>
      </c>
      <c r="C80" s="3259">
        <v>8.5999999999999993E-2</v>
      </c>
      <c r="D80" s="3275"/>
      <c r="E80" s="3259">
        <v>0.1</v>
      </c>
      <c r="F80" s="3270"/>
      <c r="G80" s="3271"/>
    </row>
    <row r="81" spans="1:7">
      <c r="A81" s="3269" t="s">
        <v>110</v>
      </c>
      <c r="B81" s="3258" t="s">
        <v>2942</v>
      </c>
      <c r="C81" s="3259">
        <v>9.6000000000000002E-2</v>
      </c>
      <c r="D81" s="3270"/>
      <c r="E81" s="3259">
        <v>9.8000000000000004E-2</v>
      </c>
      <c r="F81" s="3270"/>
      <c r="G81" s="3271"/>
    </row>
    <row r="82" spans="1:7">
      <c r="A82" s="3269" t="s">
        <v>110</v>
      </c>
      <c r="B82" s="3258" t="s">
        <v>2949</v>
      </c>
      <c r="C82" s="3275"/>
      <c r="D82" s="3270"/>
      <c r="E82" s="3259">
        <v>7.6999999999999999E-2</v>
      </c>
      <c r="F82" s="3270"/>
      <c r="G82" s="3271"/>
    </row>
    <row r="83" spans="1:7">
      <c r="A83" s="3269" t="s">
        <v>110</v>
      </c>
      <c r="B83" s="3258" t="s">
        <v>2955</v>
      </c>
      <c r="C83" s="3270"/>
      <c r="D83" s="3270"/>
      <c r="E83" s="3270"/>
      <c r="F83" s="3259">
        <v>0.1</v>
      </c>
      <c r="G83" s="3276"/>
    </row>
    <row r="84" spans="1:7">
      <c r="A84" s="3269" t="s">
        <v>110</v>
      </c>
      <c r="B84" s="3258" t="s">
        <v>2962</v>
      </c>
      <c r="C84" s="3270"/>
      <c r="D84" s="3270"/>
      <c r="E84" s="3270"/>
      <c r="F84" s="3259">
        <v>0.1</v>
      </c>
      <c r="G84" s="3276"/>
    </row>
    <row r="85" spans="1:7">
      <c r="A85" s="3269" t="s">
        <v>110</v>
      </c>
      <c r="B85" s="3258" t="s">
        <v>2969</v>
      </c>
      <c r="C85" s="3270"/>
      <c r="D85" s="3270"/>
      <c r="E85" s="3270"/>
      <c r="F85" s="3259">
        <v>0.1</v>
      </c>
      <c r="G85" s="3276"/>
    </row>
    <row r="86" spans="1:7" ht="14.25" thickBot="1">
      <c r="A86" s="3272" t="s">
        <v>110</v>
      </c>
      <c r="B86" s="3262" t="s">
        <v>2974</v>
      </c>
      <c r="C86" s="3263">
        <v>9.8000000000000004E-2</v>
      </c>
      <c r="D86" s="3263">
        <v>9.8000000000000004E-2</v>
      </c>
      <c r="E86" s="3263">
        <v>9.6000000000000002E-2</v>
      </c>
      <c r="F86" s="3273"/>
      <c r="G86" s="3265">
        <v>0.1</v>
      </c>
    </row>
    <row r="87" spans="1:7">
      <c r="A87" s="3268" t="s">
        <v>303</v>
      </c>
      <c r="B87" s="3254" t="s">
        <v>2850</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2943</v>
      </c>
      <c r="C113" s="3259">
        <v>0.1</v>
      </c>
      <c r="D113" s="3259">
        <v>0.1</v>
      </c>
      <c r="E113" s="3270"/>
      <c r="F113" s="3270"/>
      <c r="G113" s="3260">
        <v>0.1</v>
      </c>
    </row>
    <row r="114" spans="1:7">
      <c r="A114" s="3269" t="s">
        <v>303</v>
      </c>
      <c r="B114" s="3258" t="s">
        <v>2950</v>
      </c>
      <c r="C114" s="3259">
        <v>9.7000000000000003E-2</v>
      </c>
      <c r="D114" s="3259">
        <v>9.7000000000000003E-2</v>
      </c>
      <c r="E114" s="3270"/>
      <c r="F114" s="3270"/>
      <c r="G114" s="3260">
        <v>9.9000000000000005E-2</v>
      </c>
    </row>
    <row r="115" spans="1:7">
      <c r="A115" s="3269" t="s">
        <v>303</v>
      </c>
      <c r="B115" s="3258" t="s">
        <v>2956</v>
      </c>
      <c r="C115" s="3259">
        <v>0.1</v>
      </c>
      <c r="D115" s="3259">
        <v>0.1</v>
      </c>
      <c r="E115" s="3270"/>
      <c r="F115" s="3270"/>
      <c r="G115" s="3260">
        <v>0.1</v>
      </c>
    </row>
    <row r="116" spans="1:7">
      <c r="A116" s="3269" t="s">
        <v>303</v>
      </c>
      <c r="B116" s="3258" t="s">
        <v>2963</v>
      </c>
      <c r="C116" s="3259">
        <v>0.1</v>
      </c>
      <c r="D116" s="3259">
        <v>0.1</v>
      </c>
      <c r="E116" s="3270"/>
      <c r="F116" s="3270"/>
      <c r="G116" s="3260">
        <v>0.1</v>
      </c>
    </row>
    <row r="117" spans="1:7">
      <c r="A117" s="3269" t="s">
        <v>303</v>
      </c>
      <c r="B117" s="3258" t="s">
        <v>2970</v>
      </c>
      <c r="C117" s="3259">
        <v>9.7000000000000003E-2</v>
      </c>
      <c r="D117" s="3259">
        <v>9.7000000000000003E-2</v>
      </c>
      <c r="E117" s="3270"/>
      <c r="F117" s="3270"/>
      <c r="G117" s="3260">
        <v>9.7000000000000003E-2</v>
      </c>
    </row>
    <row r="118" spans="1:7">
      <c r="A118" s="3269" t="s">
        <v>303</v>
      </c>
      <c r="B118" s="3258" t="s">
        <v>2975</v>
      </c>
      <c r="C118" s="3259">
        <v>0.1</v>
      </c>
      <c r="D118" s="3259">
        <v>0.1</v>
      </c>
      <c r="E118" s="3270"/>
      <c r="F118" s="3270"/>
      <c r="G118" s="3260">
        <v>0.1</v>
      </c>
    </row>
    <row r="119" spans="1:7">
      <c r="A119" s="3269" t="s">
        <v>303</v>
      </c>
      <c r="B119" s="3258" t="s">
        <v>2979</v>
      </c>
      <c r="C119" s="3259">
        <v>5.0999999999999997E-2</v>
      </c>
      <c r="D119" s="3259">
        <v>5.1999999999999998E-2</v>
      </c>
      <c r="E119" s="3270"/>
      <c r="F119" s="3275"/>
      <c r="G119" s="3260">
        <v>0.06</v>
      </c>
    </row>
    <row r="120" spans="1:7">
      <c r="A120" s="3269" t="s">
        <v>303</v>
      </c>
      <c r="B120" s="3258" t="s">
        <v>2983</v>
      </c>
      <c r="C120" s="3270"/>
      <c r="D120" s="3270"/>
      <c r="E120" s="3270"/>
      <c r="F120" s="3259">
        <v>0.1</v>
      </c>
      <c r="G120" s="3276"/>
    </row>
    <row r="121" spans="1:7">
      <c r="A121" s="3269" t="s">
        <v>303</v>
      </c>
      <c r="B121" s="3258" t="s">
        <v>2988</v>
      </c>
      <c r="C121" s="3270"/>
      <c r="D121" s="3270"/>
      <c r="E121" s="3270"/>
      <c r="F121" s="3259">
        <v>0.1</v>
      </c>
      <c r="G121" s="3276"/>
    </row>
    <row r="122" spans="1:7">
      <c r="A122" s="3269" t="s">
        <v>303</v>
      </c>
      <c r="B122" s="3258" t="s">
        <v>2993</v>
      </c>
      <c r="C122" s="3259">
        <v>0.1</v>
      </c>
      <c r="D122" s="3259">
        <v>0.1</v>
      </c>
      <c r="E122" s="3259">
        <v>9.8000000000000004E-2</v>
      </c>
      <c r="F122" s="3259">
        <v>0.1</v>
      </c>
      <c r="G122" s="3260">
        <v>0.1</v>
      </c>
    </row>
    <row r="123" spans="1:7">
      <c r="A123" s="3269" t="s">
        <v>303</v>
      </c>
      <c r="B123" s="3258" t="s">
        <v>2998</v>
      </c>
      <c r="C123" s="3259">
        <v>0.1</v>
      </c>
      <c r="D123" s="3259">
        <v>0.1</v>
      </c>
      <c r="E123" s="3259">
        <v>9.8000000000000004E-2</v>
      </c>
      <c r="F123" s="3259">
        <v>0.1</v>
      </c>
      <c r="G123" s="3260">
        <v>0.1</v>
      </c>
    </row>
    <row r="124" spans="1:7">
      <c r="A124" s="3269" t="s">
        <v>303</v>
      </c>
      <c r="B124" s="3258" t="s">
        <v>3003</v>
      </c>
      <c r="C124" s="3259">
        <v>0.1</v>
      </c>
      <c r="D124" s="3259">
        <v>0.1</v>
      </c>
      <c r="E124" s="3259">
        <v>9.8000000000000004E-2</v>
      </c>
      <c r="F124" s="3275"/>
      <c r="G124" s="3260">
        <v>0.1</v>
      </c>
    </row>
    <row r="125" spans="1:7">
      <c r="A125" s="3269" t="s">
        <v>303</v>
      </c>
      <c r="B125" s="3258" t="s">
        <v>3008</v>
      </c>
      <c r="C125" s="3259">
        <v>9.8000000000000004E-2</v>
      </c>
      <c r="D125" s="3259">
        <v>9.8000000000000004E-2</v>
      </c>
      <c r="E125" s="3259">
        <v>9.6000000000000002E-2</v>
      </c>
      <c r="F125" s="3275"/>
      <c r="G125" s="3260">
        <v>0.1</v>
      </c>
    </row>
    <row r="126" spans="1:7" ht="14.25" thickBot="1">
      <c r="A126" s="3272" t="s">
        <v>303</v>
      </c>
      <c r="B126" s="3262" t="s">
        <v>3174</v>
      </c>
      <c r="C126" s="3263">
        <v>0.1</v>
      </c>
      <c r="D126" s="3263">
        <v>0.1</v>
      </c>
      <c r="E126" s="3263">
        <v>9.8000000000000004E-2</v>
      </c>
      <c r="F126" s="3263">
        <v>0.1</v>
      </c>
      <c r="G126" s="3265">
        <v>0.1</v>
      </c>
    </row>
    <row r="127" spans="1:7">
      <c r="A127" s="3268" t="s">
        <v>29</v>
      </c>
      <c r="B127" s="3254" t="s">
        <v>2851</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2921</v>
      </c>
      <c r="C148" s="3259">
        <v>0.13</v>
      </c>
      <c r="D148" s="3259">
        <v>0.13</v>
      </c>
      <c r="E148" s="3259">
        <v>0.13</v>
      </c>
      <c r="F148" s="3270"/>
      <c r="G148" s="3260">
        <v>0.13</v>
      </c>
    </row>
    <row r="149" spans="1:7">
      <c r="A149" s="3269" t="s">
        <v>29</v>
      </c>
      <c r="B149" s="3258" t="s">
        <v>2925</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2944</v>
      </c>
      <c r="C153" s="3259">
        <v>0.13</v>
      </c>
      <c r="D153" s="3259">
        <v>0.13</v>
      </c>
      <c r="E153" s="3259">
        <v>0.13</v>
      </c>
      <c r="F153" s="3259">
        <v>0.13</v>
      </c>
      <c r="G153" s="3260">
        <v>0.13</v>
      </c>
    </row>
    <row r="154" spans="1:7">
      <c r="A154" s="3269" t="s">
        <v>29</v>
      </c>
      <c r="B154" s="3258" t="s">
        <v>2951</v>
      </c>
      <c r="C154" s="3259">
        <v>0.121</v>
      </c>
      <c r="D154" s="3259">
        <v>0.121</v>
      </c>
      <c r="E154" s="3259">
        <v>0.105</v>
      </c>
      <c r="F154" s="3259">
        <v>0.121</v>
      </c>
      <c r="G154" s="3260">
        <v>0.123</v>
      </c>
    </row>
    <row r="155" spans="1:7">
      <c r="A155" s="3269" t="s">
        <v>29</v>
      </c>
      <c r="B155" s="3258" t="s">
        <v>2957</v>
      </c>
      <c r="C155" s="3259">
        <v>0.1</v>
      </c>
      <c r="D155" s="3259">
        <v>0.1</v>
      </c>
      <c r="E155" s="3259">
        <v>0.1</v>
      </c>
      <c r="F155" s="3259">
        <v>0.1</v>
      </c>
      <c r="G155" s="3260">
        <v>0.1</v>
      </c>
    </row>
    <row r="156" spans="1:7">
      <c r="A156" s="3269" t="s">
        <v>29</v>
      </c>
      <c r="B156" s="3258" t="s">
        <v>2964</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2984</v>
      </c>
      <c r="C160" s="3259">
        <v>0.13</v>
      </c>
      <c r="D160" s="3259">
        <v>0.13</v>
      </c>
      <c r="E160" s="3259">
        <v>0.124</v>
      </c>
      <c r="F160" s="3259">
        <v>0.126</v>
      </c>
      <c r="G160" s="3260">
        <v>0.13</v>
      </c>
    </row>
    <row r="161" spans="1:7">
      <c r="A161" s="3269" t="s">
        <v>29</v>
      </c>
      <c r="B161" s="3258" t="s">
        <v>2989</v>
      </c>
      <c r="C161" s="3259">
        <v>0.13</v>
      </c>
      <c r="D161" s="3259">
        <v>0.13</v>
      </c>
      <c r="E161" s="3259">
        <v>0.124</v>
      </c>
      <c r="F161" s="3259">
        <v>0.127</v>
      </c>
      <c r="G161" s="3260">
        <v>0.13</v>
      </c>
    </row>
    <row r="162" spans="1:7">
      <c r="A162" s="3269" t="s">
        <v>29</v>
      </c>
      <c r="B162" s="3258" t="s">
        <v>2994</v>
      </c>
      <c r="C162" s="3259">
        <v>0.1</v>
      </c>
      <c r="D162" s="3259">
        <v>0.1</v>
      </c>
      <c r="E162" s="3259">
        <v>0.1</v>
      </c>
      <c r="F162" s="3259">
        <v>0.121</v>
      </c>
      <c r="G162" s="3260">
        <v>0.105</v>
      </c>
    </row>
    <row r="163" spans="1:7">
      <c r="A163" s="3269" t="s">
        <v>29</v>
      </c>
      <c r="B163" s="3258" t="s">
        <v>2999</v>
      </c>
      <c r="C163" s="3259">
        <v>0.1</v>
      </c>
      <c r="D163" s="3259">
        <v>0.1</v>
      </c>
      <c r="E163" s="3259">
        <v>0.1</v>
      </c>
      <c r="F163" s="3259">
        <v>0.1</v>
      </c>
      <c r="G163" s="3260">
        <v>0.1</v>
      </c>
    </row>
    <row r="164" spans="1:7">
      <c r="A164" s="3269" t="s">
        <v>29</v>
      </c>
      <c r="B164" s="3258" t="s">
        <v>3004</v>
      </c>
      <c r="C164" s="3275"/>
      <c r="D164" s="3275"/>
      <c r="E164" s="3275"/>
      <c r="F164" s="3259">
        <v>0.1</v>
      </c>
      <c r="G164" s="3271"/>
    </row>
    <row r="165" spans="1:7">
      <c r="A165" s="3269" t="s">
        <v>29</v>
      </c>
      <c r="B165" s="3258" t="s">
        <v>3175</v>
      </c>
      <c r="C165" s="3259">
        <v>0.126</v>
      </c>
      <c r="D165" s="3259">
        <v>0.126</v>
      </c>
      <c r="E165" s="3259">
        <v>0.11899999999999999</v>
      </c>
      <c r="F165" s="3259">
        <v>0.13</v>
      </c>
      <c r="G165" s="3260">
        <v>0.128</v>
      </c>
    </row>
    <row r="166" spans="1:7">
      <c r="A166" s="3269" t="s">
        <v>29</v>
      </c>
      <c r="B166" s="3258" t="s">
        <v>3014</v>
      </c>
      <c r="C166" s="3259">
        <v>0.129</v>
      </c>
      <c r="D166" s="3259">
        <v>0.129</v>
      </c>
      <c r="E166" s="3259">
        <v>0.123</v>
      </c>
      <c r="F166" s="3259">
        <v>0.128</v>
      </c>
      <c r="G166" s="3260">
        <v>0.13</v>
      </c>
    </row>
    <row r="167" spans="1:7">
      <c r="A167" s="3269" t="s">
        <v>29</v>
      </c>
      <c r="B167" s="3258" t="s">
        <v>3018</v>
      </c>
      <c r="C167" s="3259">
        <v>0.125</v>
      </c>
      <c r="D167" s="3259">
        <v>0.125</v>
      </c>
      <c r="E167" s="3259">
        <v>0.11700000000000001</v>
      </c>
      <c r="F167" s="3259">
        <v>0.13</v>
      </c>
      <c r="G167" s="3260">
        <v>0.126</v>
      </c>
    </row>
    <row r="168" spans="1:7">
      <c r="A168" s="3269" t="s">
        <v>29</v>
      </c>
      <c r="B168" s="3258" t="s">
        <v>3023</v>
      </c>
      <c r="C168" s="3259">
        <v>0.128</v>
      </c>
      <c r="D168" s="3259">
        <v>0.128</v>
      </c>
      <c r="E168" s="3259">
        <v>0.123</v>
      </c>
      <c r="F168" s="3270"/>
      <c r="G168" s="3260">
        <v>0.13</v>
      </c>
    </row>
    <row r="169" spans="1:7">
      <c r="A169" s="3269" t="s">
        <v>29</v>
      </c>
      <c r="B169" s="3258" t="s">
        <v>3176</v>
      </c>
      <c r="C169" s="3275"/>
      <c r="D169" s="3275"/>
      <c r="E169" s="3275"/>
      <c r="F169" s="3259">
        <v>0.05</v>
      </c>
      <c r="G169" s="3271"/>
    </row>
    <row r="170" spans="1:7">
      <c r="A170" s="3269" t="s">
        <v>29</v>
      </c>
      <c r="B170" s="3258" t="s">
        <v>3177</v>
      </c>
      <c r="C170" s="3275"/>
      <c r="D170" s="3275"/>
      <c r="E170" s="3275"/>
      <c r="F170" s="3259">
        <v>0.05</v>
      </c>
      <c r="G170" s="3271"/>
    </row>
    <row r="171" spans="1:7">
      <c r="A171" s="3269" t="s">
        <v>29</v>
      </c>
      <c r="B171" s="3258" t="s">
        <v>3178</v>
      </c>
      <c r="C171" s="3275"/>
      <c r="D171" s="3275"/>
      <c r="E171" s="3275"/>
      <c r="F171" s="3259">
        <v>0.05</v>
      </c>
      <c r="G171" s="3276"/>
    </row>
    <row r="172" spans="1:7">
      <c r="A172" s="3269" t="s">
        <v>29</v>
      </c>
      <c r="B172" s="3258" t="s">
        <v>3179</v>
      </c>
      <c r="C172" s="3275"/>
      <c r="D172" s="3275"/>
      <c r="E172" s="3275"/>
      <c r="F172" s="3259">
        <v>0.05</v>
      </c>
      <c r="G172" s="3276"/>
    </row>
    <row r="173" spans="1:7">
      <c r="A173" s="3269" t="s">
        <v>29</v>
      </c>
      <c r="B173" s="3258" t="s">
        <v>3180</v>
      </c>
      <c r="C173" s="3275"/>
      <c r="D173" s="3275"/>
      <c r="E173" s="3275"/>
      <c r="F173" s="3259">
        <v>0.05</v>
      </c>
      <c r="G173" s="3271"/>
    </row>
    <row r="174" spans="1:7">
      <c r="A174" s="3269" t="s">
        <v>29</v>
      </c>
      <c r="B174" s="3258" t="s">
        <v>3181</v>
      </c>
      <c r="C174" s="3275"/>
      <c r="D174" s="3275"/>
      <c r="E174" s="3275"/>
      <c r="F174" s="3259">
        <v>0.05</v>
      </c>
      <c r="G174" s="3271"/>
    </row>
    <row r="175" spans="1:7">
      <c r="A175" s="3269" t="s">
        <v>29</v>
      </c>
      <c r="B175" s="3258" t="s">
        <v>3182</v>
      </c>
      <c r="C175" s="3275"/>
      <c r="D175" s="3275"/>
      <c r="E175" s="3275"/>
      <c r="F175" s="3259">
        <v>0.05</v>
      </c>
      <c r="G175" s="3271"/>
    </row>
    <row r="176" spans="1:7">
      <c r="A176" s="3269" t="s">
        <v>29</v>
      </c>
      <c r="B176" s="3258" t="s">
        <v>3183</v>
      </c>
      <c r="C176" s="3275"/>
      <c r="D176" s="3275"/>
      <c r="E176" s="3275"/>
      <c r="F176" s="3259">
        <v>0.05</v>
      </c>
      <c r="G176" s="3271"/>
    </row>
    <row r="177" spans="1:7">
      <c r="A177" s="3269" t="s">
        <v>29</v>
      </c>
      <c r="B177" s="3258" t="s">
        <v>3184</v>
      </c>
      <c r="C177" s="3270"/>
      <c r="D177" s="3270"/>
      <c r="E177" s="3270"/>
      <c r="F177" s="3259">
        <v>0.05</v>
      </c>
      <c r="G177" s="3276"/>
    </row>
    <row r="178" spans="1:7">
      <c r="A178" s="3269" t="s">
        <v>29</v>
      </c>
      <c r="B178" s="3258" t="s">
        <v>3185</v>
      </c>
      <c r="C178" s="3270"/>
      <c r="D178" s="3270"/>
      <c r="E178" s="3270"/>
      <c r="F178" s="3259">
        <v>0.05</v>
      </c>
      <c r="G178" s="3276"/>
    </row>
    <row r="179" spans="1:7">
      <c r="A179" s="3269" t="s">
        <v>29</v>
      </c>
      <c r="B179" s="3258" t="s">
        <v>3186</v>
      </c>
      <c r="C179" s="3270"/>
      <c r="D179" s="3270"/>
      <c r="E179" s="3270"/>
      <c r="F179" s="3259">
        <v>0.05</v>
      </c>
      <c r="G179" s="3276"/>
    </row>
    <row r="180" spans="1:7">
      <c r="A180" s="3269" t="s">
        <v>29</v>
      </c>
      <c r="B180" s="3258" t="s">
        <v>3187</v>
      </c>
      <c r="C180" s="3270"/>
      <c r="D180" s="3270"/>
      <c r="E180" s="3270"/>
      <c r="F180" s="3259">
        <v>0.05</v>
      </c>
      <c r="G180" s="3276"/>
    </row>
    <row r="181" spans="1:7">
      <c r="A181" s="3269" t="s">
        <v>29</v>
      </c>
      <c r="B181" s="3258" t="s">
        <v>3188</v>
      </c>
      <c r="C181" s="3270"/>
      <c r="D181" s="3270"/>
      <c r="E181" s="3270"/>
      <c r="F181" s="3259">
        <v>0.05</v>
      </c>
      <c r="G181" s="3276"/>
    </row>
    <row r="182" spans="1:7">
      <c r="A182" s="3269" t="s">
        <v>29</v>
      </c>
      <c r="B182" s="3258" t="s">
        <v>3189</v>
      </c>
      <c r="C182" s="3270"/>
      <c r="D182" s="3270"/>
      <c r="E182" s="3270"/>
      <c r="F182" s="3259">
        <v>0.05</v>
      </c>
      <c r="G182" s="3276"/>
    </row>
    <row r="183" spans="1:7">
      <c r="A183" s="3269" t="s">
        <v>29</v>
      </c>
      <c r="B183" s="3258" t="s">
        <v>3190</v>
      </c>
      <c r="C183" s="3270"/>
      <c r="D183" s="3270"/>
      <c r="E183" s="3270"/>
      <c r="F183" s="3259">
        <v>0.05</v>
      </c>
      <c r="G183" s="3276"/>
    </row>
    <row r="184" spans="1:7">
      <c r="A184" s="3269" t="s">
        <v>29</v>
      </c>
      <c r="B184" s="3258" t="s">
        <v>3191</v>
      </c>
      <c r="C184" s="3270"/>
      <c r="D184" s="3270"/>
      <c r="E184" s="3270"/>
      <c r="F184" s="3259">
        <v>0.05</v>
      </c>
      <c r="G184" s="3276"/>
    </row>
    <row r="185" spans="1:7">
      <c r="A185" s="3269" t="s">
        <v>29</v>
      </c>
      <c r="B185" s="3258" t="s">
        <v>3192</v>
      </c>
      <c r="C185" s="3270"/>
      <c r="D185" s="3270"/>
      <c r="E185" s="3270"/>
      <c r="F185" s="3259">
        <v>0.05</v>
      </c>
      <c r="G185" s="3276"/>
    </row>
    <row r="186" spans="1:7">
      <c r="A186" s="3269" t="s">
        <v>29</v>
      </c>
      <c r="B186" s="3258" t="s">
        <v>3193</v>
      </c>
      <c r="C186" s="3270"/>
      <c r="D186" s="3270"/>
      <c r="E186" s="3270"/>
      <c r="F186" s="3259">
        <v>0.05</v>
      </c>
      <c r="G186" s="3276"/>
    </row>
    <row r="187" spans="1:7">
      <c r="A187" s="3269" t="s">
        <v>29</v>
      </c>
      <c r="B187" s="3258" t="s">
        <v>3194</v>
      </c>
      <c r="C187" s="3270"/>
      <c r="D187" s="3270"/>
      <c r="E187" s="3270"/>
      <c r="F187" s="3259">
        <v>0.05</v>
      </c>
      <c r="G187" s="3276"/>
    </row>
    <row r="188" spans="1:7">
      <c r="A188" s="3269" t="s">
        <v>29</v>
      </c>
      <c r="B188" s="3258" t="s">
        <v>3195</v>
      </c>
      <c r="C188" s="3270"/>
      <c r="D188" s="3270"/>
      <c r="E188" s="3270"/>
      <c r="F188" s="3259">
        <v>0.05</v>
      </c>
      <c r="G188" s="3276"/>
    </row>
    <row r="189" spans="1:7" ht="14.25" thickBot="1">
      <c r="A189" s="3272" t="s">
        <v>29</v>
      </c>
      <c r="B189" s="3262" t="s">
        <v>3196</v>
      </c>
      <c r="C189" s="3264"/>
      <c r="D189" s="3264"/>
      <c r="E189" s="3264"/>
      <c r="F189" s="3263">
        <v>0.05</v>
      </c>
      <c r="G189" s="3277"/>
    </row>
    <row r="190" spans="1:7">
      <c r="A190" s="3268" t="s">
        <v>304</v>
      </c>
      <c r="B190" s="3254" t="s">
        <v>2852</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2888</v>
      </c>
      <c r="C199" s="3259">
        <v>0.13</v>
      </c>
      <c r="D199" s="3259">
        <v>0.13</v>
      </c>
      <c r="E199" s="3259">
        <v>0.13</v>
      </c>
      <c r="F199" s="3259">
        <v>0.13</v>
      </c>
      <c r="G199" s="3260">
        <v>0.13</v>
      </c>
    </row>
    <row r="200" spans="1:7">
      <c r="A200" s="3269" t="s">
        <v>304</v>
      </c>
      <c r="B200" s="3258" t="s">
        <v>2891</v>
      </c>
      <c r="C200" s="3275"/>
      <c r="D200" s="3275"/>
      <c r="E200" s="3275"/>
      <c r="F200" s="3259">
        <v>0.13</v>
      </c>
      <c r="G200" s="3271"/>
    </row>
    <row r="201" spans="1:7">
      <c r="A201" s="3269" t="s">
        <v>304</v>
      </c>
      <c r="B201" s="3258" t="s">
        <v>2896</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2899</v>
      </c>
      <c r="C203" s="3259">
        <v>0.129</v>
      </c>
      <c r="D203" s="3259">
        <v>0.129</v>
      </c>
      <c r="E203" s="3259">
        <v>0.13</v>
      </c>
      <c r="F203" s="3259">
        <v>0.13</v>
      </c>
      <c r="G203" s="3260">
        <v>0.13</v>
      </c>
    </row>
    <row r="204" spans="1:7">
      <c r="A204" s="3269" t="s">
        <v>304</v>
      </c>
      <c r="B204" s="3258" t="s">
        <v>2902</v>
      </c>
      <c r="C204" s="3259">
        <v>0.129</v>
      </c>
      <c r="D204" s="3259">
        <v>0.129</v>
      </c>
      <c r="E204" s="3259">
        <v>0.123</v>
      </c>
      <c r="F204" s="3259">
        <v>0.13</v>
      </c>
      <c r="G204" s="3260">
        <v>0.13</v>
      </c>
    </row>
    <row r="205" spans="1:7">
      <c r="A205" s="3269" t="s">
        <v>304</v>
      </c>
      <c r="B205" s="3258" t="s">
        <v>2904</v>
      </c>
      <c r="C205" s="3259">
        <v>0.13</v>
      </c>
      <c r="D205" s="3259">
        <v>0.13</v>
      </c>
      <c r="E205" s="3259">
        <v>0.13</v>
      </c>
      <c r="F205" s="3259">
        <v>0.13</v>
      </c>
      <c r="G205" s="3260">
        <v>0.13</v>
      </c>
    </row>
    <row r="206" spans="1:7">
      <c r="A206" s="3269" t="s">
        <v>304</v>
      </c>
      <c r="B206" s="3258" t="s">
        <v>2907</v>
      </c>
      <c r="C206" s="3259">
        <v>0.13</v>
      </c>
      <c r="D206" s="3259">
        <v>0.13</v>
      </c>
      <c r="E206" s="3259">
        <v>0.13</v>
      </c>
      <c r="F206" s="3259">
        <v>0.128</v>
      </c>
      <c r="G206" s="3260">
        <v>0.13</v>
      </c>
    </row>
    <row r="207" spans="1:7">
      <c r="A207" s="3269" t="s">
        <v>304</v>
      </c>
      <c r="B207" s="3258" t="s">
        <v>2909</v>
      </c>
      <c r="C207" s="3259">
        <v>0.13</v>
      </c>
      <c r="D207" s="3259">
        <v>0.13</v>
      </c>
      <c r="E207" s="3259">
        <v>0.13</v>
      </c>
      <c r="F207" s="3259">
        <v>0.13</v>
      </c>
      <c r="G207" s="3260">
        <v>0.13</v>
      </c>
    </row>
    <row r="208" spans="1:7">
      <c r="A208" s="3269" t="s">
        <v>304</v>
      </c>
      <c r="B208" s="3258" t="s">
        <v>2912</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2919</v>
      </c>
      <c r="C210" s="3259">
        <v>0.121</v>
      </c>
      <c r="D210" s="3259">
        <v>0.121</v>
      </c>
      <c r="E210" s="3259">
        <v>0.125</v>
      </c>
      <c r="F210" s="3259">
        <v>0.13</v>
      </c>
      <c r="G210" s="3260">
        <v>0.123</v>
      </c>
    </row>
    <row r="211" spans="1:7">
      <c r="A211" s="3269" t="s">
        <v>304</v>
      </c>
      <c r="B211" s="3258" t="s">
        <v>2922</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2934</v>
      </c>
      <c r="C214" s="3259">
        <v>0.128</v>
      </c>
      <c r="D214" s="3259">
        <v>0.128</v>
      </c>
      <c r="E214" s="3259">
        <v>0.13</v>
      </c>
      <c r="F214" s="3259">
        <v>0.13</v>
      </c>
      <c r="G214" s="3260">
        <v>0.13</v>
      </c>
    </row>
    <row r="215" spans="1:7">
      <c r="A215" s="3269" t="s">
        <v>304</v>
      </c>
      <c r="B215" s="3258" t="s">
        <v>2938</v>
      </c>
      <c r="C215" s="3259">
        <v>0.13</v>
      </c>
      <c r="D215" s="3259">
        <v>0.13</v>
      </c>
      <c r="E215" s="3259">
        <v>0.13</v>
      </c>
      <c r="F215" s="3259">
        <v>0.129</v>
      </c>
      <c r="G215" s="3260">
        <v>0.13</v>
      </c>
    </row>
    <row r="216" spans="1:7">
      <c r="A216" s="3269" t="s">
        <v>304</v>
      </c>
      <c r="B216" s="3258" t="s">
        <v>2945</v>
      </c>
      <c r="C216" s="3259">
        <v>0.13</v>
      </c>
      <c r="D216" s="3259">
        <v>0.13</v>
      </c>
      <c r="E216" s="3259">
        <v>0.13</v>
      </c>
      <c r="F216" s="3259">
        <v>0.13</v>
      </c>
      <c r="G216" s="3260">
        <v>0.13</v>
      </c>
    </row>
    <row r="217" spans="1:7">
      <c r="A217" s="3269" t="s">
        <v>304</v>
      </c>
      <c r="B217" s="3258" t="s">
        <v>2952</v>
      </c>
      <c r="C217" s="3259">
        <v>0.129</v>
      </c>
      <c r="D217" s="3259">
        <v>0.129</v>
      </c>
      <c r="E217" s="3259">
        <v>0.13</v>
      </c>
      <c r="F217" s="3259">
        <v>0.13</v>
      </c>
      <c r="G217" s="3260">
        <v>0.13</v>
      </c>
    </row>
    <row r="218" spans="1:7">
      <c r="A218" s="3269" t="s">
        <v>304</v>
      </c>
      <c r="B218" s="3258" t="s">
        <v>2958</v>
      </c>
      <c r="C218" s="3270"/>
      <c r="D218" s="3270"/>
      <c r="E218" s="3270"/>
      <c r="F218" s="3259">
        <v>0.05</v>
      </c>
      <c r="G218" s="3276"/>
    </row>
    <row r="219" spans="1:7">
      <c r="A219" s="3269" t="s">
        <v>304</v>
      </c>
      <c r="B219" s="3258" t="s">
        <v>2965</v>
      </c>
      <c r="C219" s="3270"/>
      <c r="D219" s="3270"/>
      <c r="E219" s="3270"/>
      <c r="F219" s="3259">
        <v>0.05</v>
      </c>
      <c r="G219" s="3276"/>
    </row>
    <row r="220" spans="1:7">
      <c r="A220" s="3269" t="s">
        <v>304</v>
      </c>
      <c r="B220" s="3258" t="s">
        <v>2971</v>
      </c>
      <c r="C220" s="3270"/>
      <c r="D220" s="3270"/>
      <c r="E220" s="3270"/>
      <c r="F220" s="3259">
        <v>0.05</v>
      </c>
      <c r="G220" s="3276"/>
    </row>
    <row r="221" spans="1:7">
      <c r="A221" s="3269" t="s">
        <v>304</v>
      </c>
      <c r="B221" s="3258" t="s">
        <v>2976</v>
      </c>
      <c r="C221" s="3270"/>
      <c r="D221" s="3270"/>
      <c r="E221" s="3270"/>
      <c r="F221" s="3259">
        <v>0.05</v>
      </c>
      <c r="G221" s="3276"/>
    </row>
    <row r="222" spans="1:7">
      <c r="A222" s="3269" t="s">
        <v>304</v>
      </c>
      <c r="B222" s="3258" t="s">
        <v>2980</v>
      </c>
      <c r="C222" s="3270"/>
      <c r="D222" s="3270"/>
      <c r="E222" s="3270"/>
      <c r="F222" s="3259">
        <v>0.05</v>
      </c>
      <c r="G222" s="3276"/>
    </row>
    <row r="223" spans="1:7">
      <c r="A223" s="3269" t="s">
        <v>304</v>
      </c>
      <c r="B223" s="3258" t="s">
        <v>2985</v>
      </c>
      <c r="C223" s="3270"/>
      <c r="D223" s="3270"/>
      <c r="E223" s="3270"/>
      <c r="F223" s="3259">
        <v>0.05</v>
      </c>
      <c r="G223" s="3276"/>
    </row>
    <row r="224" spans="1:7">
      <c r="A224" s="3269" t="s">
        <v>304</v>
      </c>
      <c r="B224" s="3258" t="s">
        <v>2990</v>
      </c>
      <c r="C224" s="3270"/>
      <c r="D224" s="3270"/>
      <c r="E224" s="3270"/>
      <c r="F224" s="3259">
        <v>0.05</v>
      </c>
      <c r="G224" s="3276"/>
    </row>
    <row r="225" spans="1:7">
      <c r="A225" s="3269" t="s">
        <v>304</v>
      </c>
      <c r="B225" s="3258" t="s">
        <v>2995</v>
      </c>
      <c r="C225" s="3270"/>
      <c r="D225" s="3270"/>
      <c r="E225" s="3270"/>
      <c r="F225" s="3259">
        <v>0.05</v>
      </c>
      <c r="G225" s="3276"/>
    </row>
    <row r="226" spans="1:7">
      <c r="A226" s="3269" t="s">
        <v>304</v>
      </c>
      <c r="B226" s="3258" t="s">
        <v>3197</v>
      </c>
      <c r="C226" s="3270"/>
      <c r="D226" s="3270"/>
      <c r="E226" s="3270"/>
      <c r="F226" s="3259">
        <v>0.05</v>
      </c>
      <c r="G226" s="3276"/>
    </row>
    <row r="227" spans="1:7">
      <c r="A227" s="3269" t="s">
        <v>304</v>
      </c>
      <c r="B227" s="3258" t="s">
        <v>3198</v>
      </c>
      <c r="C227" s="3270"/>
      <c r="D227" s="3270"/>
      <c r="E227" s="3270"/>
      <c r="F227" s="3259">
        <v>0.05</v>
      </c>
      <c r="G227" s="3276"/>
    </row>
    <row r="228" spans="1:7">
      <c r="A228" s="3269" t="s">
        <v>304</v>
      </c>
      <c r="B228" s="3258" t="s">
        <v>3199</v>
      </c>
      <c r="C228" s="3270"/>
      <c r="D228" s="3270"/>
      <c r="E228" s="3270"/>
      <c r="F228" s="3259">
        <v>0.05</v>
      </c>
      <c r="G228" s="3276"/>
    </row>
    <row r="229" spans="1:7">
      <c r="A229" s="3269" t="s">
        <v>304</v>
      </c>
      <c r="B229" s="3258" t="s">
        <v>3200</v>
      </c>
      <c r="C229" s="3270"/>
      <c r="D229" s="3270"/>
      <c r="E229" s="3270"/>
      <c r="F229" s="3259">
        <v>0.05</v>
      </c>
      <c r="G229" s="3276"/>
    </row>
    <row r="230" spans="1:7">
      <c r="A230" s="3269" t="s">
        <v>304</v>
      </c>
      <c r="B230" s="3258" t="s">
        <v>3201</v>
      </c>
      <c r="C230" s="3270"/>
      <c r="D230" s="3270"/>
      <c r="E230" s="3270"/>
      <c r="F230" s="3259">
        <v>0.05</v>
      </c>
      <c r="G230" s="3276"/>
    </row>
    <row r="231" spans="1:7">
      <c r="A231" s="3269" t="s">
        <v>304</v>
      </c>
      <c r="B231" s="3258" t="s">
        <v>3202</v>
      </c>
      <c r="C231" s="3270"/>
      <c r="D231" s="3270"/>
      <c r="E231" s="3270"/>
      <c r="F231" s="3259">
        <v>0.05</v>
      </c>
      <c r="G231" s="3276"/>
    </row>
    <row r="232" spans="1:7">
      <c r="A232" s="3269" t="s">
        <v>304</v>
      </c>
      <c r="B232" s="3258" t="s">
        <v>3203</v>
      </c>
      <c r="C232" s="3270"/>
      <c r="D232" s="3270"/>
      <c r="E232" s="3270"/>
      <c r="F232" s="3259">
        <v>0.05</v>
      </c>
      <c r="G232" s="3276"/>
    </row>
    <row r="233" spans="1:7" ht="14.25" thickBot="1">
      <c r="A233" s="3272" t="s">
        <v>304</v>
      </c>
      <c r="B233" s="3262" t="s">
        <v>3204</v>
      </c>
      <c r="C233" s="3264"/>
      <c r="D233" s="3264"/>
      <c r="E233" s="3264"/>
      <c r="F233" s="3263">
        <v>0.05</v>
      </c>
      <c r="G233" s="3277"/>
    </row>
    <row r="234" spans="1:7">
      <c r="A234" s="3268" t="s">
        <v>305</v>
      </c>
      <c r="B234" s="3254" t="s">
        <v>2853</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2873</v>
      </c>
      <c r="C238" s="3259">
        <v>0.14899999999999999</v>
      </c>
      <c r="D238" s="3259">
        <v>0.14899999999999999</v>
      </c>
      <c r="E238" s="3259">
        <v>0.15</v>
      </c>
      <c r="F238" s="3259">
        <v>0.15</v>
      </c>
      <c r="G238" s="3260">
        <v>0.15</v>
      </c>
    </row>
    <row r="239" spans="1:7">
      <c r="A239" s="3269" t="s">
        <v>305</v>
      </c>
      <c r="B239" s="3258" t="s">
        <v>2877</v>
      </c>
      <c r="C239" s="3259">
        <v>0.15</v>
      </c>
      <c r="D239" s="3259">
        <v>0.15</v>
      </c>
      <c r="E239" s="3259">
        <v>0.15</v>
      </c>
      <c r="F239" s="3259">
        <v>0.15</v>
      </c>
      <c r="G239" s="3260">
        <v>0.15</v>
      </c>
    </row>
    <row r="240" spans="1:7">
      <c r="A240" s="3269" t="s">
        <v>305</v>
      </c>
      <c r="B240" s="3258" t="s">
        <v>2882</v>
      </c>
      <c r="C240" s="3259">
        <v>0.15</v>
      </c>
      <c r="D240" s="3259">
        <v>0.15</v>
      </c>
      <c r="E240" s="3259">
        <v>0.15</v>
      </c>
      <c r="F240" s="3259">
        <v>0.15</v>
      </c>
      <c r="G240" s="3260">
        <v>0.15</v>
      </c>
    </row>
    <row r="241" spans="1:7">
      <c r="A241" s="3269" t="s">
        <v>305</v>
      </c>
      <c r="B241" s="3258" t="s">
        <v>2886</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2892</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2900</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2905</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2913</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2926</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2935</v>
      </c>
      <c r="C258" s="3259">
        <v>0.14299999999999999</v>
      </c>
      <c r="D258" s="3259">
        <v>0.14299999999999999</v>
      </c>
      <c r="E258" s="3259">
        <v>0.15</v>
      </c>
      <c r="F258" s="3259">
        <v>0.14799999999999999</v>
      </c>
      <c r="G258" s="3260">
        <v>0.14599999999999999</v>
      </c>
    </row>
    <row r="259" spans="1:7">
      <c r="A259" s="3269" t="s">
        <v>305</v>
      </c>
      <c r="B259" s="3258" t="s">
        <v>2939</v>
      </c>
      <c r="C259" s="3259">
        <v>0.14399999999999999</v>
      </c>
      <c r="D259" s="3259">
        <v>0.14399999999999999</v>
      </c>
      <c r="E259" s="3259">
        <v>0.14899999999999999</v>
      </c>
      <c r="F259" s="3259">
        <v>0.14699999999999999</v>
      </c>
      <c r="G259" s="3260">
        <v>0.14599999999999999</v>
      </c>
    </row>
    <row r="260" spans="1:7">
      <c r="A260" s="3269" t="s">
        <v>305</v>
      </c>
      <c r="B260" s="3258" t="s">
        <v>2946</v>
      </c>
      <c r="C260" s="3259">
        <v>0.109</v>
      </c>
      <c r="D260" s="3259">
        <v>0.111</v>
      </c>
      <c r="E260" s="3259">
        <v>0.13100000000000001</v>
      </c>
      <c r="F260" s="3259">
        <v>0.126</v>
      </c>
      <c r="G260" s="3260">
        <v>0.11899999999999999</v>
      </c>
    </row>
    <row r="261" spans="1:7">
      <c r="A261" s="3269" t="s">
        <v>305</v>
      </c>
      <c r="B261" s="3258" t="s">
        <v>2953</v>
      </c>
      <c r="C261" s="3259">
        <v>0.1</v>
      </c>
      <c r="D261" s="3259">
        <v>0.1</v>
      </c>
      <c r="E261" s="3259">
        <v>0.11799999999999999</v>
      </c>
      <c r="F261" s="3259">
        <v>0.108</v>
      </c>
      <c r="G261" s="3260">
        <v>0.107</v>
      </c>
    </row>
    <row r="262" spans="1:7">
      <c r="A262" s="3269" t="s">
        <v>305</v>
      </c>
      <c r="B262" s="3258" t="s">
        <v>2959</v>
      </c>
      <c r="C262" s="3259">
        <v>0.1</v>
      </c>
      <c r="D262" s="3259">
        <v>0.1</v>
      </c>
      <c r="E262" s="3259">
        <v>0.1</v>
      </c>
      <c r="F262" s="3259">
        <v>0.14099999999999999</v>
      </c>
      <c r="G262" s="3260">
        <v>0.1</v>
      </c>
    </row>
    <row r="263" spans="1:7">
      <c r="A263" s="3269" t="s">
        <v>305</v>
      </c>
      <c r="B263" s="3258" t="s">
        <v>2966</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2977</v>
      </c>
      <c r="C265" s="3270"/>
      <c r="D265" s="3270"/>
      <c r="E265" s="3270"/>
      <c r="F265" s="3259">
        <v>0.05</v>
      </c>
      <c r="G265" s="3276"/>
    </row>
    <row r="266" spans="1:7">
      <c r="A266" s="3269" t="s">
        <v>305</v>
      </c>
      <c r="B266" s="3258" t="s">
        <v>2981</v>
      </c>
      <c r="C266" s="3270"/>
      <c r="D266" s="3270"/>
      <c r="E266" s="3270"/>
      <c r="F266" s="3259">
        <v>0.05</v>
      </c>
      <c r="G266" s="3276"/>
    </row>
    <row r="267" spans="1:7">
      <c r="A267" s="3269" t="s">
        <v>305</v>
      </c>
      <c r="B267" s="3258" t="s">
        <v>2986</v>
      </c>
      <c r="C267" s="3270"/>
      <c r="D267" s="3270"/>
      <c r="E267" s="3270"/>
      <c r="F267" s="3259">
        <v>0.05</v>
      </c>
      <c r="G267" s="3276"/>
    </row>
    <row r="268" spans="1:7">
      <c r="A268" s="3269" t="s">
        <v>305</v>
      </c>
      <c r="B268" s="3258" t="s">
        <v>2991</v>
      </c>
      <c r="C268" s="3270"/>
      <c r="D268" s="3270"/>
      <c r="E268" s="3270"/>
      <c r="F268" s="3259">
        <v>0.05</v>
      </c>
      <c r="G268" s="3276"/>
    </row>
    <row r="269" spans="1:7">
      <c r="A269" s="3269" t="s">
        <v>305</v>
      </c>
      <c r="B269" s="3258" t="s">
        <v>2996</v>
      </c>
      <c r="C269" s="3270"/>
      <c r="D269" s="3270"/>
      <c r="E269" s="3270"/>
      <c r="F269" s="3259">
        <v>0.05</v>
      </c>
      <c r="G269" s="3276"/>
    </row>
    <row r="270" spans="1:7">
      <c r="A270" s="3269" t="s">
        <v>305</v>
      </c>
      <c r="B270" s="3258" t="s">
        <v>3001</v>
      </c>
      <c r="C270" s="3270"/>
      <c r="D270" s="3270"/>
      <c r="E270" s="3270"/>
      <c r="F270" s="3259">
        <v>0.05</v>
      </c>
      <c r="G270" s="3276"/>
    </row>
    <row r="271" spans="1:7">
      <c r="A271" s="3269" t="s">
        <v>305</v>
      </c>
      <c r="B271" s="3258" t="s">
        <v>3205</v>
      </c>
      <c r="C271" s="3270"/>
      <c r="D271" s="3270"/>
      <c r="E271" s="3270"/>
      <c r="F271" s="3259">
        <v>0.05</v>
      </c>
      <c r="G271" s="3276"/>
    </row>
    <row r="272" spans="1:7">
      <c r="A272" s="3269" t="s">
        <v>305</v>
      </c>
      <c r="B272" s="3258" t="s">
        <v>3206</v>
      </c>
      <c r="C272" s="3270"/>
      <c r="D272" s="3270"/>
      <c r="E272" s="3270"/>
      <c r="F272" s="3259">
        <v>0.05</v>
      </c>
      <c r="G272" s="3276"/>
    </row>
    <row r="273" spans="1:7">
      <c r="A273" s="3269" t="s">
        <v>305</v>
      </c>
      <c r="B273" s="3258" t="s">
        <v>3207</v>
      </c>
      <c r="C273" s="3270"/>
      <c r="D273" s="3270"/>
      <c r="E273" s="3270"/>
      <c r="F273" s="3259">
        <v>0.05</v>
      </c>
      <c r="G273" s="3276"/>
    </row>
    <row r="274" spans="1:7">
      <c r="A274" s="3269" t="s">
        <v>305</v>
      </c>
      <c r="B274" s="3258" t="s">
        <v>3208</v>
      </c>
      <c r="C274" s="3270"/>
      <c r="D274" s="3270"/>
      <c r="E274" s="3270"/>
      <c r="F274" s="3259">
        <v>0.05</v>
      </c>
      <c r="G274" s="3276"/>
    </row>
    <row r="275" spans="1:7">
      <c r="A275" s="3269" t="s">
        <v>305</v>
      </c>
      <c r="B275" s="3258" t="s">
        <v>3209</v>
      </c>
      <c r="C275" s="3270"/>
      <c r="D275" s="3270"/>
      <c r="E275" s="3270"/>
      <c r="F275" s="3259">
        <v>0.05</v>
      </c>
      <c r="G275" s="3276"/>
    </row>
    <row r="276" spans="1:7" ht="14.25" thickBot="1">
      <c r="A276" s="3272" t="s">
        <v>305</v>
      </c>
      <c r="B276" s="3262" t="s">
        <v>3210</v>
      </c>
      <c r="C276" s="3264"/>
      <c r="D276" s="3264"/>
      <c r="E276" s="3264"/>
      <c r="F276" s="3263">
        <v>0.05</v>
      </c>
      <c r="G276" s="3277"/>
    </row>
    <row r="277" spans="1:7">
      <c r="A277" s="3268" t="s">
        <v>306</v>
      </c>
      <c r="B277" s="3254" t="s">
        <v>2854</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2866</v>
      </c>
      <c r="C279" s="3259">
        <v>0.15</v>
      </c>
      <c r="D279" s="3259">
        <v>0.15</v>
      </c>
      <c r="E279" s="3259">
        <v>0.15</v>
      </c>
      <c r="F279" s="3259">
        <v>0.15</v>
      </c>
      <c r="G279" s="3260">
        <v>0.15</v>
      </c>
    </row>
    <row r="280" spans="1:7">
      <c r="A280" s="3269" t="s">
        <v>306</v>
      </c>
      <c r="B280" s="3258" t="s">
        <v>2870</v>
      </c>
      <c r="C280" s="3259">
        <v>0.15</v>
      </c>
      <c r="D280" s="3259">
        <v>0.15</v>
      </c>
      <c r="E280" s="3259">
        <v>0.15</v>
      </c>
      <c r="F280" s="3259">
        <v>0.15</v>
      </c>
      <c r="G280" s="3260">
        <v>0.15</v>
      </c>
    </row>
    <row r="281" spans="1:7">
      <c r="A281" s="3269" t="s">
        <v>306</v>
      </c>
      <c r="B281" s="3258" t="s">
        <v>2874</v>
      </c>
      <c r="C281" s="3259">
        <v>0.15</v>
      </c>
      <c r="D281" s="3259">
        <v>0.15</v>
      </c>
      <c r="E281" s="3259">
        <v>0.15</v>
      </c>
      <c r="F281" s="3259">
        <v>0.15</v>
      </c>
      <c r="G281" s="3260">
        <v>0.15</v>
      </c>
    </row>
    <row r="282" spans="1:7">
      <c r="A282" s="3269" t="s">
        <v>306</v>
      </c>
      <c r="B282" s="3258" t="s">
        <v>2878</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2893</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2898</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2908</v>
      </c>
      <c r="C293" s="3259">
        <v>0.15</v>
      </c>
      <c r="D293" s="3259">
        <v>0.15</v>
      </c>
      <c r="E293" s="3259">
        <v>0.15</v>
      </c>
      <c r="F293" s="3259">
        <v>0.14499999999999999</v>
      </c>
      <c r="G293" s="3260">
        <v>0.15</v>
      </c>
    </row>
    <row r="294" spans="1:7">
      <c r="A294" s="3269" t="s">
        <v>306</v>
      </c>
      <c r="B294" s="3258" t="s">
        <v>2910</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2927</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2940</v>
      </c>
      <c r="C302" s="3259">
        <v>0.15</v>
      </c>
      <c r="D302" s="3259">
        <v>0.15</v>
      </c>
      <c r="E302" s="3259">
        <v>0.15</v>
      </c>
      <c r="F302" s="3259">
        <v>0.14699999999999999</v>
      </c>
      <c r="G302" s="3260">
        <v>0.15</v>
      </c>
    </row>
    <row r="303" spans="1:7">
      <c r="A303" s="3269" t="s">
        <v>306</v>
      </c>
      <c r="B303" s="3258" t="s">
        <v>2947</v>
      </c>
      <c r="C303" s="3259">
        <v>0.15</v>
      </c>
      <c r="D303" s="3259">
        <v>0.15</v>
      </c>
      <c r="E303" s="3259">
        <v>0.15</v>
      </c>
      <c r="F303" s="3259">
        <v>0.14199999999999999</v>
      </c>
      <c r="G303" s="3260">
        <v>0.15</v>
      </c>
    </row>
    <row r="304" spans="1:7">
      <c r="A304" s="3269" t="s">
        <v>306</v>
      </c>
      <c r="B304" s="3258" t="s">
        <v>2954</v>
      </c>
      <c r="C304" s="3259">
        <v>0.15</v>
      </c>
      <c r="D304" s="3259">
        <v>0.15</v>
      </c>
      <c r="E304" s="3259">
        <v>0.15</v>
      </c>
      <c r="F304" s="3259">
        <v>0.14499999999999999</v>
      </c>
      <c r="G304" s="3260">
        <v>0.15</v>
      </c>
    </row>
    <row r="305" spans="1:7">
      <c r="A305" s="3269" t="s">
        <v>306</v>
      </c>
      <c r="B305" s="3258" t="s">
        <v>2960</v>
      </c>
      <c r="C305" s="3259">
        <v>0.15</v>
      </c>
      <c r="D305" s="3259">
        <v>0.15</v>
      </c>
      <c r="E305" s="3259">
        <v>0.15</v>
      </c>
      <c r="F305" s="3259">
        <v>0.111</v>
      </c>
      <c r="G305" s="3260">
        <v>0.15</v>
      </c>
    </row>
    <row r="306" spans="1:7">
      <c r="A306" s="3269" t="s">
        <v>306</v>
      </c>
      <c r="B306" s="3258" t="s">
        <v>2967</v>
      </c>
      <c r="C306" s="3259">
        <v>0.15</v>
      </c>
      <c r="D306" s="3259">
        <v>0.15</v>
      </c>
      <c r="E306" s="3259">
        <v>0.15</v>
      </c>
      <c r="F306" s="3259">
        <v>0.126</v>
      </c>
      <c r="G306" s="3260">
        <v>0.15</v>
      </c>
    </row>
    <row r="307" spans="1:7">
      <c r="A307" s="3269" t="s">
        <v>306</v>
      </c>
      <c r="B307" s="3258" t="s">
        <v>2972</v>
      </c>
      <c r="C307" s="3259">
        <v>0.15</v>
      </c>
      <c r="D307" s="3259">
        <v>0.15</v>
      </c>
      <c r="E307" s="3259">
        <v>0.15</v>
      </c>
      <c r="F307" s="3259">
        <v>0.12</v>
      </c>
      <c r="G307" s="3260">
        <v>0.15</v>
      </c>
    </row>
    <row r="308" spans="1:7">
      <c r="A308" s="3269" t="s">
        <v>306</v>
      </c>
      <c r="B308" s="3258" t="s">
        <v>2978</v>
      </c>
      <c r="C308" s="3259">
        <v>0.15</v>
      </c>
      <c r="D308" s="3259">
        <v>0.15</v>
      </c>
      <c r="E308" s="3259">
        <v>0.15</v>
      </c>
      <c r="F308" s="3259">
        <v>0.13</v>
      </c>
      <c r="G308" s="3260">
        <v>0.15</v>
      </c>
    </row>
    <row r="309" spans="1:7">
      <c r="A309" s="3269" t="s">
        <v>306</v>
      </c>
      <c r="B309" s="3258" t="s">
        <v>2982</v>
      </c>
      <c r="C309" s="3259">
        <v>0.15</v>
      </c>
      <c r="D309" s="3259">
        <v>0.15</v>
      </c>
      <c r="E309" s="3259">
        <v>0.15</v>
      </c>
      <c r="F309" s="3259">
        <v>0.14099999999999999</v>
      </c>
      <c r="G309" s="3260">
        <v>0.15</v>
      </c>
    </row>
    <row r="310" spans="1:7">
      <c r="A310" s="3269" t="s">
        <v>306</v>
      </c>
      <c r="B310" s="3258" t="s">
        <v>2987</v>
      </c>
      <c r="C310" s="3259">
        <v>0.15</v>
      </c>
      <c r="D310" s="3259">
        <v>0.15</v>
      </c>
      <c r="E310" s="3259">
        <v>0.15</v>
      </c>
      <c r="F310" s="3259">
        <v>0.15</v>
      </c>
      <c r="G310" s="3260">
        <v>0.15</v>
      </c>
    </row>
    <row r="311" spans="1:7">
      <c r="A311" s="3269" t="s">
        <v>306</v>
      </c>
      <c r="B311" s="3258" t="s">
        <v>2992</v>
      </c>
      <c r="C311" s="3259">
        <v>0.13200000000000001</v>
      </c>
      <c r="D311" s="3259">
        <v>0.13300000000000001</v>
      </c>
      <c r="E311" s="3259">
        <v>0.14499999999999999</v>
      </c>
      <c r="F311" s="3259">
        <v>0.14199999999999999</v>
      </c>
      <c r="G311" s="3260">
        <v>0.14000000000000001</v>
      </c>
    </row>
    <row r="312" spans="1:7">
      <c r="A312" s="3269" t="s">
        <v>306</v>
      </c>
      <c r="B312" s="3258" t="s">
        <v>2997</v>
      </c>
      <c r="C312" s="3259">
        <v>0.13800000000000001</v>
      </c>
      <c r="D312" s="3259">
        <v>0.14000000000000001</v>
      </c>
      <c r="E312" s="3259">
        <v>0.14599999999999999</v>
      </c>
      <c r="F312" s="3259">
        <v>0.14899999999999999</v>
      </c>
      <c r="G312" s="3260">
        <v>0.14199999999999999</v>
      </c>
    </row>
    <row r="313" spans="1:7">
      <c r="A313" s="3269" t="s">
        <v>306</v>
      </c>
      <c r="B313" s="3258" t="s">
        <v>3002</v>
      </c>
      <c r="C313" s="3259">
        <v>0.125</v>
      </c>
      <c r="D313" s="3259">
        <v>0.127</v>
      </c>
      <c r="E313" s="3259">
        <v>0.14399999999999999</v>
      </c>
      <c r="F313" s="3259">
        <v>0.115</v>
      </c>
      <c r="G313" s="3260">
        <v>0.13600000000000001</v>
      </c>
    </row>
    <row r="314" spans="1:7">
      <c r="A314" s="3269" t="s">
        <v>306</v>
      </c>
      <c r="B314" s="3258" t="s">
        <v>3211</v>
      </c>
      <c r="C314" s="3275"/>
      <c r="D314" s="3275"/>
      <c r="E314" s="3275"/>
      <c r="F314" s="3259">
        <v>0.05</v>
      </c>
      <c r="G314" s="3276"/>
    </row>
    <row r="315" spans="1:7">
      <c r="A315" s="3269" t="s">
        <v>306</v>
      </c>
      <c r="B315" s="3258" t="s">
        <v>3212</v>
      </c>
      <c r="C315" s="3275"/>
      <c r="D315" s="3275"/>
      <c r="E315" s="3275"/>
      <c r="F315" s="3259">
        <v>0.05</v>
      </c>
      <c r="G315" s="3276"/>
    </row>
    <row r="316" spans="1:7">
      <c r="A316" s="3269" t="s">
        <v>306</v>
      </c>
      <c r="B316" s="3258" t="s">
        <v>3213</v>
      </c>
      <c r="C316" s="3270"/>
      <c r="D316" s="3270"/>
      <c r="E316" s="3270"/>
      <c r="F316" s="3259">
        <v>0.05</v>
      </c>
      <c r="G316" s="3276"/>
    </row>
    <row r="317" spans="1:7">
      <c r="A317" s="3269" t="s">
        <v>306</v>
      </c>
      <c r="B317" s="3258" t="s">
        <v>3214</v>
      </c>
      <c r="C317" s="3270"/>
      <c r="D317" s="3270"/>
      <c r="E317" s="3270"/>
      <c r="F317" s="3259">
        <v>0.05</v>
      </c>
      <c r="G317" s="3276"/>
    </row>
    <row r="318" spans="1:7">
      <c r="A318" s="3269" t="s">
        <v>306</v>
      </c>
      <c r="B318" s="3258" t="s">
        <v>3215</v>
      </c>
      <c r="C318" s="3270"/>
      <c r="D318" s="3270"/>
      <c r="E318" s="3270"/>
      <c r="F318" s="3259">
        <v>0.05</v>
      </c>
      <c r="G318" s="3276"/>
    </row>
    <row r="319" spans="1:7">
      <c r="A319" s="3269" t="s">
        <v>306</v>
      </c>
      <c r="B319" s="3258" t="s">
        <v>3216</v>
      </c>
      <c r="C319" s="3270"/>
      <c r="D319" s="3270"/>
      <c r="E319" s="3270"/>
      <c r="F319" s="3259">
        <v>0.05</v>
      </c>
      <c r="G319" s="3276"/>
    </row>
    <row r="320" spans="1:7">
      <c r="A320" s="3269" t="s">
        <v>306</v>
      </c>
      <c r="B320" s="3258" t="s">
        <v>3217</v>
      </c>
      <c r="C320" s="3270"/>
      <c r="D320" s="3270"/>
      <c r="E320" s="3270"/>
      <c r="F320" s="3259">
        <v>0.05</v>
      </c>
      <c r="G320" s="3276"/>
    </row>
    <row r="321" spans="1:7">
      <c r="A321" s="3269" t="s">
        <v>306</v>
      </c>
      <c r="B321" s="3258" t="s">
        <v>3218</v>
      </c>
      <c r="C321" s="3270"/>
      <c r="D321" s="3270"/>
      <c r="E321" s="3270"/>
      <c r="F321" s="3259">
        <v>0.05</v>
      </c>
      <c r="G321" s="3276"/>
    </row>
    <row r="322" spans="1:7">
      <c r="A322" s="3269" t="s">
        <v>306</v>
      </c>
      <c r="B322" s="3258" t="s">
        <v>3219</v>
      </c>
      <c r="C322" s="3270"/>
      <c r="D322" s="3270"/>
      <c r="E322" s="3270"/>
      <c r="F322" s="3259">
        <v>0.05</v>
      </c>
      <c r="G322" s="3276"/>
    </row>
    <row r="323" spans="1:7">
      <c r="A323" s="3269" t="s">
        <v>306</v>
      </c>
      <c r="B323" s="3258" t="s">
        <v>3220</v>
      </c>
      <c r="C323" s="3270"/>
      <c r="D323" s="3270"/>
      <c r="E323" s="3270"/>
      <c r="F323" s="3259">
        <v>0.05</v>
      </c>
      <c r="G323" s="3276"/>
    </row>
    <row r="324" spans="1:7">
      <c r="A324" s="3269" t="s">
        <v>306</v>
      </c>
      <c r="B324" s="3258" t="s">
        <v>3221</v>
      </c>
      <c r="C324" s="3270"/>
      <c r="D324" s="3270"/>
      <c r="E324" s="3270"/>
      <c r="F324" s="3259">
        <v>0.05</v>
      </c>
      <c r="G324" s="3276"/>
    </row>
    <row r="325" spans="1:7">
      <c r="A325" s="3269" t="s">
        <v>306</v>
      </c>
      <c r="B325" s="3258" t="s">
        <v>3222</v>
      </c>
      <c r="C325" s="3270"/>
      <c r="D325" s="3270"/>
      <c r="E325" s="3270"/>
      <c r="F325" s="3259">
        <v>0.05</v>
      </c>
      <c r="G325" s="3276"/>
    </row>
    <row r="326" spans="1:7" ht="14.25" thickBot="1">
      <c r="A326" s="3272" t="s">
        <v>306</v>
      </c>
      <c r="B326" s="3262" t="s">
        <v>3223</v>
      </c>
      <c r="C326" s="3264"/>
      <c r="D326" s="3264"/>
      <c r="E326" s="3264"/>
      <c r="F326" s="3263">
        <v>0.05</v>
      </c>
      <c r="G326" s="3277"/>
    </row>
    <row r="327" spans="1:7">
      <c r="A327" s="3268" t="s">
        <v>307</v>
      </c>
      <c r="B327" s="3254" t="s">
        <v>2855</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2867</v>
      </c>
      <c r="C329" s="3259">
        <v>0.15</v>
      </c>
      <c r="D329" s="3259">
        <v>0.15</v>
      </c>
      <c r="E329" s="3259">
        <v>0.15</v>
      </c>
      <c r="F329" s="3259">
        <v>0.15</v>
      </c>
      <c r="G329" s="3260">
        <v>0.15</v>
      </c>
    </row>
    <row r="330" spans="1:7">
      <c r="A330" s="3269" t="s">
        <v>307</v>
      </c>
      <c r="B330" s="3258" t="s">
        <v>2871</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2879</v>
      </c>
      <c r="C332" s="3259">
        <v>0.15</v>
      </c>
      <c r="D332" s="3259">
        <v>0.15</v>
      </c>
      <c r="E332" s="3259">
        <v>0.15</v>
      </c>
      <c r="F332" s="3259">
        <v>0.15</v>
      </c>
      <c r="G332" s="3260">
        <v>0.15</v>
      </c>
    </row>
    <row r="333" spans="1:7">
      <c r="A333" s="3269" t="s">
        <v>307</v>
      </c>
      <c r="B333" s="3258" t="s">
        <v>2883</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2889</v>
      </c>
      <c r="C336" s="3259">
        <v>0.15</v>
      </c>
      <c r="D336" s="3259">
        <v>0.15</v>
      </c>
      <c r="E336" s="3259">
        <v>0.15</v>
      </c>
      <c r="F336" s="3259">
        <v>0.14199999999999999</v>
      </c>
      <c r="G336" s="3260">
        <v>0.15</v>
      </c>
    </row>
    <row r="337" spans="1:7">
      <c r="A337" s="3269" t="s">
        <v>307</v>
      </c>
      <c r="B337" s="3258" t="s">
        <v>2894</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2901</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2906</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2914</v>
      </c>
      <c r="C345" s="3259">
        <v>0.15</v>
      </c>
      <c r="D345" s="3259">
        <v>0.15</v>
      </c>
      <c r="E345" s="3259">
        <v>0.15</v>
      </c>
      <c r="F345" s="3259">
        <v>0.13800000000000001</v>
      </c>
      <c r="G345" s="3260">
        <v>0.15</v>
      </c>
    </row>
    <row r="346" spans="1:7">
      <c r="A346" s="3269" t="s">
        <v>307</v>
      </c>
      <c r="B346" s="3258" t="s">
        <v>2916</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2923</v>
      </c>
      <c r="C348" s="3259">
        <v>0.15</v>
      </c>
      <c r="D348" s="3259">
        <v>0.15</v>
      </c>
      <c r="E348" s="3259">
        <v>0.15</v>
      </c>
      <c r="F348" s="3259">
        <v>0.14399999999999999</v>
      </c>
      <c r="G348" s="3260">
        <v>0.15</v>
      </c>
    </row>
    <row r="349" spans="1:7">
      <c r="A349" s="3269" t="s">
        <v>307</v>
      </c>
      <c r="B349" s="3258" t="s">
        <v>2928</v>
      </c>
      <c r="C349" s="3259">
        <v>0.15</v>
      </c>
      <c r="D349" s="3259">
        <v>0.15</v>
      </c>
      <c r="E349" s="3259">
        <v>0.15</v>
      </c>
      <c r="F349" s="3259">
        <v>0.15</v>
      </c>
      <c r="G349" s="3260">
        <v>0.15</v>
      </c>
    </row>
    <row r="350" spans="1:7">
      <c r="A350" s="3269" t="s">
        <v>307</v>
      </c>
      <c r="B350" s="3258" t="s">
        <v>2931</v>
      </c>
      <c r="C350" s="3259">
        <v>0.15</v>
      </c>
      <c r="D350" s="3259">
        <v>0.15</v>
      </c>
      <c r="E350" s="3259">
        <v>0.15</v>
      </c>
      <c r="F350" s="3259">
        <v>0.14699999999999999</v>
      </c>
      <c r="G350" s="3260">
        <v>0.15</v>
      </c>
    </row>
    <row r="351" spans="1:7">
      <c r="A351" s="3269" t="s">
        <v>307</v>
      </c>
      <c r="B351" s="3258" t="s">
        <v>2936</v>
      </c>
      <c r="C351" s="3259">
        <v>0.15</v>
      </c>
      <c r="D351" s="3259">
        <v>0.15</v>
      </c>
      <c r="E351" s="3259">
        <v>0.15</v>
      </c>
      <c r="F351" s="3259">
        <v>0.13</v>
      </c>
      <c r="G351" s="3260">
        <v>0.15</v>
      </c>
    </row>
    <row r="352" spans="1:7">
      <c r="A352" s="3269" t="s">
        <v>307</v>
      </c>
      <c r="B352" s="3258" t="s">
        <v>2941</v>
      </c>
      <c r="C352" s="3259">
        <v>0.15</v>
      </c>
      <c r="D352" s="3259">
        <v>0.15</v>
      </c>
      <c r="E352" s="3259">
        <v>0.15</v>
      </c>
      <c r="F352" s="3259">
        <v>0.14599999999999999</v>
      </c>
      <c r="G352" s="3260">
        <v>0.15</v>
      </c>
    </row>
    <row r="353" spans="1:7">
      <c r="A353" s="3269" t="s">
        <v>307</v>
      </c>
      <c r="B353" s="3258" t="s">
        <v>2948</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2961</v>
      </c>
      <c r="C355" s="3259">
        <v>0.15</v>
      </c>
      <c r="D355" s="3259">
        <v>0.15</v>
      </c>
      <c r="E355" s="3259">
        <v>0.15</v>
      </c>
      <c r="F355" s="3259">
        <v>0.15</v>
      </c>
      <c r="G355" s="3260">
        <v>0.15</v>
      </c>
    </row>
    <row r="356" spans="1:7">
      <c r="A356" s="3269" t="s">
        <v>307</v>
      </c>
      <c r="B356" s="3258" t="s">
        <v>2968</v>
      </c>
      <c r="C356" s="3259">
        <v>0.15</v>
      </c>
      <c r="D356" s="3259">
        <v>0.15</v>
      </c>
      <c r="E356" s="3259">
        <v>0.15</v>
      </c>
      <c r="F356" s="3259">
        <v>0.15</v>
      </c>
      <c r="G356" s="3260">
        <v>0.15</v>
      </c>
    </row>
    <row r="357" spans="1:7" ht="14.25" thickBot="1">
      <c r="A357" s="3272" t="s">
        <v>307</v>
      </c>
      <c r="B357" s="3262" t="s">
        <v>2973</v>
      </c>
      <c r="C357" s="3263">
        <v>0.126</v>
      </c>
      <c r="D357" s="3263">
        <v>0.127</v>
      </c>
      <c r="E357" s="3263">
        <v>0.14299999999999999</v>
      </c>
      <c r="F357" s="3263">
        <v>0.125</v>
      </c>
      <c r="G357" s="3265">
        <v>0.129</v>
      </c>
    </row>
    <row r="358" spans="1:7">
      <c r="A358" s="3268" t="s">
        <v>2842</v>
      </c>
      <c r="B358" s="3254" t="s">
        <v>2856</v>
      </c>
      <c r="C358" s="3255">
        <v>0.15</v>
      </c>
      <c r="D358" s="3255">
        <v>0.15</v>
      </c>
      <c r="E358" s="3255">
        <v>0.15</v>
      </c>
      <c r="F358" s="3255">
        <v>0.15</v>
      </c>
      <c r="G358" s="3256">
        <v>0.15</v>
      </c>
    </row>
    <row r="359" spans="1:7">
      <c r="A359" s="3269" t="s">
        <v>2842</v>
      </c>
      <c r="B359" s="3258" t="s">
        <v>2862</v>
      </c>
      <c r="C359" s="3259">
        <v>0.1</v>
      </c>
      <c r="D359" s="3259">
        <v>0.1</v>
      </c>
      <c r="E359" s="3259">
        <v>0.1</v>
      </c>
      <c r="F359" s="3259">
        <v>0.1</v>
      </c>
      <c r="G359" s="3260">
        <v>0.1</v>
      </c>
    </row>
    <row r="360" spans="1:7">
      <c r="A360" s="3269" t="s">
        <v>2842</v>
      </c>
      <c r="B360" s="3258" t="s">
        <v>2868</v>
      </c>
      <c r="C360" s="3259">
        <v>0.15</v>
      </c>
      <c r="D360" s="3259">
        <v>0.15</v>
      </c>
      <c r="E360" s="3259">
        <v>0.15</v>
      </c>
      <c r="F360" s="3259">
        <v>0.14899999999999999</v>
      </c>
      <c r="G360" s="3260">
        <v>0.15</v>
      </c>
    </row>
    <row r="361" spans="1:7">
      <c r="A361" s="3269" t="s">
        <v>2842</v>
      </c>
      <c r="B361" s="3258" t="s">
        <v>153</v>
      </c>
      <c r="C361" s="3259">
        <v>0.15</v>
      </c>
      <c r="D361" s="3259">
        <v>0.15</v>
      </c>
      <c r="E361" s="3259">
        <v>0.15</v>
      </c>
      <c r="F361" s="3259">
        <v>0.115</v>
      </c>
      <c r="G361" s="3260">
        <v>0.15</v>
      </c>
    </row>
    <row r="362" spans="1:7">
      <c r="A362" s="3269" t="s">
        <v>2842</v>
      </c>
      <c r="B362" s="3258" t="s">
        <v>2875</v>
      </c>
      <c r="C362" s="3259">
        <v>0.15</v>
      </c>
      <c r="D362" s="3259">
        <v>0.15</v>
      </c>
      <c r="E362" s="3259">
        <v>0.15</v>
      </c>
      <c r="F362" s="3259">
        <v>0.106</v>
      </c>
      <c r="G362" s="3260">
        <v>0.15</v>
      </c>
    </row>
    <row r="363" spans="1:7">
      <c r="A363" s="3269" t="s">
        <v>2842</v>
      </c>
      <c r="B363" s="3258" t="s">
        <v>2880</v>
      </c>
      <c r="C363" s="3259">
        <v>0.15</v>
      </c>
      <c r="D363" s="3259">
        <v>0.15</v>
      </c>
      <c r="E363" s="3259">
        <v>0.15</v>
      </c>
      <c r="F363" s="3259">
        <v>0.14699999999999999</v>
      </c>
      <c r="G363" s="3260">
        <v>0.15</v>
      </c>
    </row>
    <row r="364" spans="1:7">
      <c r="A364" s="3269" t="s">
        <v>2842</v>
      </c>
      <c r="B364" s="3258" t="s">
        <v>2884</v>
      </c>
      <c r="C364" s="3259">
        <v>0.15</v>
      </c>
      <c r="D364" s="3259">
        <v>0.15</v>
      </c>
      <c r="E364" s="3259">
        <v>0.15</v>
      </c>
      <c r="F364" s="3259">
        <v>0.14799999999999999</v>
      </c>
      <c r="G364" s="3260">
        <v>0.15</v>
      </c>
    </row>
    <row r="365" spans="1:7">
      <c r="A365" s="3269" t="s">
        <v>2842</v>
      </c>
      <c r="B365" s="3258" t="s">
        <v>200</v>
      </c>
      <c r="C365" s="3259">
        <v>0.15</v>
      </c>
      <c r="D365" s="3259">
        <v>0.15</v>
      </c>
      <c r="E365" s="3259">
        <v>0.15</v>
      </c>
      <c r="F365" s="3259">
        <v>0.15</v>
      </c>
      <c r="G365" s="3260">
        <v>0.15</v>
      </c>
    </row>
    <row r="366" spans="1:7">
      <c r="A366" s="3269" t="s">
        <v>2842</v>
      </c>
      <c r="B366" s="3258" t="s">
        <v>2887</v>
      </c>
      <c r="C366" s="3259">
        <v>0.15</v>
      </c>
      <c r="D366" s="3259">
        <v>0.15</v>
      </c>
      <c r="E366" s="3259">
        <v>0.15</v>
      </c>
      <c r="F366" s="3259">
        <v>0.15</v>
      </c>
      <c r="G366" s="3260">
        <v>0.15</v>
      </c>
    </row>
    <row r="367" spans="1:7">
      <c r="A367" s="3269" t="s">
        <v>2842</v>
      </c>
      <c r="B367" s="3258" t="s">
        <v>2890</v>
      </c>
      <c r="C367" s="3259">
        <v>0.15</v>
      </c>
      <c r="D367" s="3259">
        <v>0.15</v>
      </c>
      <c r="E367" s="3259">
        <v>0.15</v>
      </c>
      <c r="F367" s="3259">
        <v>0.14699999999999999</v>
      </c>
      <c r="G367" s="3260">
        <v>0.15</v>
      </c>
    </row>
    <row r="368" spans="1:7">
      <c r="A368" s="3269" t="s">
        <v>2842</v>
      </c>
      <c r="B368" s="3258" t="s">
        <v>2895</v>
      </c>
      <c r="C368" s="3259">
        <v>0.15</v>
      </c>
      <c r="D368" s="3259">
        <v>0.15</v>
      </c>
      <c r="E368" s="3259">
        <v>0.15</v>
      </c>
      <c r="F368" s="3259">
        <v>0.13600000000000001</v>
      </c>
      <c r="G368" s="3260">
        <v>0.15</v>
      </c>
    </row>
    <row r="369" spans="1:7">
      <c r="A369" s="3269" t="s">
        <v>2842</v>
      </c>
      <c r="B369" s="3258" t="s">
        <v>214</v>
      </c>
      <c r="C369" s="3259">
        <v>0.15</v>
      </c>
      <c r="D369" s="3259">
        <v>0.15</v>
      </c>
      <c r="E369" s="3259">
        <v>0.15</v>
      </c>
      <c r="F369" s="3259">
        <v>0.14399999999999999</v>
      </c>
      <c r="G369" s="3260">
        <v>0.15</v>
      </c>
    </row>
    <row r="370" spans="1:7">
      <c r="A370" s="3269" t="s">
        <v>2842</v>
      </c>
      <c r="B370" s="3258" t="s">
        <v>221</v>
      </c>
      <c r="C370" s="3259">
        <v>0.15</v>
      </c>
      <c r="D370" s="3259">
        <v>0.15</v>
      </c>
      <c r="E370" s="3259">
        <v>0.15</v>
      </c>
      <c r="F370" s="3259">
        <v>0.14599999999999999</v>
      </c>
      <c r="G370" s="3260">
        <v>0.15</v>
      </c>
    </row>
    <row r="371" spans="1:7">
      <c r="A371" s="3269" t="s">
        <v>2842</v>
      </c>
      <c r="B371" s="3258" t="s">
        <v>229</v>
      </c>
      <c r="C371" s="3259">
        <v>0.15</v>
      </c>
      <c r="D371" s="3259">
        <v>0.15</v>
      </c>
      <c r="E371" s="3259">
        <v>0.15</v>
      </c>
      <c r="F371" s="3259">
        <v>0.12</v>
      </c>
      <c r="G371" s="3260">
        <v>0.15</v>
      </c>
    </row>
    <row r="372" spans="1:7">
      <c r="A372" s="3269" t="s">
        <v>2842</v>
      </c>
      <c r="B372" s="3258" t="s">
        <v>2903</v>
      </c>
      <c r="C372" s="3259">
        <v>0.15</v>
      </c>
      <c r="D372" s="3259">
        <v>0.15</v>
      </c>
      <c r="E372" s="3259">
        <v>0.15</v>
      </c>
      <c r="F372" s="3259">
        <v>0.14299999999999999</v>
      </c>
      <c r="G372" s="3260">
        <v>0.15</v>
      </c>
    </row>
    <row r="373" spans="1:7">
      <c r="A373" s="3269" t="s">
        <v>2842</v>
      </c>
      <c r="B373" s="3258" t="s">
        <v>258</v>
      </c>
      <c r="C373" s="3259">
        <v>0.15</v>
      </c>
      <c r="D373" s="3259">
        <v>0.15</v>
      </c>
      <c r="E373" s="3259">
        <v>0.15</v>
      </c>
      <c r="F373" s="3259">
        <v>0.14599999999999999</v>
      </c>
      <c r="G373" s="3260">
        <v>0.15</v>
      </c>
    </row>
    <row r="374" spans="1:7">
      <c r="A374" s="3269" t="s">
        <v>2842</v>
      </c>
      <c r="B374" s="3258" t="s">
        <v>266</v>
      </c>
      <c r="C374" s="3259">
        <v>0.15</v>
      </c>
      <c r="D374" s="3259">
        <v>0.15</v>
      </c>
      <c r="E374" s="3259">
        <v>0.15</v>
      </c>
      <c r="F374" s="3259">
        <v>0.14399999999999999</v>
      </c>
      <c r="G374" s="3260">
        <v>0.15</v>
      </c>
    </row>
    <row r="375" spans="1:7">
      <c r="A375" s="3269" t="s">
        <v>2842</v>
      </c>
      <c r="B375" s="3258" t="s">
        <v>2911</v>
      </c>
      <c r="C375" s="3259">
        <v>0.15</v>
      </c>
      <c r="D375" s="3259">
        <v>0.15</v>
      </c>
      <c r="E375" s="3259">
        <v>0.15</v>
      </c>
      <c r="F375" s="3259">
        <v>0.13</v>
      </c>
      <c r="G375" s="3260">
        <v>0.15</v>
      </c>
    </row>
    <row r="376" spans="1:7">
      <c r="A376" s="3269" t="s">
        <v>2842</v>
      </c>
      <c r="B376" s="3258" t="s">
        <v>277</v>
      </c>
      <c r="C376" s="3259">
        <v>0.15</v>
      </c>
      <c r="D376" s="3259">
        <v>0.15</v>
      </c>
      <c r="E376" s="3259">
        <v>0.15</v>
      </c>
      <c r="F376" s="3259">
        <v>0.14199999999999999</v>
      </c>
      <c r="G376" s="3260">
        <v>0.15</v>
      </c>
    </row>
    <row r="377" spans="1:7" ht="14.25" thickBot="1">
      <c r="A377" s="3272" t="s">
        <v>2842</v>
      </c>
      <c r="B377" s="3262" t="s">
        <v>2917</v>
      </c>
      <c r="C377" s="3263">
        <v>0.15</v>
      </c>
      <c r="D377" s="3263">
        <v>0.15</v>
      </c>
      <c r="E377" s="3263">
        <v>0.15</v>
      </c>
      <c r="F377" s="3263">
        <v>0.14000000000000001</v>
      </c>
      <c r="G377" s="3265">
        <v>0.15</v>
      </c>
    </row>
    <row r="378" spans="1:7">
      <c r="A378" s="3268" t="s">
        <v>2843</v>
      </c>
      <c r="B378" s="3254" t="s">
        <v>2857</v>
      </c>
      <c r="C378" s="3255">
        <v>0.15</v>
      </c>
      <c r="D378" s="3255">
        <v>0.15</v>
      </c>
      <c r="E378" s="3255">
        <v>0.15</v>
      </c>
      <c r="F378" s="3255">
        <v>0.107</v>
      </c>
      <c r="G378" s="3256">
        <v>0.15</v>
      </c>
    </row>
    <row r="379" spans="1:7">
      <c r="A379" s="3269" t="s">
        <v>2843</v>
      </c>
      <c r="B379" s="3258" t="s">
        <v>2863</v>
      </c>
      <c r="C379" s="3259">
        <v>0.15</v>
      </c>
      <c r="D379" s="3259">
        <v>0.15</v>
      </c>
      <c r="E379" s="3259">
        <v>0.15</v>
      </c>
      <c r="F379" s="3259">
        <v>0.115</v>
      </c>
      <c r="G379" s="3260">
        <v>0.14899999999999999</v>
      </c>
    </row>
    <row r="380" spans="1:7">
      <c r="A380" s="3269" t="s">
        <v>2843</v>
      </c>
      <c r="B380" s="3258" t="s">
        <v>2869</v>
      </c>
      <c r="C380" s="3259">
        <v>0.15</v>
      </c>
      <c r="D380" s="3259">
        <v>0.15</v>
      </c>
      <c r="E380" s="3259">
        <v>0.15</v>
      </c>
      <c r="F380" s="3259">
        <v>0.1</v>
      </c>
      <c r="G380" s="3260">
        <v>0.14799999999999999</v>
      </c>
    </row>
    <row r="381" spans="1:7">
      <c r="A381" s="3269" t="s">
        <v>2843</v>
      </c>
      <c r="B381" s="3258" t="s">
        <v>2872</v>
      </c>
      <c r="C381" s="3259">
        <v>0.15</v>
      </c>
      <c r="D381" s="3259">
        <v>0.15</v>
      </c>
      <c r="E381" s="3259">
        <v>0.15</v>
      </c>
      <c r="F381" s="3259">
        <v>0.126</v>
      </c>
      <c r="G381" s="3260">
        <v>0.15</v>
      </c>
    </row>
    <row r="382" spans="1:7">
      <c r="A382" s="3269" t="s">
        <v>2843</v>
      </c>
      <c r="B382" s="3258" t="s">
        <v>2876</v>
      </c>
      <c r="C382" s="3259">
        <v>0.15</v>
      </c>
      <c r="D382" s="3259">
        <v>0.15</v>
      </c>
      <c r="E382" s="3259">
        <v>0.15</v>
      </c>
      <c r="F382" s="3259">
        <v>0.15</v>
      </c>
      <c r="G382" s="3260">
        <v>0.15</v>
      </c>
    </row>
    <row r="383" spans="1:7">
      <c r="A383" s="3269" t="s">
        <v>2843</v>
      </c>
      <c r="B383" s="3258" t="s">
        <v>2881</v>
      </c>
      <c r="C383" s="3259">
        <v>0.15</v>
      </c>
      <c r="D383" s="3259">
        <v>0.15</v>
      </c>
      <c r="E383" s="3259">
        <v>0.15</v>
      </c>
      <c r="F383" s="3259">
        <v>0.14699999999999999</v>
      </c>
      <c r="G383" s="3260">
        <v>0.15</v>
      </c>
    </row>
    <row r="384" spans="1:7" ht="14.25" thickBot="1">
      <c r="A384" s="3279" t="s">
        <v>2843</v>
      </c>
      <c r="B384" s="3280" t="s">
        <v>2885</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87" t="s">
        <v>3224</v>
      </c>
      <c r="B1" s="3787"/>
      <c r="C1" s="3787"/>
      <c r="D1" s="3787"/>
      <c r="E1" s="3787"/>
      <c r="F1" s="3788"/>
    </row>
    <row r="2" spans="1:6">
      <c r="A2" s="3285" t="s">
        <v>3225</v>
      </c>
      <c r="B2" s="3286"/>
      <c r="C2" s="3286"/>
      <c r="D2" s="3286"/>
      <c r="E2" s="3286"/>
      <c r="F2" s="3286"/>
    </row>
    <row r="3" spans="1:6">
      <c r="A3" s="3285" t="s">
        <v>3226</v>
      </c>
      <c r="B3" s="3286"/>
      <c r="C3" s="3286"/>
      <c r="D3" s="3286"/>
      <c r="E3" s="3286"/>
      <c r="F3" s="3287" t="s">
        <v>3227</v>
      </c>
    </row>
    <row r="4" spans="1:6">
      <c r="A4" s="3288" t="s">
        <v>672</v>
      </c>
      <c r="B4" s="3288" t="s">
        <v>673</v>
      </c>
      <c r="C4" s="3288" t="s">
        <v>21</v>
      </c>
      <c r="D4" s="3288" t="s">
        <v>674</v>
      </c>
      <c r="E4" s="3288" t="s">
        <v>3</v>
      </c>
      <c r="F4" s="3288" t="s">
        <v>3228</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7" sqref="A7:XFD9"/>
    </sheetView>
  </sheetViews>
  <sheetFormatPr defaultRowHeight="13.5"/>
  <cols>
    <col min="1" max="1" width="13.875" customWidth="1"/>
    <col min="11" max="17" width="0" hidden="1" customWidth="1"/>
    <col min="25" max="30" width="0" hidden="1" customWidth="1"/>
  </cols>
  <sheetData>
    <row r="1" spans="1:30">
      <c r="A1" s="3215">
        <f>基准地价修正!G23</f>
        <v>45135</v>
      </c>
      <c r="B1" s="3204" t="s">
        <v>2830</v>
      </c>
      <c r="C1" s="3205"/>
      <c r="D1" s="3205"/>
      <c r="E1" s="3205"/>
      <c r="F1" s="3205"/>
      <c r="G1" s="3205"/>
      <c r="H1" s="3205"/>
      <c r="I1" s="3205"/>
      <c r="J1" s="3159"/>
      <c r="K1" s="3205" t="s">
        <v>454</v>
      </c>
      <c r="L1" s="3205"/>
      <c r="M1" s="3205"/>
      <c r="N1" s="3205"/>
      <c r="O1" s="3205"/>
      <c r="P1" s="3205"/>
      <c r="Q1" s="3159"/>
      <c r="R1" s="3789" t="s">
        <v>456</v>
      </c>
      <c r="S1" s="3790"/>
      <c r="T1" s="3790"/>
      <c r="U1" s="3790"/>
      <c r="V1" s="3790"/>
      <c r="W1" s="3790"/>
      <c r="X1" s="3159"/>
      <c r="Y1" s="3789" t="s">
        <v>457</v>
      </c>
      <c r="Z1" s="3790"/>
      <c r="AA1" s="3790"/>
      <c r="AB1" s="3790"/>
      <c r="AC1" s="3790"/>
      <c r="AD1" s="3790"/>
    </row>
    <row r="2" spans="1:30" s="3137" customFormat="1" ht="14.25" thickBot="1">
      <c r="B2" s="3138"/>
      <c r="C2" s="3139"/>
      <c r="D2" s="3140" t="s">
        <v>2800</v>
      </c>
      <c r="E2" s="3141" t="s">
        <v>2801</v>
      </c>
      <c r="F2" s="3141" t="s">
        <v>2802</v>
      </c>
      <c r="G2" s="3141" t="s">
        <v>2803</v>
      </c>
      <c r="H2" s="3141" t="s">
        <v>2804</v>
      </c>
      <c r="I2" s="3141" t="s">
        <v>2621</v>
      </c>
      <c r="J2" s="3142"/>
      <c r="K2" s="3140" t="s">
        <v>2800</v>
      </c>
      <c r="L2" s="3141" t="s">
        <v>2801</v>
      </c>
      <c r="M2" s="3141" t="s">
        <v>2802</v>
      </c>
      <c r="N2" s="3141" t="s">
        <v>2803</v>
      </c>
      <c r="O2" s="3141" t="s">
        <v>2805</v>
      </c>
      <c r="P2" s="3141" t="s">
        <v>2621</v>
      </c>
      <c r="Q2" s="3142"/>
      <c r="R2" s="3140" t="s">
        <v>2800</v>
      </c>
      <c r="S2" s="3141" t="s">
        <v>2801</v>
      </c>
      <c r="T2" s="3141" t="s">
        <v>2802</v>
      </c>
      <c r="U2" s="3141" t="s">
        <v>2806</v>
      </c>
      <c r="V2" s="3141" t="s">
        <v>2807</v>
      </c>
      <c r="W2" s="3141" t="s">
        <v>2621</v>
      </c>
      <c r="X2" s="3142"/>
      <c r="Y2" s="3140" t="s">
        <v>2800</v>
      </c>
      <c r="Z2" s="3141" t="s">
        <v>2801</v>
      </c>
      <c r="AA2" s="3141" t="s">
        <v>2802</v>
      </c>
      <c r="AB2" s="3141" t="s">
        <v>2808</v>
      </c>
      <c r="AC2" s="3141" t="s">
        <v>2807</v>
      </c>
      <c r="AD2" s="3141" t="s">
        <v>2621</v>
      </c>
    </row>
    <row r="3" spans="1:30" s="3155" customFormat="1" ht="12.75">
      <c r="A3" s="3143" t="s">
        <v>2809</v>
      </c>
      <c r="B3" s="3144"/>
      <c r="C3" s="3145"/>
      <c r="D3" s="3145">
        <f>ROUND(AVERAGEIF(D4:D16,"&lt;&gt;0"),2)</f>
        <v>0.83</v>
      </c>
      <c r="E3" s="3145">
        <f t="shared" ref="E3:H3" si="0">ROUND(AVERAGEIF(E4:E16,"&lt;&gt;0"),2)</f>
        <v>0.4</v>
      </c>
      <c r="F3" s="3145">
        <f t="shared" si="0"/>
        <v>0.22</v>
      </c>
      <c r="G3" s="3145">
        <f t="shared" si="0"/>
        <v>0.9</v>
      </c>
      <c r="H3" s="3145">
        <f t="shared" si="0"/>
        <v>0.65</v>
      </c>
      <c r="I3" s="3145">
        <f>F3</f>
        <v>0.22</v>
      </c>
      <c r="J3" s="3146"/>
      <c r="K3" s="3147">
        <f>ROUND(AVERAGEIF(K4:K16,"&lt;&gt;0"),4)</f>
        <v>8.3000000000000001E-3</v>
      </c>
      <c r="L3" s="3148">
        <f t="shared" ref="L3:O3" si="1">ROUND(AVERAGEIF(L4:L16,"&lt;&gt;0"),4)</f>
        <v>4.0000000000000001E-3</v>
      </c>
      <c r="M3" s="3148">
        <f t="shared" si="1"/>
        <v>2.2000000000000001E-3</v>
      </c>
      <c r="N3" s="3148">
        <f t="shared" si="1"/>
        <v>8.9999999999999993E-3</v>
      </c>
      <c r="O3" s="3148">
        <f t="shared" si="1"/>
        <v>6.4999999999999997E-3</v>
      </c>
      <c r="P3" s="3148">
        <f>M3</f>
        <v>2.2000000000000001E-3</v>
      </c>
      <c r="Q3" s="3146"/>
      <c r="R3" s="3149">
        <f>ROUND(SUMPRODUCT(PRODUCT(1+K4:K16)),4)</f>
        <v>1.0860000000000001</v>
      </c>
      <c r="S3" s="3150">
        <f t="shared" ref="S3:V3" si="2">ROUND(SUMPRODUCT(PRODUCT(1+L4:L16)),4)</f>
        <v>1.0410999999999999</v>
      </c>
      <c r="T3" s="3150">
        <f t="shared" si="2"/>
        <v>1.0225</v>
      </c>
      <c r="U3" s="3150">
        <f t="shared" si="2"/>
        <v>1.0938000000000001</v>
      </c>
      <c r="V3" s="3150">
        <f t="shared" si="2"/>
        <v>1.0668</v>
      </c>
      <c r="W3" s="3149">
        <f>T3</f>
        <v>1.0225</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3360</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1.0755999999999999</v>
      </c>
      <c r="S5" s="3177">
        <f>ROUND(IF(项目基本情况!$B$8="出让",SUMPRODUCT(PRODUCT(1+L5:$L$16)),SUMPRODUCT(PRODUCT(1+L5:$L$15))),4)</f>
        <v>1.0395000000000001</v>
      </c>
      <c r="T5" s="3177">
        <f>ROUND(IF(项目基本情况!$B$8="出让",SUMPRODUCT(PRODUCT(1+M5:$M$16)),SUMPRODUCT(PRODUCT(1+M5:$M$15))),4)</f>
        <v>1.0250999999999999</v>
      </c>
      <c r="U5" s="3177">
        <f>ROUND(IF(项目基本情况!$B$8="出让",SUMPRODUCT(PRODUCT(1+N5:$N$16)),SUMPRODUCT(PRODUCT(1+N5:$N$15))),4)</f>
        <v>1.0818000000000001</v>
      </c>
      <c r="V5" s="3177">
        <f>ROUND(IF(项目基本情况!$B$8="出让",SUMPRODUCT(PRODUCT(1+O5:$O$16)),SUMPRODUCT(PRODUCT(1+O5:$O$15))),4)</f>
        <v>1.0629999999999999</v>
      </c>
      <c r="W5" s="3177">
        <f>T5</f>
        <v>1.0250999999999999</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3361</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1.0755999999999999</v>
      </c>
      <c r="S6" s="3177">
        <f>ROUND(IF(项目基本情况!$B$8="出让",SUMPRODUCT(PRODUCT(1+L6:$L$16)),SUMPRODUCT(PRODUCT(1+L6:$L$15))),4)</f>
        <v>1.0395000000000001</v>
      </c>
      <c r="T6" s="3177">
        <f>ROUND(IF(项目基本情况!$B$8="出让",SUMPRODUCT(PRODUCT(1+M6:$M$16)),SUMPRODUCT(PRODUCT(1+M6:$M$15))),4)</f>
        <v>1.0250999999999999</v>
      </c>
      <c r="U6" s="3177">
        <f>ROUND(IF(项目基本情况!$B$8="出让",SUMPRODUCT(PRODUCT(1+N6:$N$16)),SUMPRODUCT(PRODUCT(1+N6:$N$15))),4)</f>
        <v>1.0818000000000001</v>
      </c>
      <c r="V6" s="3177">
        <f>ROUND(IF(项目基本情况!$B$8="出让",SUMPRODUCT(PRODUCT(1+O6:$O$16)),SUMPRODUCT(PRODUCT(1+O6:$O$15))),4)</f>
        <v>1.0629999999999999</v>
      </c>
      <c r="W6" s="3177">
        <f t="shared" ref="W6:W8" si="14">T6</f>
        <v>1.0250999999999999</v>
      </c>
      <c r="X6" s="3175"/>
      <c r="Y6" s="3178"/>
      <c r="Z6" s="3178"/>
      <c r="AA6" s="3178"/>
      <c r="AB6" s="3178"/>
      <c r="AC6" s="3178"/>
      <c r="AD6" s="3178"/>
    </row>
    <row r="7" spans="1:30" s="3189" customFormat="1" ht="12.75">
      <c r="A7" s="3180" t="s">
        <v>3365</v>
      </c>
      <c r="B7" s="3181">
        <v>2023</v>
      </c>
      <c r="C7" s="3182">
        <v>2</v>
      </c>
      <c r="D7" s="3183">
        <v>0.91</v>
      </c>
      <c r="E7" s="3183">
        <v>0.66</v>
      </c>
      <c r="F7" s="3183">
        <v>0.47</v>
      </c>
      <c r="G7" s="3183">
        <v>0.96</v>
      </c>
      <c r="H7" s="3184">
        <v>0.71</v>
      </c>
      <c r="I7" s="3185">
        <f t="shared" si="4"/>
        <v>0.47</v>
      </c>
      <c r="J7" s="3186"/>
      <c r="K7" s="3187">
        <f t="shared" si="8"/>
        <v>9.1000000000000004E-3</v>
      </c>
      <c r="L7" s="3188">
        <f t="shared" si="9"/>
        <v>6.6E-3</v>
      </c>
      <c r="M7" s="3188">
        <f t="shared" si="10"/>
        <v>4.6999999999999993E-3</v>
      </c>
      <c r="N7" s="3188">
        <f t="shared" si="11"/>
        <v>9.5999999999999992E-3</v>
      </c>
      <c r="O7" s="3188">
        <f t="shared" si="12"/>
        <v>7.0999999999999995E-3</v>
      </c>
      <c r="P7" s="3188">
        <f t="shared" si="13"/>
        <v>4.6999999999999993E-3</v>
      </c>
      <c r="Q7" s="3186"/>
      <c r="R7" s="3186">
        <f>ROUND(IF(项目基本情况!$B$8="出让",SUMPRODUCT(PRODUCT(1+K7:$K$16)),SUMPRODUCT(PRODUCT(1+K7:$K$15))),4)</f>
        <v>1.0755999999999999</v>
      </c>
      <c r="S7" s="3186">
        <f>ROUND(IF(项目基本情况!$B$8="出让",SUMPRODUCT(PRODUCT(1+L7:$L$16)),SUMPRODUCT(PRODUCT(1+L7:$L$15))),4)</f>
        <v>1.0395000000000001</v>
      </c>
      <c r="T7" s="3186">
        <f>ROUND(IF(项目基本情况!$B$8="出让",SUMPRODUCT(PRODUCT(1+M7:$M$16)),SUMPRODUCT(PRODUCT(1+M7:$M$15))),4)</f>
        <v>1.0250999999999999</v>
      </c>
      <c r="U7" s="3186">
        <f>ROUND(IF(项目基本情况!$B$8="出让",SUMPRODUCT(PRODUCT(1+N7:$N$16)),SUMPRODUCT(PRODUCT(1+N7:$N$15))),4)</f>
        <v>1.0818000000000001</v>
      </c>
      <c r="V7" s="3186">
        <f>ROUND(IF(项目基本情况!$B$8="出让",SUMPRODUCT(PRODUCT(1+O7:$O$16)),SUMPRODUCT(PRODUCT(1+O7:$O$15))),4)</f>
        <v>1.0629999999999999</v>
      </c>
      <c r="W7" s="3186">
        <f t="shared" si="14"/>
        <v>1.0250999999999999</v>
      </c>
      <c r="X7" s="3186"/>
      <c r="Y7" s="3188"/>
      <c r="Z7" s="3188"/>
      <c r="AA7" s="3188"/>
      <c r="AB7" s="3188"/>
      <c r="AC7" s="3188"/>
      <c r="AD7" s="3188"/>
    </row>
    <row r="8" spans="1:30" s="3179" customFormat="1" ht="12.75">
      <c r="A8" s="3170" t="s">
        <v>3364</v>
      </c>
      <c r="B8" s="3171">
        <v>2023</v>
      </c>
      <c r="C8" s="3172">
        <v>1</v>
      </c>
      <c r="D8" s="3173">
        <v>0.89</v>
      </c>
      <c r="E8" s="3173">
        <v>0.74</v>
      </c>
      <c r="F8" s="3173">
        <v>0.56999999999999995</v>
      </c>
      <c r="G8" s="3173">
        <v>0.92</v>
      </c>
      <c r="H8" s="3190">
        <v>0.5</v>
      </c>
      <c r="I8" s="3174">
        <f t="shared" si="4"/>
        <v>0.56999999999999995</v>
      </c>
      <c r="J8" s="3175"/>
      <c r="K8" s="3176">
        <f t="shared" si="8"/>
        <v>8.8999999999999999E-3</v>
      </c>
      <c r="L8" s="3166">
        <f t="shared" si="9"/>
        <v>7.4000000000000003E-3</v>
      </c>
      <c r="M8" s="3166">
        <f t="shared" si="10"/>
        <v>5.6999999999999993E-3</v>
      </c>
      <c r="N8" s="3166">
        <f t="shared" si="11"/>
        <v>9.1999999999999998E-3</v>
      </c>
      <c r="O8" s="3166">
        <f t="shared" si="12"/>
        <v>5.0000000000000001E-3</v>
      </c>
      <c r="P8" s="3166">
        <f t="shared" si="13"/>
        <v>5.6999999999999993E-3</v>
      </c>
      <c r="Q8" s="3175"/>
      <c r="R8" s="3177">
        <f>ROUND(IF(项目基本情况!$B$8="出让",SUMPRODUCT(PRODUCT(1+K8:$K$16)),SUMPRODUCT(PRODUCT(1+K8:$K$15))),4)</f>
        <v>1.0659000000000001</v>
      </c>
      <c r="S8" s="3177">
        <f>ROUND(IF(项目基本情况!$B$8="出让",SUMPRODUCT(PRODUCT(1+L8:$L$16)),SUMPRODUCT(PRODUCT(1+L8:$L$15))),4)</f>
        <v>1.0326</v>
      </c>
      <c r="T8" s="3177">
        <f>ROUND(IF(项目基本情况!$B$8="出让",SUMPRODUCT(PRODUCT(1+M8:$M$16)),SUMPRODUCT(PRODUCT(1+M8:$M$15))),4)</f>
        <v>1.0203</v>
      </c>
      <c r="U8" s="3177">
        <f>ROUND(IF(项目基本情况!$B$8="出让",SUMPRODUCT(PRODUCT(1+N8:$N$16)),SUMPRODUCT(PRODUCT(1+N8:$N$15))),4)</f>
        <v>1.0714999999999999</v>
      </c>
      <c r="V8" s="3177">
        <f>ROUND(IF(项目基本情况!$B$8="出让",SUMPRODUCT(PRODUCT(1+O8:$O$16)),SUMPRODUCT(PRODUCT(1+O8:$O$15))),4)</f>
        <v>1.0555000000000001</v>
      </c>
      <c r="W8" s="3177">
        <f t="shared" si="14"/>
        <v>1.0203</v>
      </c>
      <c r="X8" s="3175"/>
      <c r="Y8" s="3178"/>
      <c r="Z8" s="3178"/>
      <c r="AA8" s="3178"/>
      <c r="AB8" s="3178"/>
      <c r="AC8" s="3178"/>
      <c r="AD8" s="3178"/>
    </row>
    <row r="9" spans="1:30" s="3179" customFormat="1" ht="12.75">
      <c r="A9" s="3170" t="s">
        <v>3362</v>
      </c>
      <c r="B9" s="3171">
        <v>2022</v>
      </c>
      <c r="C9" s="3172">
        <v>4</v>
      </c>
      <c r="D9" s="3173">
        <v>0.62</v>
      </c>
      <c r="E9" s="3173">
        <v>0.2</v>
      </c>
      <c r="F9" s="3173">
        <v>0.11</v>
      </c>
      <c r="G9" s="3173">
        <v>0.69</v>
      </c>
      <c r="H9" s="3190">
        <v>0.53</v>
      </c>
      <c r="I9" s="3174">
        <f t="shared" si="4"/>
        <v>0.11</v>
      </c>
      <c r="J9" s="3175"/>
      <c r="K9" s="3176">
        <f t="shared" si="5"/>
        <v>6.1999999999999998E-3</v>
      </c>
      <c r="L9" s="3166">
        <f t="shared" si="5"/>
        <v>2E-3</v>
      </c>
      <c r="M9" s="3166">
        <f t="shared" si="5"/>
        <v>1.1000000000000001E-3</v>
      </c>
      <c r="N9" s="3166">
        <f t="shared" si="5"/>
        <v>6.8999999999999999E-3</v>
      </c>
      <c r="O9" s="3166">
        <f t="shared" si="5"/>
        <v>5.3E-3</v>
      </c>
      <c r="P9" s="3166">
        <f t="shared" ref="P9:P16" si="15">M9</f>
        <v>1.1000000000000001E-3</v>
      </c>
      <c r="Q9" s="3175"/>
      <c r="R9" s="3177">
        <f>ROUND(IF([2]项目基本情况!B8="出让",SUMPRODUCT(PRODUCT(1+K9:K16)),SUMPRODUCT(PRODUCT(1+K9:K15))),4)</f>
        <v>1.0565</v>
      </c>
      <c r="S9" s="3177">
        <f>ROUND(IF([2]项目基本情况!B8="出让",SUMPRODUCT(PRODUCT(1+L9:L16)),SUMPRODUCT(PRODUCT(1+L9:L15))),4)</f>
        <v>1.0250999999999999</v>
      </c>
      <c r="T9" s="3177">
        <f>ROUND(IF([2]项目基本情况!B8="出让",SUMPRODUCT(PRODUCT(1+M9:M16)),SUMPRODUCT(PRODUCT(1+M9:M15))),4)</f>
        <v>1.0145</v>
      </c>
      <c r="U9" s="3177">
        <f>ROUND(IF([2]项目基本情况!B8="出让",SUMPRODUCT(PRODUCT(1+N9:N16)),SUMPRODUCT(PRODUCT(1+N9:N15))),4)</f>
        <v>1.0618000000000001</v>
      </c>
      <c r="V9" s="3177">
        <f>ROUND(IF([2]项目基本情况!B8="出让",SUMPRODUCT(PRODUCT(1+O9:O16)),SUMPRODUCT(PRODUCT(1+O9:O15))),4)</f>
        <v>1.0502</v>
      </c>
      <c r="W9" s="3177">
        <f t="shared" ref="W9:W16" si="16">T9</f>
        <v>1.0145</v>
      </c>
      <c r="X9" s="3175"/>
      <c r="Y9" s="3178">
        <f>IF(D9=0,0,ROUND(AVERAGE(D9:D17)/100,4))</f>
        <v>8.0999999999999996E-3</v>
      </c>
      <c r="Z9" s="3178">
        <f t="shared" ref="Z9:AC9" si="17">IF(E9=0,0,ROUND(AVERAGE(E9:E16)/100,4))</f>
        <v>3.3E-3</v>
      </c>
      <c r="AA9" s="3178">
        <f t="shared" si="17"/>
        <v>1.5E-3</v>
      </c>
      <c r="AB9" s="3178">
        <f t="shared" si="17"/>
        <v>8.8999999999999999E-3</v>
      </c>
      <c r="AC9" s="3178">
        <f t="shared" si="17"/>
        <v>6.6E-3</v>
      </c>
      <c r="AD9" s="3178">
        <f t="shared" si="7"/>
        <v>1.5E-3</v>
      </c>
    </row>
    <row r="10" spans="1:30" s="3179" customFormat="1" ht="12.75">
      <c r="A10" s="3170" t="s">
        <v>3356</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ROUND(IF([2]项目基本情况!B8="出让",SUMPRODUCT(PRODUCT(1+K10:K16)),SUMPRODUCT(PRODUCT(1+K10:K15))),4)</f>
        <v>1.05</v>
      </c>
      <c r="S10" s="3177">
        <f>ROUND(IF([2]项目基本情况!B8="出让",SUMPRODUCT(PRODUCT(1+L10:L16)),SUMPRODUCT(PRODUCT(1+L10:L15))),4)</f>
        <v>1.0229999999999999</v>
      </c>
      <c r="T10" s="3177">
        <f>ROUND(IF([2]项目基本情况!B8="出让",SUMPRODUCT(PRODUCT(1+M10:M16)),SUMPRODUCT(PRODUCT(1+M10:M15))),4)</f>
        <v>1.0134000000000001</v>
      </c>
      <c r="U10" s="3177">
        <f>ROUND(IF([2]项目基本情况!B8="出让",SUMPRODUCT(PRODUCT(1+N10:N16)),SUMPRODUCT(PRODUCT(1+N10:N15))),4)</f>
        <v>1.0545</v>
      </c>
      <c r="V10" s="3177">
        <f>ROUND(IF([2]项目基本情况!B8="出让",SUMPRODUCT(PRODUCT(1+O10:O16)),SUMPRODUCT(PRODUCT(1+O10:O15))),4)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3347</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ROUND(IF([2]项目基本情况!B8="出让",SUMPRODUCT(PRODUCT(1+K11:K16)),SUMPRODUCT(PRODUCT(1+K11:K15))),4)</f>
        <v>1.0430999999999999</v>
      </c>
      <c r="S11" s="3177">
        <f>ROUND(IF([2]项目基本情况!B8="出让",SUMPRODUCT(PRODUCT(1+L11:L16)),SUMPRODUCT(PRODUCT(1+L11:L15))),4)</f>
        <v>1.0197000000000001</v>
      </c>
      <c r="T11" s="3177">
        <f>ROUND(IF([2]项目基本情况!B8="出让",SUMPRODUCT(PRODUCT(1+M11:M16)),SUMPRODUCT(PRODUCT(1+M11:M15))),4)</f>
        <v>1.0109999999999999</v>
      </c>
      <c r="U11" s="3177">
        <f>ROUND(IF([2]项目基本情况!B8="出让",SUMPRODUCT(PRODUCT(1+N11:N16)),SUMPRODUCT(PRODUCT(1+N11:N15))),4)</f>
        <v>1.0468999999999999</v>
      </c>
      <c r="V11" s="3177">
        <f>ROUND(IF([2]项目基本情况!B8="出让",SUMPRODUCT(PRODUCT(1+O11:O16)),SUMPRODUCT(PRODUCT(1+O11:O15))),4)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2810</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ROUND(IF([2]项目基本情况!B8="出让",SUMPRODUCT(PRODUCT(1+K12:K16)),SUMPRODUCT(PRODUCT(1+K12:K15))),4)</f>
        <v>1.0335000000000001</v>
      </c>
      <c r="S12" s="3177">
        <f>ROUND(IF([2]项目基本情况!B8="出让",SUMPRODUCT(PRODUCT(1+L12:L16)),SUMPRODUCT(PRODUCT(1+L12:L15))),4)</f>
        <v>1.0182</v>
      </c>
      <c r="T12" s="3177">
        <f>ROUND(IF([2]项目基本情况!B8="出让",SUMPRODUCT(PRODUCT(1+M12:M16)),SUMPRODUCT(PRODUCT(1+M12:M15))),4)</f>
        <v>1.0108999999999999</v>
      </c>
      <c r="U12" s="3177">
        <f>ROUND(IF([2]项目基本情况!B8="出让",SUMPRODUCT(PRODUCT(1+N12:N16)),SUMPRODUCT(PRODUCT(1+N12:N15))),4)</f>
        <v>1.0361</v>
      </c>
      <c r="V12" s="3177">
        <f>ROUND(IF([2]项目基本情况!B8="出让",SUMPRODUCT(PRODUCT(1+O12:O16)),SUMPRODUCT(PRODUCT(1+O12:O15))),4)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2811</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ROUND(IF([2]项目基本情况!B8="出让",SUMPRODUCT(PRODUCT(1+K13:K16)),SUMPRODUCT(PRODUCT(1+K13:K15))),4)</f>
        <v>1.0244</v>
      </c>
      <c r="S13" s="3177">
        <f>ROUND(IF([2]项目基本情况!B8="出让",SUMPRODUCT(PRODUCT(1+L13:L16)),SUMPRODUCT(PRODUCT(1+L13:L15))),4)</f>
        <v>1.0138</v>
      </c>
      <c r="T13" s="3177">
        <f>ROUND(IF([2]项目基本情况!B8="出让",SUMPRODUCT(PRODUCT(1+M13:M16)),SUMPRODUCT(PRODUCT(1+M13:M15))),4)</f>
        <v>1.0072000000000001</v>
      </c>
      <c r="U13" s="3177">
        <f>ROUND(IF([2]项目基本情况!B8="出让",SUMPRODUCT(PRODUCT(1+N13:N16)),SUMPRODUCT(PRODUCT(1+N13:N15))),4)</f>
        <v>1.0262</v>
      </c>
      <c r="V13" s="3177">
        <f>ROUND(IF([2]项目基本情况!B8="出让",SUMPRODUCT(PRODUCT(1+O13:O16)),SUMPRODUCT(PRODUCT(1+O13:O15))),4)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2812</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ROUND(IF([2]项目基本情况!B8="出让",SUMPRODUCT(PRODUCT(1+K14:K16)),SUMPRODUCT(PRODUCT(1+K14:K15))),4)</f>
        <v>1.0139</v>
      </c>
      <c r="S14" s="3177">
        <f>ROUND(IF([2]项目基本情况!B8="出让",SUMPRODUCT(PRODUCT(1+L14:L16)),SUMPRODUCT(PRODUCT(1+L14:L15))),4)</f>
        <v>1.0113000000000001</v>
      </c>
      <c r="T14" s="3177">
        <f>ROUND(IF([2]项目基本情况!B8="出让",SUMPRODUCT(PRODUCT(1+M14:M16)),SUMPRODUCT(PRODUCT(1+M14:M15))),4)</f>
        <v>1.0065</v>
      </c>
      <c r="U14" s="3177">
        <f>ROUND(IF([2]项目基本情况!B8="出让",SUMPRODUCT(PRODUCT(1+N14:N16)),SUMPRODUCT(PRODUCT(1+N14:N15))),4)</f>
        <v>1.0143</v>
      </c>
      <c r="V14" s="3177">
        <f>ROUND(IF([2]项目基本情况!B8="出让",SUMPRODUCT(PRODUCT(1+O14:O16)),SUMPRODUCT(PRODUCT(1+O14:O15))),4)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2813</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ROUND(IF([2]项目基本情况!B8="出让",SUMPRODUCT(PRODUCT(1+K15:K16)),SUMPRODUCT(PRODUCT(1+K15:K15))),4)</f>
        <v>1.0092000000000001</v>
      </c>
      <c r="S15" s="3177">
        <f>ROUND(IF([2]项目基本情况!B8="出让",SUMPRODUCT(PRODUCT(1+L15:L16)),SUMPRODUCT(PRODUCT(1+L15:L15))),4)</f>
        <v>1.0072000000000001</v>
      </c>
      <c r="T15" s="3177">
        <f>ROUND(IF([2]项目基本情况!B8="出让",SUMPRODUCT(PRODUCT(1+M15:M16)),SUMPRODUCT(PRODUCT(1+M15:M15))),4)</f>
        <v>1.0041</v>
      </c>
      <c r="U15" s="3177">
        <f>ROUND(IF([2]项目基本情况!B8="出让",SUMPRODUCT(PRODUCT(1+N15:N16)),SUMPRODUCT(PRODUCT(1+N15:N15))),4)</f>
        <v>1.0095000000000001</v>
      </c>
      <c r="V15" s="3177">
        <f>ROUND(IF([2]项目基本情况!B8="出让",SUMPRODUCT(PRODUCT(1+O15:O16)),SUMPRODUCT(PRODUCT(1+O15:O15))),4)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2814</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3358</v>
      </c>
    </row>
    <row r="19" spans="1:30" s="3003" customFormat="1">
      <c r="I19" s="3202" t="s">
        <v>2815</v>
      </c>
    </row>
    <row r="20" spans="1:30" s="3003" customFormat="1"/>
    <row r="21" spans="1:30" s="3203" customFormat="1" ht="12.75">
      <c r="B21" s="3204" t="s">
        <v>2816</v>
      </c>
      <c r="C21" s="3205"/>
      <c r="D21" s="3205"/>
      <c r="E21" s="3205"/>
      <c r="F21" s="3205"/>
      <c r="G21" s="3205"/>
      <c r="H21" s="3205"/>
      <c r="I21" s="3205"/>
      <c r="J21" s="3159"/>
      <c r="K21" s="3205" t="s">
        <v>2817</v>
      </c>
      <c r="L21" s="3205"/>
      <c r="M21" s="3205"/>
      <c r="N21" s="3205"/>
      <c r="O21" s="3205"/>
      <c r="P21" s="3205"/>
      <c r="Q21" s="3159"/>
      <c r="R21" s="3789" t="s">
        <v>2818</v>
      </c>
      <c r="S21" s="3790"/>
      <c r="T21" s="3790"/>
      <c r="U21" s="3790"/>
      <c r="V21" s="3790"/>
      <c r="W21" s="3790"/>
      <c r="X21" s="3159"/>
      <c r="Y21" s="3789" t="s">
        <v>2819</v>
      </c>
      <c r="Z21" s="3790"/>
      <c r="AA21" s="3790"/>
      <c r="AB21" s="3790"/>
      <c r="AC21" s="3790"/>
      <c r="AD21" s="3790"/>
    </row>
    <row r="22" spans="1:30" s="3137" customFormat="1" ht="14.25" thickBot="1">
      <c r="B22" s="3138"/>
      <c r="C22" s="3139"/>
      <c r="D22" s="3140" t="s">
        <v>2820</v>
      </c>
      <c r="E22" s="3141" t="s">
        <v>2821</v>
      </c>
      <c r="F22" s="3141" t="s">
        <v>2822</v>
      </c>
      <c r="G22" s="3141" t="s">
        <v>2823</v>
      </c>
      <c r="H22" s="3141"/>
      <c r="I22" s="3141" t="s">
        <v>2824</v>
      </c>
      <c r="J22" s="3142"/>
      <c r="K22" s="3140" t="s">
        <v>2820</v>
      </c>
      <c r="L22" s="3141" t="s">
        <v>2821</v>
      </c>
      <c r="M22" s="3141" t="s">
        <v>2822</v>
      </c>
      <c r="N22" s="3141" t="s">
        <v>2823</v>
      </c>
      <c r="O22" s="3141"/>
      <c r="P22" s="3141" t="s">
        <v>2824</v>
      </c>
      <c r="Q22" s="3142"/>
      <c r="R22" s="3140" t="s">
        <v>2820</v>
      </c>
      <c r="S22" s="3141" t="s">
        <v>2821</v>
      </c>
      <c r="T22" s="3141" t="s">
        <v>2822</v>
      </c>
      <c r="U22" s="3141" t="s">
        <v>2823</v>
      </c>
      <c r="V22" s="3141"/>
      <c r="W22" s="3141" t="s">
        <v>2824</v>
      </c>
      <c r="X22" s="3142"/>
      <c r="Y22" s="3140" t="s">
        <v>2820</v>
      </c>
      <c r="Z22" s="3141" t="s">
        <v>2821</v>
      </c>
      <c r="AA22" s="3141" t="s">
        <v>2822</v>
      </c>
      <c r="AB22" s="3141" t="s">
        <v>2823</v>
      </c>
      <c r="AC22" s="3141"/>
      <c r="AD22" s="3141" t="s">
        <v>2824</v>
      </c>
    </row>
    <row r="23" spans="1:30" s="3155" customFormat="1" ht="12.75">
      <c r="A23" s="3143" t="s">
        <v>2825</v>
      </c>
      <c r="B23" s="3144"/>
      <c r="C23" s="3145"/>
      <c r="D23" s="3145"/>
      <c r="E23" s="3145">
        <f t="shared" ref="E23:G23" si="22">ROUND(AVERAGEIF(E24:E36,"&lt;&gt;0"),2)</f>
        <v>0.42</v>
      </c>
      <c r="F23" s="3145">
        <f t="shared" si="22"/>
        <v>0.32</v>
      </c>
      <c r="G23" s="3145">
        <f t="shared" si="22"/>
        <v>0.75</v>
      </c>
      <c r="H23" s="3145"/>
      <c r="I23" s="3145">
        <f>F23</f>
        <v>0.32</v>
      </c>
      <c r="J23" s="3146"/>
      <c r="K23" s="3147"/>
      <c r="L23" s="3148">
        <f t="shared" ref="L23:N23" si="23">ROUND(AVERAGEIF(L24:L36,"&lt;&gt;0"),4)</f>
        <v>4.1999999999999997E-3</v>
      </c>
      <c r="M23" s="3148">
        <f t="shared" si="23"/>
        <v>3.2000000000000002E-3</v>
      </c>
      <c r="N23" s="3148">
        <f t="shared" si="23"/>
        <v>7.4999999999999997E-3</v>
      </c>
      <c r="O23" s="3148"/>
      <c r="P23" s="3148">
        <f>M23</f>
        <v>3.2000000000000002E-3</v>
      </c>
      <c r="Q23" s="3146"/>
      <c r="R23" s="3149"/>
      <c r="S23" s="3150">
        <f>ROUND(SUMPRODUCT(PRODUCT(1+L24:L36)),4)</f>
        <v>1.0431999999999999</v>
      </c>
      <c r="T23" s="3150">
        <f t="shared" ref="T23:U23" si="24">ROUND(SUMPRODUCT(PRODUCT(1+M24:M36)),4)</f>
        <v>1.0319</v>
      </c>
      <c r="U23" s="3150">
        <f t="shared" si="24"/>
        <v>1.0771999999999999</v>
      </c>
      <c r="V23" s="3150"/>
      <c r="W23" s="3149">
        <f>T23</f>
        <v>1.0319</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3360</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ROUND(IF([2]项目基本情况!$B$8="出让",SUMPRODUCT(PRODUCT(1+L25:L$36)),SUMPRODUCT(PRODUCT(1+L25:L$35))),4)</f>
        <v>1.0396000000000001</v>
      </c>
      <c r="T25" s="3177">
        <f>ROUND(IF([2]项目基本情况!$B$8="出让",SUMPRODUCT(PRODUCT(1+M25:M$36)),SUMPRODUCT(PRODUCT(1+M25:M$35))),4)</f>
        <v>1.0269999999999999</v>
      </c>
      <c r="U25" s="3177">
        <f>ROUND(IF([2]项目基本情况!$B$8="出让",SUMPRODUCT(PRODUCT(1+N25:N$36)),SUMPRODUCT(PRODUCT(1+N25:N$35))),4)</f>
        <v>1.0668</v>
      </c>
      <c r="V25" s="3177"/>
      <c r="W25" s="3177">
        <f>T25</f>
        <v>1.0269999999999999</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3361</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ROUND(IF([2]项目基本情况!$B$8="出让",SUMPRODUCT(PRODUCT(1+L26:L$36)),SUMPRODUCT(PRODUCT(1+L26:L$35))),4)</f>
        <v>1.0396000000000001</v>
      </c>
      <c r="T26" s="3177">
        <f>ROUND(IF([2]项目基本情况!$B$8="出让",SUMPRODUCT(PRODUCT(1+M26:M$36)),SUMPRODUCT(PRODUCT(1+M26:M$35))),4)</f>
        <v>1.0269999999999999</v>
      </c>
      <c r="U26" s="3177">
        <f>ROUND(IF([2]项目基本情况!$B$8="出让",SUMPRODUCT(PRODUCT(1+N26:N$36)),SUMPRODUCT(PRODUCT(1+N26:N$35))),4)</f>
        <v>1.0668</v>
      </c>
      <c r="V26" s="3177"/>
      <c r="W26" s="3177">
        <f t="shared" ref="W26:W28" si="32">T26</f>
        <v>1.0269999999999999</v>
      </c>
      <c r="X26" s="3175"/>
      <c r="Y26" s="3178"/>
      <c r="Z26" s="3206"/>
      <c r="AA26" s="3443"/>
      <c r="AB26" s="3443"/>
      <c r="AC26" s="3207"/>
      <c r="AD26" s="3178"/>
    </row>
    <row r="27" spans="1:30" s="3189" customFormat="1" ht="12.75">
      <c r="A27" s="3180" t="s">
        <v>3363</v>
      </c>
      <c r="B27" s="3181">
        <v>2023</v>
      </c>
      <c r="C27" s="3182">
        <v>2</v>
      </c>
      <c r="D27" s="3183"/>
      <c r="E27" s="3183">
        <v>0.5</v>
      </c>
      <c r="F27" s="3183">
        <v>0.45</v>
      </c>
      <c r="G27" s="3183">
        <v>0.89</v>
      </c>
      <c r="H27" s="3184"/>
      <c r="I27" s="3185">
        <f t="shared" si="26"/>
        <v>0.45</v>
      </c>
      <c r="J27" s="3186"/>
      <c r="K27" s="3187"/>
      <c r="L27" s="3188">
        <f t="shared" si="28"/>
        <v>5.0000000000000001E-3</v>
      </c>
      <c r="M27" s="3188">
        <f t="shared" si="29"/>
        <v>4.5000000000000005E-3</v>
      </c>
      <c r="N27" s="3188">
        <f t="shared" si="30"/>
        <v>8.8999999999999999E-3</v>
      </c>
      <c r="O27" s="3188"/>
      <c r="P27" s="3188">
        <f t="shared" si="31"/>
        <v>4.5000000000000005E-3</v>
      </c>
      <c r="Q27" s="3186"/>
      <c r="R27" s="3186"/>
      <c r="S27" s="3186">
        <f>ROUND(IF([2]项目基本情况!$B$8="出让",SUMPRODUCT(PRODUCT(1+L27:L$36)),SUMPRODUCT(PRODUCT(1+L27:L$35))),4)</f>
        <v>1.0396000000000001</v>
      </c>
      <c r="T27" s="3186">
        <f>ROUND(IF([2]项目基本情况!$B$8="出让",SUMPRODUCT(PRODUCT(1+M27:M$36)),SUMPRODUCT(PRODUCT(1+M27:M$35))),4)</f>
        <v>1.0269999999999999</v>
      </c>
      <c r="U27" s="3186">
        <f>ROUND(IF([2]项目基本情况!$B$8="出让",SUMPRODUCT(PRODUCT(1+N27:N$36)),SUMPRODUCT(PRODUCT(1+N27:N$35))),4)</f>
        <v>1.0668</v>
      </c>
      <c r="V27" s="3186"/>
      <c r="W27" s="3186">
        <f t="shared" si="32"/>
        <v>1.0269999999999999</v>
      </c>
      <c r="X27" s="3186"/>
      <c r="Y27" s="3188"/>
      <c r="Z27" s="3209"/>
      <c r="AA27" s="3210"/>
      <c r="AB27" s="3188"/>
      <c r="AC27" s="3211"/>
      <c r="AD27" s="3188"/>
    </row>
    <row r="28" spans="1:30" s="3179" customFormat="1" ht="12.75">
      <c r="A28" s="3170" t="s">
        <v>3364</v>
      </c>
      <c r="B28" s="3171">
        <v>2023</v>
      </c>
      <c r="C28" s="3172">
        <v>1</v>
      </c>
      <c r="D28" s="3173"/>
      <c r="E28" s="3173">
        <v>0.55000000000000004</v>
      </c>
      <c r="F28" s="3173">
        <v>0.59</v>
      </c>
      <c r="G28" s="3173">
        <v>0.64</v>
      </c>
      <c r="H28" s="3190"/>
      <c r="I28" s="3174">
        <f t="shared" si="26"/>
        <v>0.59</v>
      </c>
      <c r="J28" s="3175"/>
      <c r="K28" s="3176"/>
      <c r="L28" s="3166">
        <f t="shared" si="28"/>
        <v>5.5000000000000005E-3</v>
      </c>
      <c r="M28" s="3166">
        <f t="shared" si="29"/>
        <v>5.8999999999999999E-3</v>
      </c>
      <c r="N28" s="3166">
        <f t="shared" si="30"/>
        <v>6.4000000000000003E-3</v>
      </c>
      <c r="O28" s="3166"/>
      <c r="P28" s="3166">
        <f t="shared" si="31"/>
        <v>5.8999999999999999E-3</v>
      </c>
      <c r="Q28" s="3175"/>
      <c r="R28" s="3177"/>
      <c r="S28" s="3177">
        <f>ROUND(IF([2]项目基本情况!$B$8="出让",SUMPRODUCT(PRODUCT(1+L28:L$36)),SUMPRODUCT(PRODUCT(1+L28:L$35))),4)</f>
        <v>1.0344</v>
      </c>
      <c r="T28" s="3177">
        <f>ROUND(IF([2]项目基本情况!$B$8="出让",SUMPRODUCT(PRODUCT(1+M28:M$36)),SUMPRODUCT(PRODUCT(1+M28:M$35))),4)</f>
        <v>1.0224</v>
      </c>
      <c r="U28" s="3177">
        <f>ROUND(IF([2]项目基本情况!$B$8="出让",SUMPRODUCT(PRODUCT(1+N28:N$36)),SUMPRODUCT(PRODUCT(1+N28:N$35))),4)</f>
        <v>1.0573999999999999</v>
      </c>
      <c r="V28" s="3177"/>
      <c r="W28" s="3177">
        <f t="shared" si="32"/>
        <v>1.0224</v>
      </c>
      <c r="X28" s="3175"/>
      <c r="Y28" s="3178"/>
      <c r="Z28" s="3206"/>
      <c r="AA28" s="3208"/>
      <c r="AB28" s="3178"/>
      <c r="AC28" s="3207"/>
      <c r="AD28" s="3178"/>
    </row>
    <row r="29" spans="1:30" s="3179" customFormat="1" ht="12.75">
      <c r="A29" s="3170" t="s">
        <v>3362</v>
      </c>
      <c r="B29" s="3171">
        <v>2022</v>
      </c>
      <c r="C29" s="3172">
        <v>4</v>
      </c>
      <c r="D29" s="3173"/>
      <c r="E29" s="3173">
        <v>0.45</v>
      </c>
      <c r="F29" s="3173">
        <v>0.2</v>
      </c>
      <c r="G29" s="3173">
        <v>0.38</v>
      </c>
      <c r="H29" s="3190"/>
      <c r="I29" s="3174">
        <f t="shared" si="26"/>
        <v>0.2</v>
      </c>
      <c r="J29" s="3175"/>
      <c r="K29" s="3176"/>
      <c r="L29" s="3166">
        <f t="shared" si="27"/>
        <v>4.5000000000000005E-3</v>
      </c>
      <c r="M29" s="3166">
        <f t="shared" si="27"/>
        <v>2E-3</v>
      </c>
      <c r="N29" s="3166">
        <f t="shared" si="27"/>
        <v>3.8E-3</v>
      </c>
      <c r="O29" s="3166"/>
      <c r="P29" s="3166">
        <f t="shared" ref="P29:P36" si="33">M29</f>
        <v>2E-3</v>
      </c>
      <c r="Q29" s="3175"/>
      <c r="R29" s="3177"/>
      <c r="S29" s="3177">
        <f>ROUND(IF([2]项目基本情况!$B$8="出让",SUMPRODUCT(PRODUCT(1+L29:L$36)),SUMPRODUCT(PRODUCT(1+L29:L$35))),4)</f>
        <v>1.0286999999999999</v>
      </c>
      <c r="T29" s="3177">
        <f>ROUND(IF([2]项目基本情况!$B$8="出让",SUMPRODUCT(PRODUCT(1+M29:M$36)),SUMPRODUCT(PRODUCT(1+M29:M$35))),4)</f>
        <v>1.0164</v>
      </c>
      <c r="U29" s="3177">
        <f>ROUND(IF([2]项目基本情况!$B$8="出让",SUMPRODUCT(PRODUCT(1+N29:N$36)),SUMPRODUCT(PRODUCT(1+N29:N$35))),4)</f>
        <v>1.0506</v>
      </c>
      <c r="V29" s="3177"/>
      <c r="W29" s="3177">
        <f t="shared" ref="W29:W36" si="34">T29</f>
        <v>1.0164</v>
      </c>
      <c r="X29" s="3175"/>
      <c r="Y29" s="3178"/>
      <c r="Z29" s="3206">
        <f t="shared" ref="Z29:AD36" si="35">IF(E29=0,0,ROUND(AVERAGE(E29:E37)/100,4))</f>
        <v>4.0000000000000001E-3</v>
      </c>
      <c r="AA29" s="3208">
        <f t="shared" si="35"/>
        <v>2.5999999999999999E-3</v>
      </c>
      <c r="AB29" s="3178">
        <f t="shared" si="35"/>
        <v>7.4000000000000003E-3</v>
      </c>
      <c r="AC29" s="3207"/>
      <c r="AD29" s="3178">
        <f t="shared" si="35"/>
        <v>2.5999999999999999E-3</v>
      </c>
    </row>
    <row r="30" spans="1:30" s="3179" customFormat="1" ht="12.75">
      <c r="A30" s="3170" t="s">
        <v>3357</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ROUND(IF([2]项目基本情况!$B$8="出让",SUMPRODUCT(PRODUCT(1+L30:L$36)),SUMPRODUCT(PRODUCT(1+L30:L$35))),4)</f>
        <v>1.0241</v>
      </c>
      <c r="T30" s="3177">
        <f>ROUND(IF([2]项目基本情况!$B$8="出让",SUMPRODUCT(PRODUCT(1+M30:M$36)),SUMPRODUCT(PRODUCT(1+M30:M$35))),4)</f>
        <v>1.0144</v>
      </c>
      <c r="U30" s="3177">
        <f>ROUND(IF([2]项目基本情况!$B$8="出让",SUMPRODUCT(PRODUCT(1+N30:N$36)),SUMPRODUCT(PRODUCT(1+N30:N$35))),4)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3347</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ROUND(IF([2]项目基本情况!$B$8="出让",SUMPRODUCT(PRODUCT(1+L31:L$36)),SUMPRODUCT(PRODUCT(1+L31:L$35))),4)</f>
        <v>1.0210999999999999</v>
      </c>
      <c r="T31" s="3177">
        <f>ROUND(IF([2]项目基本情况!$B$8="出让",SUMPRODUCT(PRODUCT(1+M31:M$36)),SUMPRODUCT(PRODUCT(1+M31:M$35))),4)</f>
        <v>1.0114000000000001</v>
      </c>
      <c r="U31" s="3177">
        <f>ROUND(IF([2]项目基本情况!$B$8="出让",SUMPRODUCT(PRODUCT(1+N31:N$36)),SUMPRODUCT(PRODUCT(1+N31:N$35))),4)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2826</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ROUND(IF([2]项目基本情况!$B$8="出让",SUMPRODUCT(PRODUCT(1+L32:L$36)),SUMPRODUCT(PRODUCT(1+L32:L$35))),4)</f>
        <v>1.0222</v>
      </c>
      <c r="T32" s="3177">
        <f>ROUND(IF([2]项目基本情况!$B$8="出让",SUMPRODUCT(PRODUCT(1+M32:M$36)),SUMPRODUCT(PRODUCT(1+M32:M$35))),4)</f>
        <v>1.0127999999999999</v>
      </c>
      <c r="U32" s="3177">
        <f>ROUND(IF([2]项目基本情况!$B$8="出让",SUMPRODUCT(PRODUCT(1+N32:N$36)),SUMPRODUCT(PRODUCT(1+N32:N$35))),4)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2827</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ROUND(IF([2]项目基本情况!$B$8="出让",SUMPRODUCT(PRODUCT(1+L33:L$36)),SUMPRODUCT(PRODUCT(1+L33:L$35))),4)</f>
        <v>1.0161</v>
      </c>
      <c r="T33" s="3177">
        <f>ROUND(IF([2]项目基本情况!$B$8="出让",SUMPRODUCT(PRODUCT(1+M33:M$36)),SUMPRODUCT(PRODUCT(1+M33:M$35))),4)</f>
        <v>1.0082</v>
      </c>
      <c r="U33" s="3177">
        <f>ROUND(IF([2]项目基本情况!$B$8="出让",SUMPRODUCT(PRODUCT(1+N33:N$36)),SUMPRODUCT(PRODUCT(1+N33:N$35))),4)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2828</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ROUND(IF([2]项目基本情况!$B$8="出让",SUMPRODUCT(PRODUCT(1+L34:L$36)),SUMPRODUCT(PRODUCT(1+L34:L$35))),4)</f>
        <v>1.0102</v>
      </c>
      <c r="T34" s="3177">
        <f>ROUND(IF([2]项目基本情况!$B$8="出让",SUMPRODUCT(PRODUCT(1+M34:M$36)),SUMPRODUCT(PRODUCT(1+M34:M$35))),4)</f>
        <v>1.0074000000000001</v>
      </c>
      <c r="U34" s="3177">
        <f>ROUND(IF([2]项目基本情况!$B$8="出让",SUMPRODUCT(PRODUCT(1+N34:N$36)),SUMPRODUCT(PRODUCT(1+N34:N$35))),4)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2829</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ROUND(IF([2]项目基本情况!$B$8="出让",SUMPRODUCT(PRODUCT(1+L35:L$36)),SUMPRODUCT(PRODUCT(1+L35:L$35))),4)</f>
        <v>1.0055000000000001</v>
      </c>
      <c r="T35" s="3177">
        <f>ROUND(IF([2]项目基本情况!$B$8="出让",SUMPRODUCT(PRODUCT(1+M35:M$36)),SUMPRODUCT(PRODUCT(1+M35:M$35))),4)</f>
        <v>1.0045999999999999</v>
      </c>
      <c r="U35" s="3177">
        <f>ROUND(IF([2]项目基本情况!$B$8="出让",SUMPRODUCT(PRODUCT(1+N35:N$36)),SUMPRODUCT(PRODUCT(1+N35:N$35))),4)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2814</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3359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796" t="s">
        <v>452</v>
      </c>
      <c r="C1" s="3796"/>
      <c r="D1" s="3796"/>
      <c r="E1" s="3796"/>
      <c r="F1" s="3796"/>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2112</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3355</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0">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3352</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0">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2113</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3353</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0">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3354</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0">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2426</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9">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2303</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4">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2302</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3">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2301</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7">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2298</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6">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2297</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3">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2128</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2126</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2125</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2124</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2122</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2121</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2123</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94">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2119</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94"/>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2118</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94"/>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2111</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01"/>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2109</v>
      </c>
      <c r="B25" s="2217">
        <v>439</v>
      </c>
      <c r="C25" s="2217">
        <v>327</v>
      </c>
      <c r="D25" s="2217">
        <f>C25</f>
        <v>327</v>
      </c>
      <c r="E25" s="2217">
        <v>627</v>
      </c>
      <c r="F25" s="2218">
        <v>283</v>
      </c>
      <c r="G25" s="3797">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2110</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94"/>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94"/>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01"/>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797">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94"/>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94"/>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95"/>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93">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94"/>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94"/>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95"/>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93">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94"/>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94"/>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95"/>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798">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799"/>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799"/>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00"/>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93">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94"/>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94"/>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95"/>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93">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94">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94">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95">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93">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94">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94">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95">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93">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94">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94">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95">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93">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94">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94">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95">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93">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94">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94">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95">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93">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94">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94">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95">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93">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94">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94">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95">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93">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94">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94">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95">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93">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94">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94">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95">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93">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94">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94">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95">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45135</v>
      </c>
      <c r="D1" s="1301" t="s">
        <v>603</v>
      </c>
      <c r="E1" s="1296">
        <f>'数据-取费表'!B22</f>
        <v>2.5</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5">
        <v>45097</v>
      </c>
      <c r="D13" s="2816">
        <v>3.55</v>
      </c>
      <c r="E13" s="2816">
        <f>D13</f>
        <v>3.55</v>
      </c>
      <c r="F13" s="2816">
        <f>D13</f>
        <v>3.55</v>
      </c>
      <c r="G13" s="2816">
        <f>D13</f>
        <v>3.55</v>
      </c>
      <c r="H13" s="2816">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0"/>
      <c r="C14" s="2812">
        <v>44795</v>
      </c>
      <c r="D14" s="2811">
        <v>3.65</v>
      </c>
      <c r="E14" s="2811">
        <v>3.65</v>
      </c>
      <c r="F14" s="2811">
        <v>3.65</v>
      </c>
      <c r="G14" s="2811">
        <v>3.65</v>
      </c>
      <c r="H14" s="2811">
        <v>4.3</v>
      </c>
      <c r="I14" s="2816"/>
      <c r="J14" s="2816"/>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0"/>
      <c r="C15" s="2812">
        <v>44701</v>
      </c>
      <c r="D15" s="2811">
        <v>3.7</v>
      </c>
      <c r="E15" s="2811">
        <f>D15</f>
        <v>3.7</v>
      </c>
      <c r="F15" s="2811">
        <f>D15</f>
        <v>3.7</v>
      </c>
      <c r="G15" s="2811">
        <f>D15</f>
        <v>3.7</v>
      </c>
      <c r="H15" s="2811">
        <v>4.45</v>
      </c>
      <c r="I15" s="2816"/>
      <c r="J15" s="2816"/>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0"/>
      <c r="C16" s="2812">
        <v>44581</v>
      </c>
      <c r="D16" s="2811">
        <v>3.7</v>
      </c>
      <c r="E16" s="2811">
        <f>D16</f>
        <v>3.7</v>
      </c>
      <c r="F16" s="2811">
        <f>D16</f>
        <v>3.7</v>
      </c>
      <c r="G16" s="2811">
        <f>D16</f>
        <v>3.7</v>
      </c>
      <c r="H16" s="2811">
        <v>4.5999999999999996</v>
      </c>
      <c r="I16" s="2816"/>
      <c r="J16" s="2816"/>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1"/>
      <c r="C17" s="2812">
        <v>44550</v>
      </c>
      <c r="D17" s="2811">
        <v>3.8</v>
      </c>
      <c r="E17" s="2811">
        <f>D17</f>
        <v>3.8</v>
      </c>
      <c r="F17" s="2811">
        <f>D17</f>
        <v>3.8</v>
      </c>
      <c r="G17" s="2811">
        <f>D17</f>
        <v>3.8</v>
      </c>
      <c r="H17" s="2811">
        <v>4.6500000000000004</v>
      </c>
      <c r="I17" s="2811"/>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1"/>
      <c r="C18" s="2812">
        <v>43941</v>
      </c>
      <c r="D18" s="2811">
        <v>3.85</v>
      </c>
      <c r="E18" s="2811">
        <v>3.85</v>
      </c>
      <c r="F18" s="2811">
        <v>3.85</v>
      </c>
      <c r="G18" s="2811">
        <v>3.85</v>
      </c>
      <c r="H18" s="2811">
        <v>4.6500000000000004</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3"/>
      <c r="B19" s="2811"/>
      <c r="C19" s="2812">
        <v>43881</v>
      </c>
      <c r="D19" s="2811">
        <v>4.05</v>
      </c>
      <c r="E19" s="2811">
        <v>4.05</v>
      </c>
      <c r="F19" s="2811">
        <v>4.05</v>
      </c>
      <c r="G19" s="2811">
        <v>4.05</v>
      </c>
      <c r="H19" s="2811">
        <v>4.75</v>
      </c>
      <c r="I19" s="2811"/>
      <c r="J19" s="281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1"/>
      <c r="C20" s="2812">
        <v>43789</v>
      </c>
      <c r="D20" s="2811">
        <v>4.1500000000000004</v>
      </c>
      <c r="E20" s="2811">
        <v>4.1500000000000004</v>
      </c>
      <c r="F20" s="2811">
        <v>4.1500000000000004</v>
      </c>
      <c r="G20" s="2811">
        <v>4.1500000000000004</v>
      </c>
      <c r="H20" s="2811">
        <v>4.8</v>
      </c>
      <c r="I20" s="2811"/>
      <c r="J20" s="281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1"/>
      <c r="C21" s="2812">
        <v>43728</v>
      </c>
      <c r="D21" s="2811">
        <v>4.2</v>
      </c>
      <c r="E21" s="2811">
        <v>4.2</v>
      </c>
      <c r="F21" s="2811">
        <v>4.2</v>
      </c>
      <c r="G21" s="2811">
        <v>4.2</v>
      </c>
      <c r="H21" s="2811">
        <v>4.8499999999999996</v>
      </c>
      <c r="I21" s="2811"/>
      <c r="J21" s="281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0" t="s">
        <v>2299</v>
      </c>
      <c r="C22" s="2813">
        <v>43697</v>
      </c>
      <c r="D22" s="2814">
        <v>4.25</v>
      </c>
      <c r="E22" s="2814">
        <v>4.25</v>
      </c>
      <c r="F22" s="2814">
        <v>4.25</v>
      </c>
      <c r="G22" s="2814">
        <v>4.25</v>
      </c>
      <c r="H22" s="2814">
        <v>4.8499999999999996</v>
      </c>
      <c r="I22" s="2814"/>
      <c r="J22" s="2814"/>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7"/>
      <c r="B23" s="2818"/>
      <c r="C23" s="2819">
        <v>42301</v>
      </c>
      <c r="D23" s="2820">
        <v>4.3499999999999996</v>
      </c>
      <c r="E23" s="2820">
        <v>4.3499999999999996</v>
      </c>
      <c r="F23" s="2820">
        <v>4.75</v>
      </c>
      <c r="G23" s="2820">
        <v>4.75</v>
      </c>
      <c r="H23" s="2820">
        <v>4.9000000000000004</v>
      </c>
      <c r="I23" s="2820"/>
      <c r="J23" s="2820"/>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9" sqref="K39"/>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3" t="str">
        <f>IF(项目基本情况!B9="房地产市场价值","估价结果一览表","结果表-2")</f>
        <v>估价结果一览表</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房地产市场价值</v>
      </c>
      <c r="I2" s="3474"/>
    </row>
    <row r="3" spans="1:9" ht="15">
      <c r="A3" s="3475"/>
      <c r="B3" s="3475"/>
      <c r="C3" s="3475"/>
      <c r="D3" s="853" t="s">
        <v>925</v>
      </c>
      <c r="E3" s="853" t="s">
        <v>931</v>
      </c>
      <c r="F3" s="853" t="s">
        <v>925</v>
      </c>
      <c r="G3" s="853" t="s">
        <v>926</v>
      </c>
      <c r="H3" s="853" t="s">
        <v>925</v>
      </c>
      <c r="I3" s="853" t="s">
        <v>926</v>
      </c>
    </row>
    <row r="4" spans="1:9" ht="30">
      <c r="A4" s="1504" t="str">
        <f>项目基本情况!S2</f>
        <v>北京市朝阳区日坛北路17号院1号楼7层728号房地产</v>
      </c>
      <c r="B4" s="853">
        <f>项目基本情况!C17</f>
        <v>120.57</v>
      </c>
      <c r="C4" s="853">
        <f>项目基本情况!C18</f>
        <v>30.64</v>
      </c>
      <c r="D4" s="853" t="e">
        <f ca="1">结果表!D118</f>
        <v>#REF!</v>
      </c>
      <c r="E4" s="853" t="e">
        <f ca="1">结果表!E118</f>
        <v>#REF!</v>
      </c>
      <c r="F4" s="853" t="e">
        <f ca="1">结果表!F118</f>
        <v>#REF!</v>
      </c>
      <c r="G4" s="853" t="e">
        <f ca="1">结果表!G118</f>
        <v>#REF!</v>
      </c>
      <c r="H4" s="853">
        <f ca="1">结果表!H118</f>
        <v>398</v>
      </c>
      <c r="I4" s="853">
        <f ca="1">结果表!I118</f>
        <v>33001</v>
      </c>
    </row>
    <row r="5" spans="1:9" ht="30" customHeight="1">
      <c r="A5" s="3475" t="s">
        <v>927</v>
      </c>
      <c r="B5" s="3475"/>
      <c r="C5" s="3475"/>
      <c r="D5" s="3475" t="e">
        <f ca="1">结果表!D119</f>
        <v>#REF!</v>
      </c>
      <c r="E5" s="3475"/>
      <c r="F5" s="3475" t="e">
        <f ca="1">结果表!F119</f>
        <v>#REF!</v>
      </c>
      <c r="G5" s="3475"/>
      <c r="H5" s="3475" t="str">
        <f ca="1">结果表!H119</f>
        <v>叁佰玖拾捌万元整</v>
      </c>
      <c r="I5" s="3475"/>
    </row>
    <row r="6" spans="1:9" ht="15.75">
      <c r="A6" s="3476" t="str">
        <f>结果表!A120</f>
        <v/>
      </c>
      <c r="B6" s="3476"/>
      <c r="C6" s="3476"/>
      <c r="D6" s="3476">
        <f>结果表!D120</f>
        <v>0</v>
      </c>
      <c r="E6" s="3476"/>
      <c r="F6" s="3476"/>
      <c r="G6" s="3476"/>
      <c r="H6" s="3476"/>
      <c r="I6" s="3476"/>
    </row>
    <row r="7" spans="1:9" ht="15">
      <c r="A7" s="3475" t="s">
        <v>927</v>
      </c>
      <c r="B7" s="3475"/>
      <c r="C7" s="3475"/>
      <c r="D7" s="3477" t="str">
        <f>结果表!D121</f>
        <v>零元整</v>
      </c>
      <c r="E7" s="3478"/>
      <c r="F7" s="3478"/>
      <c r="G7" s="3478"/>
      <c r="H7" s="3478"/>
      <c r="I7" s="3479"/>
    </row>
    <row r="8" spans="1:9" ht="15.75">
      <c r="A8" s="3476" t="str">
        <f>结果表!A122</f>
        <v/>
      </c>
      <c r="B8" s="3476"/>
      <c r="C8" s="3476"/>
      <c r="D8" s="3476">
        <f ca="1">结果表!D122</f>
        <v>398</v>
      </c>
      <c r="E8" s="3476"/>
      <c r="F8" s="3476"/>
      <c r="G8" s="3476"/>
      <c r="H8" s="3476"/>
      <c r="I8" s="3476"/>
    </row>
    <row r="9" spans="1:9" ht="15">
      <c r="A9" s="3475" t="s">
        <v>927</v>
      </c>
      <c r="B9" s="3475"/>
      <c r="C9" s="3475"/>
      <c r="D9" s="3475" t="str">
        <f ca="1">结果表!D123</f>
        <v>叁佰玖拾捌万元整</v>
      </c>
      <c r="E9" s="3475"/>
      <c r="F9" s="3475"/>
      <c r="G9" s="3475"/>
      <c r="H9" s="3475"/>
      <c r="I9" s="3475"/>
    </row>
    <row r="10" spans="1:9" ht="15.75">
      <c r="A10" s="3476" t="str">
        <f>结果表!A124</f>
        <v/>
      </c>
      <c r="B10" s="3476"/>
      <c r="C10" s="3476"/>
      <c r="D10" s="3476" t="str">
        <f>结果表!D124</f>
        <v>——</v>
      </c>
      <c r="E10" s="3476"/>
      <c r="F10" s="3476"/>
      <c r="G10" s="3476"/>
      <c r="H10" s="3476"/>
      <c r="I10" s="3476"/>
    </row>
    <row r="11" spans="1:9" ht="15">
      <c r="A11" s="3475" t="s">
        <v>927</v>
      </c>
      <c r="B11" s="3475"/>
      <c r="C11" s="3475"/>
      <c r="D11" s="3475" t="e">
        <f>结果表!D125</f>
        <v>#VALUE!</v>
      </c>
      <c r="E11" s="3475"/>
      <c r="F11" s="3475"/>
      <c r="G11" s="3475"/>
      <c r="H11" s="3475"/>
      <c r="I11" s="3475"/>
    </row>
    <row r="12" spans="1:9" ht="15.75">
      <c r="A12" s="3476" t="str">
        <f>结果表!A126</f>
        <v/>
      </c>
      <c r="B12" s="3476"/>
      <c r="C12" s="3476"/>
      <c r="D12" s="3476" t="str">
        <f>结果表!D126</f>
        <v>——</v>
      </c>
      <c r="E12" s="3476"/>
      <c r="F12" s="3476"/>
      <c r="G12" s="3476"/>
      <c r="H12" s="3476"/>
      <c r="I12" s="3476"/>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2" t="s">
        <v>949</v>
      </c>
      <c r="B1" s="3482"/>
      <c r="C1" s="3482"/>
      <c r="D1" s="3482"/>
    </row>
    <row r="2" spans="1:4" ht="18">
      <c r="A2" s="3483" t="s">
        <v>933</v>
      </c>
      <c r="B2" s="3483"/>
      <c r="C2" s="3483"/>
      <c r="D2" s="3483"/>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郑燚</v>
      </c>
      <c r="B5" s="1510">
        <f ca="1">项目基本情况!E4</f>
        <v>1120070131</v>
      </c>
      <c r="C5" s="1513"/>
      <c r="D5" s="1512" t="s">
        <v>938</v>
      </c>
    </row>
    <row r="6" spans="1:4" ht="18">
      <c r="A6" s="3483" t="s">
        <v>939</v>
      </c>
      <c r="B6" s="3483"/>
      <c r="C6" s="3483"/>
      <c r="D6" s="3483"/>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4"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5" t="str">
        <f>IF(项目基本情况!B8="抵押","4.本次评估估价师所知悉的法定优先受偿款情况说明如下：","——")</f>
        <v>4.本次评估估价师所知悉的法定优先受偿款情况说明如下：</v>
      </c>
      <c r="B14" s="3486"/>
      <c r="C14" s="3486"/>
      <c r="D14" s="3486"/>
    </row>
    <row r="15" spans="1:4" ht="42" customHeight="1">
      <c r="A15" s="3485" t="str">
        <f>IF(项目基本情况!B8="抵押","（1）"&amp;CONCATENATE(项目基本情况!L20,项目基本情况!L21,项目基本情况!L22),"——")</f>
        <v>（1）根据估价对象《不动产权证书》复印件、，截至价值时点，估价对象抵押权未见登记。</v>
      </c>
      <c r="B15" s="3485"/>
      <c r="C15" s="3485"/>
      <c r="D15" s="3485"/>
    </row>
    <row r="16" spans="1:4" ht="30" customHeight="1">
      <c r="A16" s="3488" t="s">
        <v>943</v>
      </c>
      <c r="B16" s="3488"/>
      <c r="C16" s="3488"/>
      <c r="D16" s="3488"/>
    </row>
    <row r="17" spans="1:4" ht="144" customHeight="1">
      <c r="A17" s="3488" t="s">
        <v>944</v>
      </c>
      <c r="B17" s="3488"/>
      <c r="C17" s="3488"/>
      <c r="D17" s="3488"/>
    </row>
    <row r="18" spans="1:4" ht="15.75" customHeight="1">
      <c r="A18" s="3485" t="str">
        <f>IF(项目基本情况!B8="抵押",结果表!K120,"——")</f>
        <v>故，本次评估不存在</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5"/>
      <c r="C20" s="3485"/>
      <c r="D20" s="3485"/>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9"/>
      <c r="C21" s="3489"/>
      <c r="D21" s="3489"/>
    </row>
    <row r="22" spans="1:4" ht="18.75" customHeight="1">
      <c r="A22" s="3490" t="s">
        <v>945</v>
      </c>
      <c r="B22" s="3490"/>
      <c r="C22" s="3490"/>
      <c r="D22" s="349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7">
        <v>42551</v>
      </c>
      <c r="D31" s="34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6" t="s">
        <v>956</v>
      </c>
      <c r="B15" s="3491" t="s">
        <v>109</v>
      </c>
      <c r="C15" s="3492"/>
    </row>
    <row r="16" spans="1:7" ht="13.5">
      <c r="A16" s="3497"/>
      <c r="B16" s="3491" t="s">
        <v>42</v>
      </c>
      <c r="C16" s="3492"/>
    </row>
    <row r="17" spans="1:3" ht="13.5">
      <c r="A17" s="3497"/>
      <c r="B17" s="3494" t="s">
        <v>957</v>
      </c>
      <c r="C17" s="1531" t="s">
        <v>956</v>
      </c>
    </row>
    <row r="18" spans="1:3" ht="13.5">
      <c r="A18" s="3497"/>
      <c r="B18" s="3494"/>
      <c r="C18" s="1531" t="s">
        <v>958</v>
      </c>
    </row>
    <row r="19" spans="1:3" ht="13.5">
      <c r="A19" s="3497"/>
      <c r="B19" s="3494"/>
      <c r="C19" s="1531" t="s">
        <v>959</v>
      </c>
    </row>
    <row r="20" spans="1:3" ht="13.5">
      <c r="A20" s="3498"/>
      <c r="B20" s="3493" t="s">
        <v>960</v>
      </c>
      <c r="C20" s="3492"/>
    </row>
    <row r="21" spans="1:3" ht="13.5">
      <c r="A21" s="1532" t="s">
        <v>961</v>
      </c>
      <c r="B21" s="1533"/>
      <c r="C21" s="1534"/>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1" t="s">
        <v>967</v>
      </c>
    </row>
    <row r="26" spans="1:3" ht="13.5">
      <c r="A26" s="3495"/>
      <c r="B26" s="3494"/>
      <c r="C26" s="1531" t="s">
        <v>968</v>
      </c>
    </row>
    <row r="27" spans="1:3" ht="13.5">
      <c r="A27" s="3495"/>
      <c r="B27" s="3494"/>
      <c r="C27" s="1531" t="s">
        <v>969</v>
      </c>
    </row>
    <row r="28" spans="1:3" ht="13.5">
      <c r="A28" s="3495"/>
      <c r="B28" s="3494"/>
      <c r="C28" s="1531" t="s">
        <v>970</v>
      </c>
    </row>
    <row r="29" spans="1:3" ht="13.5">
      <c r="A29" s="3495"/>
      <c r="B29" s="3494"/>
      <c r="C29" s="1531" t="s">
        <v>971</v>
      </c>
    </row>
    <row r="30" spans="1:3" ht="13.5">
      <c r="A30" s="3495"/>
      <c r="B30" s="3494"/>
      <c r="C30" s="1531" t="s">
        <v>972</v>
      </c>
    </row>
    <row r="31" spans="1:3" ht="13.5">
      <c r="A31" s="3495"/>
      <c r="B31" s="3494"/>
      <c r="C31" s="1531" t="s">
        <v>973</v>
      </c>
    </row>
    <row r="32" spans="1:3" ht="13.5">
      <c r="A32" s="3495"/>
      <c r="B32" s="3494"/>
      <c r="C32" s="1531" t="s">
        <v>974</v>
      </c>
    </row>
    <row r="33" spans="1:3" ht="13.5">
      <c r="A33" s="3495"/>
      <c r="B33" s="349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2137</v>
      </c>
      <c r="B2" s="2336">
        <f ca="1">TODAY()</f>
        <v>45138</v>
      </c>
      <c r="C2" s="2337" t="s">
        <v>2138</v>
      </c>
      <c r="D2" s="2337"/>
      <c r="E2" s="2337"/>
      <c r="F2" s="2333"/>
      <c r="G2" s="2333"/>
      <c r="H2" s="2333"/>
    </row>
    <row r="3" spans="1:8" ht="24" customHeight="1">
      <c r="A3" s="2338" t="s">
        <v>2139</v>
      </c>
      <c r="B3" s="2339" t="s">
        <v>2140</v>
      </c>
      <c r="C3" s="2339" t="s">
        <v>2141</v>
      </c>
      <c r="D3" s="2340" t="s">
        <v>2142</v>
      </c>
      <c r="E3" s="2341" t="s">
        <v>2143</v>
      </c>
      <c r="F3" s="1303" t="s">
        <v>2144</v>
      </c>
      <c r="G3" s="2339" t="s">
        <v>2141</v>
      </c>
      <c r="H3" s="2340" t="s">
        <v>2145</v>
      </c>
    </row>
    <row r="4" spans="1:8" ht="24" customHeight="1">
      <c r="A4" s="1303" t="s">
        <v>2146</v>
      </c>
      <c r="B4" s="1303">
        <f ca="1">IF(C4&lt;B2,"已过期",1119970066)</f>
        <v>1119970066</v>
      </c>
      <c r="C4" s="2342">
        <v>45937</v>
      </c>
      <c r="D4" s="2343" t="str">
        <f ca="1">A4&amp;"（注册号："&amp;B4&amp;"）"</f>
        <v>梁津（注册号：1119970066）</v>
      </c>
      <c r="E4" s="2344" t="s">
        <v>2146</v>
      </c>
      <c r="F4" s="1303">
        <f ca="1">IF(G4&lt;B2,"已过期",96010014)</f>
        <v>96010014</v>
      </c>
      <c r="G4" s="2345">
        <v>47118</v>
      </c>
      <c r="H4" s="2346" t="str">
        <f ca="1">E4&amp;"（注册号："&amp;F4&amp;"）"</f>
        <v>梁津（注册号：96010014）</v>
      </c>
    </row>
    <row r="5" spans="1:8" ht="24" customHeight="1">
      <c r="A5" s="1303" t="s">
        <v>2147</v>
      </c>
      <c r="B5" s="1303">
        <f ca="1">IF(C5&lt;B2,"已过期",1119970111)</f>
        <v>1119970111</v>
      </c>
      <c r="C5" s="2342">
        <v>45937</v>
      </c>
      <c r="D5" s="2343" t="str">
        <f t="shared" ref="D5:D15" ca="1" si="0">A5&amp;"（注册号："&amp;B5&amp;"）"</f>
        <v>叶凌（注册号：1119970111）</v>
      </c>
      <c r="E5" s="2344" t="s">
        <v>2147</v>
      </c>
      <c r="F5" s="1303">
        <f ca="1">IF(G5&lt;B2,"已过期",94010078)</f>
        <v>94010078</v>
      </c>
      <c r="G5" s="2345">
        <v>46387</v>
      </c>
      <c r="H5" s="2346" t="str">
        <f t="shared" ref="H5:H16" ca="1" si="1">E5&amp;"（注册号："&amp;F5&amp;"）"</f>
        <v>叶凌（注册号：94010078）</v>
      </c>
    </row>
    <row r="6" spans="1:8" ht="24" customHeight="1">
      <c r="A6" s="1303" t="s">
        <v>2148</v>
      </c>
      <c r="B6" s="1303">
        <f ca="1">IF(C6&lt;B2,"已过期",1120050019)</f>
        <v>1120050019</v>
      </c>
      <c r="C6" s="2342">
        <v>45410</v>
      </c>
      <c r="D6" s="2343" t="str">
        <f t="shared" ca="1" si="0"/>
        <v>王鹏（注册号：1120050019）</v>
      </c>
      <c r="E6" s="2344" t="s">
        <v>2148</v>
      </c>
      <c r="F6" s="1303">
        <f ca="1">IF(G6&lt;B2,"已过期",2002110030)</f>
        <v>2002110030</v>
      </c>
      <c r="G6" s="2345">
        <v>46387</v>
      </c>
      <c r="H6" s="2346" t="str">
        <f t="shared" ca="1" si="1"/>
        <v>王鹏（注册号：2002110030）</v>
      </c>
    </row>
    <row r="7" spans="1:8" ht="24" customHeight="1">
      <c r="A7" s="1303" t="s">
        <v>2149</v>
      </c>
      <c r="B7" s="1303">
        <f ca="1">IF(C7&lt;B2,"已过期",1120000080)</f>
        <v>1120000080</v>
      </c>
      <c r="C7" s="2342">
        <v>45937</v>
      </c>
      <c r="D7" s="2343" t="str">
        <f t="shared" ca="1" si="0"/>
        <v>欧红伟（注册号：1120000080）</v>
      </c>
      <c r="E7" s="2344" t="s">
        <v>2149</v>
      </c>
      <c r="F7" s="1303">
        <f ca="1">IF(G7&lt;B2,"已过期",2000110082)</f>
        <v>2000110082</v>
      </c>
      <c r="G7" s="2345">
        <v>46387</v>
      </c>
      <c r="H7" s="2346" t="str">
        <f t="shared" ca="1" si="1"/>
        <v>欧红伟（注册号：2000110082）</v>
      </c>
    </row>
    <row r="8" spans="1:8" ht="24" customHeight="1">
      <c r="A8" s="1303" t="s">
        <v>2150</v>
      </c>
      <c r="B8" s="1303">
        <f ca="1">IF(C8&lt;B2,"已过期",1419970001)</f>
        <v>1419970001</v>
      </c>
      <c r="C8" s="2342">
        <v>45937</v>
      </c>
      <c r="D8" s="2343" t="str">
        <f t="shared" ca="1" si="0"/>
        <v>吴薇（注册号：1419970001）</v>
      </c>
      <c r="E8" s="2344" t="s">
        <v>2150</v>
      </c>
      <c r="F8" s="1303">
        <f ca="1">IF(G8&lt;B2,"已过期",2002110125)</f>
        <v>2002110125</v>
      </c>
      <c r="G8" s="2345">
        <v>47118</v>
      </c>
      <c r="H8" s="2346" t="str">
        <f t="shared" ca="1" si="1"/>
        <v>吴薇（注册号：2002110125）</v>
      </c>
    </row>
    <row r="9" spans="1:8" ht="24" customHeight="1">
      <c r="A9" s="1303" t="s">
        <v>2151</v>
      </c>
      <c r="B9" s="1303">
        <f ca="1">IF(C9&lt;B2,"已过期",1120060040)</f>
        <v>1120060040</v>
      </c>
      <c r="C9" s="2347">
        <v>45592</v>
      </c>
      <c r="D9" s="2343" t="str">
        <f t="shared" ca="1" si="0"/>
        <v>陈颖（注册号：1120060040）</v>
      </c>
      <c r="E9" s="2344" t="s">
        <v>2151</v>
      </c>
      <c r="F9" s="1303">
        <f ca="1">IF(G9&lt;B2,"已过期",2004110096)</f>
        <v>2004110096</v>
      </c>
      <c r="G9" s="2345">
        <v>47118</v>
      </c>
      <c r="H9" s="2346" t="str">
        <f t="shared" ca="1" si="1"/>
        <v>陈颖（注册号：2004110096）</v>
      </c>
    </row>
    <row r="10" spans="1:8" ht="24" customHeight="1">
      <c r="A10" s="1303" t="s">
        <v>2152</v>
      </c>
      <c r="B10" s="1303">
        <f ca="1">IF(C10&lt;B2,"已过期",1120100036)</f>
        <v>1120100036</v>
      </c>
      <c r="C10" s="2347">
        <v>45752</v>
      </c>
      <c r="D10" s="2343" t="str">
        <f t="shared" ca="1" si="0"/>
        <v>崔锴（注册号：1120100036）</v>
      </c>
      <c r="E10" s="2344" t="s">
        <v>2152</v>
      </c>
      <c r="F10" s="1303">
        <f ca="1">IF(G10&lt;B2,"已过期",2010110070)</f>
        <v>2010110070</v>
      </c>
      <c r="G10" s="2345">
        <v>47907</v>
      </c>
      <c r="H10" s="2346" t="str">
        <f t="shared" ca="1" si="1"/>
        <v>崔锴（注册号：2010110070）</v>
      </c>
    </row>
    <row r="11" spans="1:8" ht="24" customHeight="1">
      <c r="A11" s="1303" t="s">
        <v>2153</v>
      </c>
      <c r="B11" s="1303">
        <f ca="1">IF(C11&lt;B2,"已过期",1120070131)</f>
        <v>1120070131</v>
      </c>
      <c r="C11" s="2342">
        <v>45937</v>
      </c>
      <c r="D11" s="2343" t="str">
        <f t="shared" ca="1" si="0"/>
        <v>郑燚（注册号：1120070131）</v>
      </c>
      <c r="E11" s="2344" t="s">
        <v>2153</v>
      </c>
      <c r="F11" s="1303">
        <f ca="1">IF(G11&lt;B2,"已过期",2014110011)</f>
        <v>2014110011</v>
      </c>
      <c r="G11" s="2345">
        <v>49302</v>
      </c>
      <c r="H11" s="2346" t="str">
        <f t="shared" ca="1" si="1"/>
        <v>郑燚（注册号：2014110011）</v>
      </c>
    </row>
    <row r="12" spans="1:8" ht="24" customHeight="1">
      <c r="A12" s="1303" t="s">
        <v>2154</v>
      </c>
      <c r="B12" s="1303">
        <f ca="1">IF(C12&lt;B2,"已过期",1120040230)</f>
        <v>1120040230</v>
      </c>
      <c r="C12" s="2347">
        <v>45937</v>
      </c>
      <c r="D12" s="2343" t="str">
        <f t="shared" ca="1" si="0"/>
        <v>苏海（注册号：1120040230）</v>
      </c>
      <c r="E12" s="2344" t="s">
        <v>2154</v>
      </c>
      <c r="F12" s="1303">
        <f ca="1">IF(G12&lt;B2,"已过期",98030020)</f>
        <v>98030020</v>
      </c>
      <c r="G12" s="2345">
        <v>47118</v>
      </c>
      <c r="H12" s="2346" t="str">
        <f t="shared" ca="1" si="1"/>
        <v>苏海（注册号：98030020）</v>
      </c>
    </row>
    <row r="13" spans="1:8" ht="24" customHeight="1">
      <c r="A13" s="1303" t="s">
        <v>2155</v>
      </c>
      <c r="B13" s="1303">
        <f ca="1">IF(C13&lt;B2,"已过期",1120020033)</f>
        <v>1120020033</v>
      </c>
      <c r="C13" s="2342">
        <v>45375</v>
      </c>
      <c r="D13" s="2343" t="str">
        <f t="shared" ca="1" si="0"/>
        <v>刘敬东（注册号：1120020033）</v>
      </c>
      <c r="E13" s="2344" t="s">
        <v>2155</v>
      </c>
      <c r="F13" s="1303">
        <f ca="1">IF(G13&lt;B2,"已过期",2000110137)</f>
        <v>2000110137</v>
      </c>
      <c r="G13" s="2345">
        <v>46387</v>
      </c>
      <c r="H13" s="2346" t="str">
        <f t="shared" ca="1" si="1"/>
        <v>刘敬东（注册号：2000110137）</v>
      </c>
    </row>
    <row r="14" spans="1:8" ht="24" customHeight="1">
      <c r="A14" s="1303" t="s">
        <v>2156</v>
      </c>
      <c r="B14" s="1303" t="str">
        <f ca="1">IF(C14&lt;B2,"已过期",1119980106)</f>
        <v>已过期</v>
      </c>
      <c r="C14" s="2347">
        <v>44969</v>
      </c>
      <c r="D14" s="2343" t="str">
        <f t="shared" ca="1" si="0"/>
        <v>刘俊财（注册号：已过期）</v>
      </c>
      <c r="E14" s="2344" t="s">
        <v>2156</v>
      </c>
      <c r="F14" s="1303">
        <f ca="1">IF(G14&lt;B2,"已过期",96010063)</f>
        <v>96010063</v>
      </c>
      <c r="G14" s="2345">
        <v>47483</v>
      </c>
      <c r="H14" s="2346" t="str">
        <f t="shared" ca="1" si="1"/>
        <v>刘俊财（注册号：96010063）</v>
      </c>
    </row>
    <row r="15" spans="1:8" ht="24" customHeight="1">
      <c r="A15" s="1303" t="s">
        <v>2427</v>
      </c>
      <c r="B15" s="1303">
        <v>1120210056</v>
      </c>
      <c r="C15" s="2347">
        <v>45410</v>
      </c>
      <c r="D15" s="2343" t="str">
        <f t="shared" si="0"/>
        <v>宁小鳗（注册号：1120210056）</v>
      </c>
      <c r="E15" s="2344" t="s">
        <v>2157</v>
      </c>
      <c r="F15" s="1303">
        <f ca="1">IF(G15&lt;B2,"已过期",2011110090)</f>
        <v>2011110090</v>
      </c>
      <c r="G15" s="2345">
        <v>48302</v>
      </c>
      <c r="H15" s="2346" t="str">
        <f t="shared" ca="1" si="1"/>
        <v>赵雯（注册号：2011110090）</v>
      </c>
    </row>
    <row r="16" spans="1:8" s="2349" customFormat="1" ht="24" customHeight="1">
      <c r="A16" s="1303"/>
      <c r="B16" s="1303"/>
      <c r="C16" s="1303"/>
      <c r="D16" s="2343" t="str">
        <f>A16&amp;"（注册号："&amp;B16&amp;"）"</f>
        <v>（注册号：）</v>
      </c>
      <c r="E16" s="2344"/>
      <c r="F16" s="1303"/>
      <c r="G16" s="1303"/>
      <c r="H16" s="2348" t="str">
        <f t="shared" si="1"/>
        <v>（注册号：）</v>
      </c>
    </row>
    <row r="17" spans="1:8" ht="24" customHeight="1">
      <c r="A17" s="3499" t="s">
        <v>2158</v>
      </c>
      <c r="B17" s="3499"/>
      <c r="C17" s="3499"/>
      <c r="D17" s="3499"/>
      <c r="E17" s="3499"/>
      <c r="F17" s="3499"/>
      <c r="G17" s="3499"/>
      <c r="H17" s="3499"/>
    </row>
    <row r="18" spans="1:8" ht="24" customHeight="1">
      <c r="A18" s="3500" t="s">
        <v>2159</v>
      </c>
      <c r="B18" s="3500"/>
      <c r="C18" s="3500"/>
      <c r="D18" s="2340"/>
      <c r="E18" s="3501" t="s">
        <v>2160</v>
      </c>
      <c r="F18" s="3500"/>
      <c r="G18" s="3500"/>
    </row>
    <row r="19" spans="1:8" s="2351" customFormat="1" ht="24" customHeight="1">
      <c r="A19" s="2350" t="s">
        <v>2161</v>
      </c>
      <c r="B19" s="2339" t="s">
        <v>2162</v>
      </c>
      <c r="C19" s="2339" t="s">
        <v>2141</v>
      </c>
      <c r="D19" s="2340"/>
      <c r="E19" s="2344" t="s">
        <v>2161</v>
      </c>
      <c r="F19" s="2339" t="s">
        <v>2162</v>
      </c>
      <c r="G19" s="2339" t="s">
        <v>2141</v>
      </c>
    </row>
    <row r="20" spans="1:8" s="2351" customFormat="1" ht="24" customHeight="1">
      <c r="A20" s="2352" t="s">
        <v>2163</v>
      </c>
      <c r="B20" s="2352" t="s">
        <v>2164</v>
      </c>
      <c r="C20" s="2345">
        <v>45898</v>
      </c>
      <c r="D20" s="2353"/>
      <c r="E20" s="2354" t="s">
        <v>2165</v>
      </c>
      <c r="F20" s="2357" t="s">
        <v>2428</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2023-07-31T08:27:57Z</dcterms:modified>
</cp:coreProperties>
</file>