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6" i="1" l="1"/>
  <c r="F18" i="77" l="1"/>
  <c r="F17" i="77"/>
  <c r="F16" i="77"/>
  <c r="F15" i="77"/>
  <c r="F14" i="77"/>
  <c r="F13" i="77"/>
  <c r="F12" i="77"/>
  <c r="C11" i="4"/>
  <c r="B7" i="4"/>
  <c r="D3" i="4"/>
  <c r="E18" i="77" l="1"/>
  <c r="B21" i="1"/>
  <c r="U6" i="1"/>
  <c r="E19" i="77"/>
  <c r="D19" i="77"/>
  <c r="N6" i="1" l="1"/>
  <c r="Y6" i="1" l="1"/>
  <c r="G7" i="77"/>
  <c r="H7" i="77"/>
  <c r="H3" i="77"/>
  <c r="H4" i="77"/>
  <c r="H5" i="77"/>
  <c r="H6" i="77"/>
  <c r="H2" i="77"/>
  <c r="G4" i="77"/>
  <c r="G5" i="77"/>
  <c r="G6" i="77"/>
  <c r="G3" i="77"/>
  <c r="G2" i="77"/>
  <c r="B59" i="1" l="1"/>
  <c r="I14" i="3" l="1"/>
  <c r="I15" i="3"/>
  <c r="I16" i="3"/>
  <c r="I17" i="3"/>
  <c r="I13" i="3"/>
  <c r="B7" i="77"/>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C7" i="43"/>
  <c r="E81" i="43"/>
  <c r="B79" i="43"/>
  <c r="E48" i="43"/>
  <c r="B46" i="43" s="1"/>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72" i="43"/>
  <c r="L20" i="6"/>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E63" i="39"/>
  <c r="T11" i="1"/>
  <c r="D9" i="69"/>
  <c r="C9" i="69" s="1"/>
  <c r="D19" i="12"/>
  <c r="C19" i="12" s="1"/>
  <c r="AQ9" i="1"/>
  <c r="AR11" i="1"/>
  <c r="E59" i="40"/>
  <c r="T9" i="1"/>
  <c r="T13" i="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E511" i="3"/>
  <c r="I6" i="3"/>
  <c r="E16" i="3"/>
  <c r="E536" i="3"/>
  <c r="AK6" i="3"/>
  <c r="E549" i="3"/>
  <c r="E434" i="3"/>
  <c r="E453" i="3"/>
  <c r="E306" i="3"/>
  <c r="E368" i="3"/>
  <c r="E296" i="3"/>
  <c r="E244" i="3"/>
  <c r="E262" i="3"/>
  <c r="E196" i="3"/>
  <c r="E136" i="3"/>
  <c r="E156"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O7" i="1"/>
  <c r="P7" i="1" s="1"/>
  <c r="AB45" i="21"/>
  <c r="AC33" i="21"/>
  <c r="W33" i="21"/>
  <c r="S33" i="21"/>
  <c r="AA33" i="21"/>
  <c r="W32" i="21"/>
  <c r="AC32" i="21"/>
  <c r="AB9" i="21"/>
  <c r="U9" i="21"/>
  <c r="AA32" i="21"/>
  <c r="S32" i="21"/>
  <c r="W9" i="21"/>
  <c r="AC9" i="21"/>
  <c r="AB32" i="21"/>
  <c r="U32" i="21"/>
  <c r="AA10" i="21"/>
  <c r="S10" i="21"/>
  <c r="AR7" i="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H109" i="9"/>
  <c r="H110" i="9"/>
  <c r="D18" i="53" s="1"/>
  <c r="B35" i="72" s="1"/>
  <c r="D124" i="9"/>
  <c r="D16" i="53"/>
  <c r="B34" i="72" s="1"/>
  <c r="D10" i="52"/>
  <c r="H14" i="74"/>
  <c r="D125" i="9"/>
  <c r="D11" i="52" s="1"/>
  <c r="B7" i="74"/>
  <c r="H112" i="9"/>
  <c r="D21" i="53" s="1"/>
  <c r="B39" i="72" s="1"/>
  <c r="H111" i="9"/>
  <c r="D126" i="9" s="1"/>
  <c r="AD3" i="71"/>
  <c r="J1" i="73"/>
  <c r="H77" i="43"/>
  <c r="H76" i="43"/>
  <c r="M4" i="43"/>
  <c r="M5" i="43"/>
  <c r="N12" i="43"/>
  <c r="N11" i="43"/>
  <c r="M10" i="43"/>
  <c r="M2" i="43"/>
  <c r="M7" i="43"/>
  <c r="C6" i="43" s="1"/>
  <c r="H70" i="43"/>
  <c r="N9" i="43"/>
  <c r="M8" i="43"/>
  <c r="N10" i="43"/>
  <c r="H74" i="43"/>
  <c r="M6" i="43"/>
  <c r="N7" i="43"/>
  <c r="F59" i="43" s="1"/>
  <c r="N4" i="43"/>
  <c r="N2" i="43"/>
  <c r="N17" i="43"/>
  <c r="L17" i="43"/>
  <c r="O17" i="43"/>
  <c r="M17" i="43"/>
  <c r="E17" i="43"/>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V15" i="71"/>
  <c r="C15" i="71"/>
  <c r="D16" i="71"/>
  <c r="I59" i="34"/>
  <c r="J59" i="34" s="1"/>
  <c r="D13" i="71"/>
  <c r="T15" i="71"/>
  <c r="D14" i="71"/>
  <c r="D15" i="71"/>
  <c r="U15" i="71"/>
  <c r="M27" i="67"/>
  <c r="F9" i="15"/>
  <c r="B9" i="76"/>
  <c r="M28" i="15"/>
  <c r="E11" i="76"/>
  <c r="F38" i="67"/>
  <c r="D4" i="73"/>
  <c r="M24" i="15"/>
  <c r="F8" i="67"/>
  <c r="M23" i="15"/>
  <c r="E9" i="76"/>
  <c r="F37" i="67"/>
  <c r="D3" i="73"/>
  <c r="F13" i="15"/>
  <c r="E8" i="76"/>
  <c r="E2" i="69"/>
  <c r="F40" i="67"/>
  <c r="D2" i="33"/>
  <c r="F6" i="15"/>
  <c r="F42" i="15"/>
  <c r="F7" i="73"/>
  <c r="M29" i="67"/>
  <c r="F9" i="67"/>
  <c r="F37" i="15"/>
  <c r="F8" i="15"/>
  <c r="E12" i="76"/>
  <c r="B7" i="76"/>
  <c r="D2" i="37"/>
  <c r="M8" i="15"/>
  <c r="F5" i="73"/>
  <c r="F13" i="67"/>
  <c r="F3" i="73"/>
  <c r="F7" i="67"/>
  <c r="M24" i="67"/>
  <c r="D5" i="73"/>
  <c r="F6" i="67"/>
  <c r="F35" i="67"/>
  <c r="F26" i="15"/>
  <c r="F36" i="15"/>
  <c r="M28" i="67"/>
  <c r="L48" i="15"/>
  <c r="M23" i="67"/>
  <c r="F6" i="73"/>
  <c r="F42" i="67"/>
  <c r="B11" i="76"/>
  <c r="D9" i="68"/>
  <c r="F43" i="67"/>
  <c r="M9" i="15"/>
  <c r="M22" i="67"/>
  <c r="AO12" i="1"/>
  <c r="E7" i="76"/>
  <c r="J15" i="67"/>
  <c r="E10" i="76"/>
  <c r="F20" i="31"/>
  <c r="AO11" i="1"/>
  <c r="L47" i="15"/>
  <c r="B13" i="76"/>
  <c r="AO7" i="1"/>
  <c r="B12" i="76"/>
  <c r="C76" i="15"/>
  <c r="M26" i="15"/>
  <c r="L48" i="67"/>
  <c r="F41" i="67"/>
  <c r="F36" i="67"/>
  <c r="M21" i="67"/>
  <c r="F38" i="15"/>
  <c r="M6" i="67"/>
  <c r="B10" i="76"/>
  <c r="M8" i="67"/>
  <c r="M22" i="15"/>
  <c r="D6" i="73"/>
  <c r="D2" i="35"/>
  <c r="D2" i="36"/>
  <c r="D2" i="34"/>
  <c r="F16" i="15"/>
  <c r="M26" i="67"/>
  <c r="F4" i="73"/>
  <c r="F16" i="67"/>
  <c r="M6" i="15"/>
  <c r="AO8" i="1"/>
  <c r="L47" i="67"/>
  <c r="AO10" i="1"/>
  <c r="F40" i="15"/>
  <c r="D7" i="73"/>
  <c r="AO9" i="1"/>
  <c r="C76" i="67"/>
  <c r="E13" i="76"/>
  <c r="B8" i="76"/>
  <c r="AO13" i="1"/>
  <c r="F26" i="67"/>
  <c r="M9" i="67"/>
  <c r="J15" i="15"/>
  <c r="D2" i="21"/>
  <c r="T35" i="4" l="1"/>
  <c r="A19" i="51" s="1"/>
  <c r="B14" i="72" s="1"/>
  <c r="A15" i="62"/>
  <c r="B61" i="72" s="1"/>
  <c r="D68" i="39"/>
  <c r="E68" i="39" s="1"/>
  <c r="C70" i="39"/>
  <c r="C9" i="68"/>
  <c r="C36" i="69"/>
  <c r="E19" i="6"/>
  <c r="K6" i="1" s="1"/>
  <c r="F48" i="43"/>
  <c r="D70" i="39"/>
  <c r="D67" i="43"/>
  <c r="E11" i="43"/>
  <c r="E9" i="43"/>
  <c r="E10" i="43"/>
  <c r="E8" i="43"/>
  <c r="C20" i="43"/>
  <c r="H62" i="43"/>
  <c r="G62" i="43" s="1"/>
  <c r="H65" i="43"/>
  <c r="G65" i="43" s="1"/>
  <c r="H63" i="43"/>
  <c r="G63" i="43" s="1"/>
  <c r="H59" i="43"/>
  <c r="G59" i="43" s="1"/>
  <c r="H61" i="43"/>
  <c r="G61" i="43" s="1"/>
  <c r="H66" i="43"/>
  <c r="G66" i="43" s="1"/>
  <c r="H64" i="43"/>
  <c r="G64" i="43" s="1"/>
  <c r="H67" i="43"/>
  <c r="G67" i="43" s="1"/>
  <c r="H60" i="43"/>
  <c r="G60" i="43" s="1"/>
  <c r="C92" i="9"/>
  <c r="C94" i="9"/>
  <c r="D68" i="9"/>
  <c r="F28" i="15"/>
  <c r="C28" i="15" s="1"/>
  <c r="F31" i="12"/>
  <c r="C31" i="12" s="1"/>
  <c r="M18" i="67"/>
  <c r="F30" i="68"/>
  <c r="F48" i="68" s="1"/>
  <c r="C77" i="9"/>
  <c r="C74" i="9" s="1"/>
  <c r="C13" i="12"/>
  <c r="F54" i="9"/>
  <c r="M18" i="15"/>
  <c r="F32" i="15"/>
  <c r="F60" i="15" s="1"/>
  <c r="F30" i="69"/>
  <c r="F32" i="67"/>
  <c r="F60" i="67" s="1"/>
  <c r="F52" i="9"/>
  <c r="F28" i="67"/>
  <c r="C28" i="67" s="1"/>
  <c r="F30" i="11"/>
  <c r="F53" i="9"/>
  <c r="C21" i="69"/>
  <c r="D22" i="67"/>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F27" i="6"/>
  <c r="E27" i="6" s="1"/>
  <c r="K22" i="6" s="1"/>
  <c r="M22" i="6" s="1"/>
  <c r="I22" i="6" s="1"/>
  <c r="E51" i="40"/>
  <c r="E56" i="39"/>
  <c r="E99" i="3"/>
  <c r="E191" i="3"/>
  <c r="E159" i="3"/>
  <c r="E245" i="3"/>
  <c r="E301" i="3"/>
  <c r="E263" i="3"/>
  <c r="E303" i="3"/>
  <c r="E382" i="3"/>
  <c r="E350" i="3"/>
  <c r="E423" i="3"/>
  <c r="E402" i="3"/>
  <c r="E578" i="3"/>
  <c r="E586" i="3"/>
  <c r="AI6" i="3"/>
  <c r="AN6" i="3"/>
  <c r="E518" i="3"/>
  <c r="E495" i="3"/>
  <c r="E12" i="6"/>
  <c r="E16" i="6" s="1"/>
  <c r="AZ5" i="3"/>
  <c r="O11" i="1"/>
  <c r="P11" i="1" s="1"/>
  <c r="E30" i="6"/>
  <c r="K15" i="1"/>
  <c r="K16" i="1" s="1"/>
  <c r="O9" i="1"/>
  <c r="P9" i="1" s="1"/>
  <c r="P14" i="1"/>
  <c r="AQ7" i="1"/>
  <c r="T7" i="1"/>
  <c r="O12" i="1"/>
  <c r="P12" i="1" s="1"/>
  <c r="O8" i="1"/>
  <c r="H16" i="1"/>
  <c r="Q16" i="1"/>
  <c r="K21" i="6"/>
  <c r="M21" i="6" s="1"/>
  <c r="I21" i="6" s="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H50" i="43"/>
  <c r="G17" i="43"/>
  <c r="C16" i="43" s="1"/>
  <c r="C5" i="43" s="1"/>
  <c r="H75" i="43"/>
  <c r="D19" i="53"/>
  <c r="I14" i="74"/>
  <c r="B8" i="74" s="1"/>
  <c r="D12" i="52"/>
  <c r="D127" i="9"/>
  <c r="D13" i="52" s="1"/>
  <c r="D17" i="53"/>
  <c r="B36" i="72"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F7" i="15"/>
  <c r="F43" i="15"/>
  <c r="G1" i="73"/>
  <c r="C36" i="68"/>
  <c r="C16" i="67"/>
  <c r="M29" i="15"/>
  <c r="C14" i="67"/>
  <c r="F68" i="39" l="1"/>
  <c r="E70" i="39"/>
  <c r="F71" i="15"/>
  <c r="F31" i="15"/>
  <c r="F50" i="15"/>
  <c r="F59" i="15" s="1"/>
  <c r="C6" i="15"/>
  <c r="C32" i="15" s="1"/>
  <c r="M7" i="15"/>
  <c r="J6" i="15" s="1"/>
  <c r="J18" i="15" s="1"/>
  <c r="M6" i="1"/>
  <c r="C34" i="69"/>
  <c r="K60" i="43"/>
  <c r="M60" i="43"/>
  <c r="N60" i="43" s="1"/>
  <c r="K64" i="43"/>
  <c r="M64" i="43"/>
  <c r="N64" i="43" s="1"/>
  <c r="K61" i="43"/>
  <c r="M61" i="43"/>
  <c r="N61" i="43" s="1"/>
  <c r="K63" i="43"/>
  <c r="M63" i="43"/>
  <c r="N63" i="43" s="1"/>
  <c r="K62" i="43"/>
  <c r="M62" i="43"/>
  <c r="N62" i="43" s="1"/>
  <c r="K67" i="43"/>
  <c r="J67" i="43" s="1"/>
  <c r="M67" i="43"/>
  <c r="N67" i="43" s="1"/>
  <c r="K66" i="43"/>
  <c r="J66" i="43" s="1"/>
  <c r="D66" i="43" s="1"/>
  <c r="M66" i="43"/>
  <c r="N66" i="43" s="1"/>
  <c r="K59" i="43"/>
  <c r="J59" i="43" s="1"/>
  <c r="M59" i="43"/>
  <c r="N59" i="43" s="1"/>
  <c r="K65" i="43"/>
  <c r="M65" i="43"/>
  <c r="N65" i="43" s="1"/>
  <c r="H52" i="43"/>
  <c r="H55" i="43"/>
  <c r="H48" i="43"/>
  <c r="H53" i="43"/>
  <c r="H56" i="43"/>
  <c r="H51" i="43"/>
  <c r="H54" i="43"/>
  <c r="H49" i="43"/>
  <c r="D5" i="43"/>
  <c r="C48" i="68"/>
  <c r="C30" i="68"/>
  <c r="C48" i="11"/>
  <c r="C30" i="11"/>
  <c r="F48" i="69"/>
  <c r="C48" i="69"/>
  <c r="C30" i="69"/>
  <c r="D22" i="43"/>
  <c r="E31" i="6"/>
  <c r="F31" i="6"/>
  <c r="E57" i="40"/>
  <c r="E62" i="39"/>
  <c r="E66" i="39" s="1"/>
  <c r="H6" i="3"/>
  <c r="AC6" i="3"/>
  <c r="K20" i="6"/>
  <c r="M20" i="6" s="1"/>
  <c r="I20" i="6" s="1"/>
  <c r="S20" i="6" s="1"/>
  <c r="K24" i="6"/>
  <c r="M24" i="6" s="1"/>
  <c r="I24" i="6" s="1"/>
  <c r="S24" i="6" s="1"/>
  <c r="K19" i="6"/>
  <c r="S6" i="1" s="1"/>
  <c r="K25" i="6"/>
  <c r="M25" i="6" s="1"/>
  <c r="I25" i="6" s="1"/>
  <c r="S25" i="6" s="1"/>
  <c r="K26" i="6"/>
  <c r="M26" i="6" s="1"/>
  <c r="I26" i="6" s="1"/>
  <c r="S26" i="6" s="1"/>
  <c r="K23" i="6"/>
  <c r="M23" i="6" s="1"/>
  <c r="I23" i="6" s="1"/>
  <c r="S23" i="6" s="1"/>
  <c r="E3" i="6"/>
  <c r="AY6" i="3"/>
  <c r="S22" i="6"/>
  <c r="P8" i="1"/>
  <c r="S21" i="6"/>
  <c r="F27" i="69"/>
  <c r="F28" i="12"/>
  <c r="C29" i="12" s="1"/>
  <c r="D28" i="12" s="1"/>
  <c r="F27" i="11"/>
  <c r="N102" i="43"/>
  <c r="N105" i="43"/>
  <c r="N104" i="43"/>
  <c r="N103" i="43"/>
  <c r="N106" i="43"/>
  <c r="N107" i="43"/>
  <c r="N109" i="43"/>
  <c r="K103" i="43"/>
  <c r="K102" i="43"/>
  <c r="K105" i="43"/>
  <c r="K107" i="43"/>
  <c r="K104" i="43"/>
  <c r="K106" i="43"/>
  <c r="K109" i="43"/>
  <c r="H107" i="43"/>
  <c r="H106" i="43"/>
  <c r="H105" i="43"/>
  <c r="H102" i="43"/>
  <c r="H103" i="43"/>
  <c r="H104" i="43"/>
  <c r="H109" i="43"/>
  <c r="I109" i="43"/>
  <c r="I102" i="43"/>
  <c r="I104" i="43"/>
  <c r="I107" i="43"/>
  <c r="I105" i="43"/>
  <c r="I106" i="43"/>
  <c r="I103"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2" i="43"/>
  <c r="E106" i="43"/>
  <c r="E103" i="43"/>
  <c r="M109" i="43"/>
  <c r="M104" i="43"/>
  <c r="M107" i="43"/>
  <c r="M105" i="43"/>
  <c r="M102" i="43"/>
  <c r="M106"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B38" i="72"/>
  <c r="D20" i="53"/>
  <c r="B40" i="72"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9" i="71"/>
  <c r="C8" i="71"/>
  <c r="M17" i="67"/>
  <c r="P24" i="43"/>
  <c r="B66" i="40" s="1"/>
  <c r="P21" i="43"/>
  <c r="C49" i="67"/>
  <c r="P25" i="43"/>
  <c r="P23" i="43"/>
  <c r="B71" i="39" s="1"/>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F27" i="68"/>
  <c r="C16" i="15"/>
  <c r="C17" i="15"/>
  <c r="G68" i="39" l="1"/>
  <c r="F70" i="39"/>
  <c r="J63" i="43"/>
  <c r="D63" i="43"/>
  <c r="AG6" i="1"/>
  <c r="C49" i="15"/>
  <c r="J10" i="15"/>
  <c r="J5" i="15" s="1"/>
  <c r="M17" i="15"/>
  <c r="C35" i="69"/>
  <c r="C38" i="69"/>
  <c r="O6" i="1"/>
  <c r="M16" i="1"/>
  <c r="E6" i="70"/>
  <c r="E2" i="70" s="1"/>
  <c r="J65" i="43"/>
  <c r="D65" i="43"/>
  <c r="D62" i="43"/>
  <c r="J62" i="43"/>
  <c r="J61" i="43"/>
  <c r="D61" i="43"/>
  <c r="D64" i="43"/>
  <c r="J64" i="43"/>
  <c r="D60" i="43"/>
  <c r="J60" i="43"/>
  <c r="U7" i="37"/>
  <c r="AC10" i="40"/>
  <c r="S16" i="1"/>
  <c r="AR6" i="1"/>
  <c r="AQ6" i="1"/>
  <c r="T6" i="1"/>
  <c r="K27" i="6"/>
  <c r="M19" i="6"/>
  <c r="E6" i="3"/>
  <c r="S10" i="40"/>
  <c r="U10" i="40"/>
  <c r="U10" i="39"/>
  <c r="C17" i="4"/>
  <c r="B4" i="52" s="1"/>
  <c r="B43" i="72" s="1"/>
  <c r="L18" i="9"/>
  <c r="D3" i="21"/>
  <c r="D19" i="11"/>
  <c r="C19" i="11" s="1"/>
  <c r="C20" i="11" s="1"/>
  <c r="D3" i="37"/>
  <c r="D3" i="33"/>
  <c r="D37" i="11"/>
  <c r="C37" i="11" s="1"/>
  <c r="M18" i="9"/>
  <c r="B118" i="9" s="1"/>
  <c r="B14" i="74" s="1"/>
  <c r="B1" i="74" s="1"/>
  <c r="D3" i="34"/>
  <c r="E6" i="6"/>
  <c r="D14" i="12"/>
  <c r="AY87" i="3"/>
  <c r="AY51" i="3"/>
  <c r="AY34" i="3"/>
  <c r="AY207" i="3"/>
  <c r="AY144" i="3"/>
  <c r="AY124" i="3"/>
  <c r="AY95" i="3"/>
  <c r="AY42" i="3"/>
  <c r="AY152" i="3"/>
  <c r="AY281" i="3"/>
  <c r="AY111" i="3"/>
  <c r="AY168" i="3"/>
  <c r="AY253" i="3"/>
  <c r="AY236" i="3"/>
  <c r="AY382" i="3"/>
  <c r="AY366" i="3"/>
  <c r="AY303" i="3"/>
  <c r="AY473" i="3"/>
  <c r="AY460"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83" i="3"/>
  <c r="AY23" i="3"/>
  <c r="AY155" i="3"/>
  <c r="AY66" i="3"/>
  <c r="AY176" i="3"/>
  <c r="AY115" i="3"/>
  <c r="AY188" i="3"/>
  <c r="AY276" i="3"/>
  <c r="AY297" i="3"/>
  <c r="AY225" i="3"/>
  <c r="AY335" i="3"/>
  <c r="AY47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131" i="3"/>
  <c r="AY268" i="3"/>
  <c r="AY318" i="3"/>
  <c r="AY409" i="3"/>
  <c r="AY180" i="3"/>
  <c r="AY228" i="3"/>
  <c r="AY358" i="3"/>
  <c r="AY465" i="3"/>
  <c r="AY433" i="3"/>
  <c r="BK6" i="3"/>
  <c r="AY541" i="3"/>
  <c r="AY108" i="3"/>
  <c r="AY45" i="3"/>
  <c r="AY28" i="3"/>
  <c r="AY201"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9" i="3"/>
  <c r="AY371" i="3"/>
  <c r="AY106" i="3"/>
  <c r="AY395" i="3"/>
  <c r="AY452" i="3"/>
  <c r="AY569" i="3"/>
  <c r="AY77" i="3"/>
  <c r="AY206" i="3"/>
  <c r="AY173" i="3"/>
  <c r="AY134" i="3"/>
  <c r="AY286" i="3"/>
  <c r="AY270" i="3"/>
  <c r="AY227" i="3"/>
  <c r="AY373" i="3"/>
  <c r="AY507" i="3"/>
  <c r="AY88" i="3"/>
  <c r="AY29" i="3"/>
  <c r="AY161" i="3"/>
  <c r="AY275" i="3"/>
  <c r="AY215"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8" i="3"/>
  <c r="AY428" i="3"/>
  <c r="AY245" i="3"/>
  <c r="AY342" i="3"/>
  <c r="AY513" i="3"/>
  <c r="AY553" i="3"/>
  <c r="AY60" i="3"/>
  <c r="AY170" i="3"/>
  <c r="AY141" i="3"/>
  <c r="AY291" i="3"/>
  <c r="AY255" i="3"/>
  <c r="AY238" i="3"/>
  <c r="AY384" i="3"/>
  <c r="AY368" i="3"/>
  <c r="BB6" i="3"/>
  <c r="AY72" i="3"/>
  <c r="AY181" i="3"/>
  <c r="AY121" i="3"/>
  <c r="AY258" i="3"/>
  <c r="AY370"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103" i="3"/>
  <c r="AY67" i="3"/>
  <c r="AY50" i="3"/>
  <c r="AY196" i="3"/>
  <c r="AY160" i="3"/>
  <c r="AY139" i="3"/>
  <c r="AY289" i="3"/>
  <c r="AY74" i="3"/>
  <c r="AY183" i="3"/>
  <c r="AY123" i="3"/>
  <c r="AY261" i="3"/>
  <c r="AY204" i="3"/>
  <c r="AY284" i="3"/>
  <c r="AY252" i="3"/>
  <c r="AY209" i="3"/>
  <c r="AY363" i="3"/>
  <c r="AY319" i="3"/>
  <c r="AY489" i="3"/>
  <c r="AY455" i="3"/>
  <c r="C47" i="69"/>
  <c r="D45" i="69" s="1"/>
  <c r="F45" i="69"/>
  <c r="C29" i="69"/>
  <c r="D27" i="69" s="1"/>
  <c r="C47" i="11"/>
  <c r="D45" i="11" s="1"/>
  <c r="C29" i="11"/>
  <c r="D27" i="11" s="1"/>
  <c r="C28" i="11"/>
  <c r="C27" i="11" s="1"/>
  <c r="C29" i="68"/>
  <c r="D27" i="68" s="1"/>
  <c r="F45" i="68"/>
  <c r="C47" i="68"/>
  <c r="D45" i="68" s="1"/>
  <c r="C23" i="43"/>
  <c r="C21" i="43" s="1"/>
  <c r="S4" i="43"/>
  <c r="S5" i="43"/>
  <c r="S3" i="43"/>
  <c r="S2" i="43"/>
  <c r="S6" i="43"/>
  <c r="S7" i="43"/>
  <c r="C115" i="43"/>
  <c r="D113" i="43" s="1"/>
  <c r="AC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C14" i="15"/>
  <c r="F41" i="15"/>
  <c r="H68" i="39" l="1"/>
  <c r="G70" i="39"/>
  <c r="C15" i="15"/>
  <c r="C18" i="15"/>
  <c r="T16" i="1"/>
  <c r="P6" i="1"/>
  <c r="P16" i="1" s="1"/>
  <c r="C11" i="12" s="1"/>
  <c r="O16" i="1"/>
  <c r="N16" i="1"/>
  <c r="L16" i="1"/>
  <c r="C34" i="11"/>
  <c r="E59" i="43"/>
  <c r="B57" i="43" s="1"/>
  <c r="C24" i="43" s="1"/>
  <c r="T7" i="43" s="1"/>
  <c r="V7" i="43" s="1"/>
  <c r="F69" i="15"/>
  <c r="M27" i="6"/>
  <c r="I19" i="6"/>
  <c r="D19" i="6"/>
  <c r="D26" i="6"/>
  <c r="C18" i="4"/>
  <c r="D8" i="6"/>
  <c r="D23" i="6"/>
  <c r="D14" i="6"/>
  <c r="D12" i="6"/>
  <c r="D11" i="6"/>
  <c r="D13" i="6"/>
  <c r="D28" i="6"/>
  <c r="E61" i="40"/>
  <c r="H23" i="6"/>
  <c r="H20" i="6"/>
  <c r="M19" i="9"/>
  <c r="C118" i="9" s="1"/>
  <c r="C14" i="74" s="1"/>
  <c r="B2" i="74" s="1"/>
  <c r="D25" i="6"/>
  <c r="D15" i="6"/>
  <c r="D22" i="6"/>
  <c r="D21" i="6"/>
  <c r="D24" i="6"/>
  <c r="D20" i="6"/>
  <c r="D5" i="6"/>
  <c r="D9" i="6"/>
  <c r="D10" i="6"/>
  <c r="L19" i="9"/>
  <c r="D29" i="6"/>
  <c r="H25" i="6"/>
  <c r="H24" i="6"/>
  <c r="R24" i="6" s="1"/>
  <c r="H26" i="6"/>
  <c r="R26" i="6" s="1"/>
  <c r="H21" i="6"/>
  <c r="R21" i="6" s="1"/>
  <c r="D6" i="6"/>
  <c r="H22" i="6"/>
  <c r="R22" i="6" s="1"/>
  <c r="D17" i="12"/>
  <c r="C17" i="12" s="1"/>
  <c r="C14" i="12"/>
  <c r="D10" i="11"/>
  <c r="C10" i="11" s="1"/>
  <c r="D10" i="69"/>
  <c r="D20" i="12"/>
  <c r="C20" i="12" s="1"/>
  <c r="C7" i="74"/>
  <c r="C8" i="74"/>
  <c r="D6" i="71"/>
  <c r="C5" i="71"/>
  <c r="D5" i="71"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34" i="68"/>
  <c r="D10" i="68"/>
  <c r="H70" i="39" l="1"/>
  <c r="I68" i="39"/>
  <c r="C19" i="15"/>
  <c r="C20" i="15" s="1"/>
  <c r="C26" i="15" s="1"/>
  <c r="F50" i="69"/>
  <c r="F50" i="68"/>
  <c r="F50" i="11"/>
  <c r="C12" i="12"/>
  <c r="C15" i="12"/>
  <c r="C38" i="11"/>
  <c r="C35" i="11"/>
  <c r="C38" i="68"/>
  <c r="C35" i="68"/>
  <c r="T16" i="43"/>
  <c r="V16" i="43" s="1"/>
  <c r="T11" i="43"/>
  <c r="V11" i="43" s="1"/>
  <c r="T15" i="43"/>
  <c r="V15" i="43" s="1"/>
  <c r="T4" i="43"/>
  <c r="V4" i="43" s="1"/>
  <c r="T14" i="43"/>
  <c r="V14" i="43" s="1"/>
  <c r="T9" i="43"/>
  <c r="V9" i="43" s="1"/>
  <c r="C38" i="43"/>
  <c r="C39" i="43"/>
  <c r="C36" i="43"/>
  <c r="G36" i="43" s="1"/>
  <c r="I36" i="43" s="1"/>
  <c r="T12" i="43"/>
  <c r="V12" i="43" s="1"/>
  <c r="C35" i="43"/>
  <c r="G35" i="43" s="1"/>
  <c r="I35" i="43" s="1"/>
  <c r="T8" i="43"/>
  <c r="V8" i="43" s="1"/>
  <c r="T13" i="43"/>
  <c r="V13" i="43" s="1"/>
  <c r="T10" i="43"/>
  <c r="V10" i="43" s="1"/>
  <c r="C34" i="43"/>
  <c r="T3" i="43"/>
  <c r="V3" i="43" s="1"/>
  <c r="C29" i="43"/>
  <c r="T5" i="43"/>
  <c r="V5" i="43" s="1"/>
  <c r="C33" i="43"/>
  <c r="C37" i="43"/>
  <c r="T2" i="43"/>
  <c r="V2" i="43" s="1"/>
  <c r="T6" i="43"/>
  <c r="V6" i="43" s="1"/>
  <c r="E36" i="43"/>
  <c r="D30" i="6"/>
  <c r="D16" i="6"/>
  <c r="H19" i="6"/>
  <c r="H27" i="6" s="1"/>
  <c r="I27" i="6"/>
  <c r="S19" i="6"/>
  <c r="S27" i="6" s="1"/>
  <c r="D27" i="6"/>
  <c r="C10" i="68"/>
  <c r="B29" i="1" s="1"/>
  <c r="C8" i="68" s="1"/>
  <c r="D19" i="68"/>
  <c r="C10" i="69"/>
  <c r="C8" i="69" s="1"/>
  <c r="C5" i="69" s="1"/>
  <c r="D19" i="69"/>
  <c r="R25" i="6"/>
  <c r="R20" i="6"/>
  <c r="D7" i="74"/>
  <c r="D8" i="74"/>
  <c r="R23" i="6"/>
  <c r="A7" i="51"/>
  <c r="B7" i="72" s="1"/>
  <c r="A10" i="51"/>
  <c r="B9" i="72" s="1"/>
  <c r="C4" i="52"/>
  <c r="B45" i="7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I70" i="39" l="1"/>
  <c r="J68" i="39"/>
  <c r="C33" i="11"/>
  <c r="C39" i="11" s="1"/>
  <c r="C23" i="15"/>
  <c r="C29" i="15" s="1"/>
  <c r="C13" i="15" s="1"/>
  <c r="C16" i="12"/>
  <c r="E35" i="43"/>
  <c r="E38" i="43"/>
  <c r="G38" i="43"/>
  <c r="I38" i="43" s="1"/>
  <c r="G39" i="43"/>
  <c r="I39" i="43" s="1"/>
  <c r="E39" i="43"/>
  <c r="G37" i="43"/>
  <c r="I37" i="43" s="1"/>
  <c r="E37" i="43"/>
  <c r="E33" i="43"/>
  <c r="G33" i="43"/>
  <c r="I33" i="43" s="1"/>
  <c r="C30" i="43"/>
  <c r="E30" i="43" s="1"/>
  <c r="E29" i="43"/>
  <c r="G34" i="43"/>
  <c r="I34" i="43" s="1"/>
  <c r="E34" i="43"/>
  <c r="C18" i="12"/>
  <c r="C21" i="12" s="1"/>
  <c r="C22" i="12" s="1"/>
  <c r="C27" i="12" s="1"/>
  <c r="C25" i="12" s="1"/>
  <c r="D31" i="6"/>
  <c r="R19" i="6"/>
  <c r="D37" i="69"/>
  <c r="C37" i="69" s="1"/>
  <c r="C33" i="69" s="1"/>
  <c r="C19" i="69"/>
  <c r="C24" i="69" s="1"/>
  <c r="D37" i="68"/>
  <c r="C37" i="68" s="1"/>
  <c r="C33" i="68" s="1"/>
  <c r="C19" i="68"/>
  <c r="C23" i="69"/>
  <c r="I63" i="40"/>
  <c r="H65" i="40"/>
  <c r="I58" i="21"/>
  <c r="J58" i="21" s="1"/>
  <c r="K58" i="21" s="1"/>
  <c r="L58" i="21" s="1"/>
  <c r="M58" i="21" s="1"/>
  <c r="N58" i="21" s="1"/>
  <c r="O58" i="21" s="1"/>
  <c r="H7" i="21" s="1"/>
  <c r="J48" i="35"/>
  <c r="Q48" i="15"/>
  <c r="L46" i="15"/>
  <c r="J13" i="67"/>
  <c r="J23" i="67" s="1"/>
  <c r="J22" i="67"/>
  <c r="C59" i="67"/>
  <c r="C64" i="67"/>
  <c r="Q48" i="67"/>
  <c r="L46" i="67"/>
  <c r="C56" i="67"/>
  <c r="C65" i="67" s="1"/>
  <c r="C75" i="67"/>
  <c r="Q70" i="67"/>
  <c r="C37" i="67"/>
  <c r="C30" i="67" s="1"/>
  <c r="C39" i="67" s="1"/>
  <c r="L51" i="67"/>
  <c r="F7" i="21" l="1"/>
  <c r="J70" i="39"/>
  <c r="K68" i="39"/>
  <c r="C42" i="11"/>
  <c r="C36" i="15"/>
  <c r="C56" i="15"/>
  <c r="C65" i="15" s="1"/>
  <c r="Q70" i="15"/>
  <c r="C75" i="15"/>
  <c r="C37" i="15"/>
  <c r="Q49" i="15"/>
  <c r="C57" i="15"/>
  <c r="J14" i="15"/>
  <c r="J19" i="15"/>
  <c r="C46" i="11"/>
  <c r="C45" i="11" s="1"/>
  <c r="C43" i="11"/>
  <c r="C30" i="12"/>
  <c r="C28" i="12" s="1"/>
  <c r="C32" i="12" s="1"/>
  <c r="B2" i="12" s="1"/>
  <c r="B3" i="12" s="1"/>
  <c r="C27" i="43"/>
  <c r="C26" i="43"/>
  <c r="R27" i="6"/>
  <c r="R6" i="1"/>
  <c r="I6" i="6"/>
  <c r="I5" i="6"/>
  <c r="C20" i="69"/>
  <c r="C28" i="69" s="1"/>
  <c r="C27" i="69" s="1"/>
  <c r="C24" i="68"/>
  <c r="C39" i="68"/>
  <c r="C42" i="68"/>
  <c r="C42" i="69"/>
  <c r="C39" i="69"/>
  <c r="C43" i="69" s="1"/>
  <c r="J7" i="21"/>
  <c r="AC7" i="21" s="1"/>
  <c r="V48" i="21" s="1"/>
  <c r="I48" i="21" s="1"/>
  <c r="U7" i="21"/>
  <c r="AB7" i="21"/>
  <c r="T48" i="21" s="1"/>
  <c r="G48" i="21" s="1"/>
  <c r="S7" i="21"/>
  <c r="AA7" i="21"/>
  <c r="R48" i="21" s="1"/>
  <c r="J63" i="40"/>
  <c r="I65" i="40"/>
  <c r="K48" i="35"/>
  <c r="L48" i="35" s="1"/>
  <c r="M48" i="35" s="1"/>
  <c r="N48" i="35" s="1"/>
  <c r="O48" i="35" s="1"/>
  <c r="H7" i="35" s="1"/>
  <c r="J7" i="35"/>
  <c r="W7" i="21"/>
  <c r="J16" i="67"/>
  <c r="J25" i="67" s="1"/>
  <c r="C80" i="67"/>
  <c r="C79" i="67" s="1"/>
  <c r="C58" i="67"/>
  <c r="C67" i="67" s="1"/>
  <c r="C68" i="67" s="1"/>
  <c r="Q69" i="67"/>
  <c r="Q68" i="67" s="1"/>
  <c r="C40" i="67"/>
  <c r="F35" i="15"/>
  <c r="M21" i="15"/>
  <c r="E6" i="76"/>
  <c r="K70" i="39" l="1"/>
  <c r="L68" i="39"/>
  <c r="C41" i="11"/>
  <c r="C49" i="11" s="1"/>
  <c r="C51" i="11" s="1"/>
  <c r="C52" i="11" s="1"/>
  <c r="B2" i="11" s="1"/>
  <c r="B3" i="11" s="1"/>
  <c r="C61" i="15"/>
  <c r="C64" i="15"/>
  <c r="J13" i="15"/>
  <c r="J23" i="15" s="1"/>
  <c r="J22" i="15"/>
  <c r="E2" i="76"/>
  <c r="B2" i="43"/>
  <c r="J20" i="15"/>
  <c r="J17" i="15" s="1"/>
  <c r="C34" i="15"/>
  <c r="C31" i="15" s="1"/>
  <c r="C30" i="15" s="1"/>
  <c r="C39" i="15" s="1"/>
  <c r="F63" i="15"/>
  <c r="C62" i="15" s="1"/>
  <c r="R16" i="1"/>
  <c r="C41" i="69"/>
  <c r="C25" i="69"/>
  <c r="C22" i="69" s="1"/>
  <c r="C31" i="69" s="1"/>
  <c r="C46" i="69"/>
  <c r="C45" i="69" s="1"/>
  <c r="C46" i="68"/>
  <c r="C45" i="68" s="1"/>
  <c r="C43" i="68"/>
  <c r="C41" i="68" s="1"/>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B6" i="76"/>
  <c r="L51" i="15"/>
  <c r="M68" i="39" l="1"/>
  <c r="L70" i="39"/>
  <c r="C59" i="15"/>
  <c r="C58" i="15" s="1"/>
  <c r="C67" i="15" s="1"/>
  <c r="C68" i="15" s="1"/>
  <c r="C71" i="15" s="1"/>
  <c r="J16" i="15"/>
  <c r="J25" i="15" s="1"/>
  <c r="J26" i="15" s="1"/>
  <c r="J29" i="15" s="1"/>
  <c r="C56" i="11"/>
  <c r="C57" i="11" s="1"/>
  <c r="B2" i="76"/>
  <c r="B3" i="76" s="1"/>
  <c r="C6" i="68"/>
  <c r="B3" i="43"/>
  <c r="Q67" i="15"/>
  <c r="C80" i="15"/>
  <c r="C79" i="15" s="1"/>
  <c r="Q69" i="15"/>
  <c r="Q68" i="15" s="1"/>
  <c r="C40" i="15"/>
  <c r="C49" i="69"/>
  <c r="C51" i="69" s="1"/>
  <c r="C52" i="69" s="1"/>
  <c r="B2" i="69" s="1"/>
  <c r="B3" i="69" s="1"/>
  <c r="C49" i="68"/>
  <c r="C5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M70" i="39" l="1"/>
  <c r="N68" i="39"/>
  <c r="C7" i="68"/>
  <c r="C5" i="68" s="1"/>
  <c r="B2" i="15"/>
  <c r="Q65" i="15"/>
  <c r="Q75" i="15" s="1"/>
  <c r="Q47" i="15"/>
  <c r="Q53" i="15" s="1"/>
  <c r="Q56" i="15"/>
  <c r="Q62" i="15" s="1"/>
  <c r="C43" i="15"/>
  <c r="C83" i="15"/>
  <c r="C82" i="15" s="1"/>
  <c r="C46" i="15"/>
  <c r="C57" i="69"/>
  <c r="C56" i="69" s="1"/>
  <c r="R39" i="35"/>
  <c r="E38" i="35"/>
  <c r="M63" i="40"/>
  <c r="L65" i="40"/>
  <c r="E2" i="68"/>
  <c r="D19" i="9"/>
  <c r="AO6" i="1"/>
  <c r="O68" i="39" l="1"/>
  <c r="O70" i="39" s="1"/>
  <c r="N70" i="39"/>
  <c r="F7" i="39"/>
  <c r="C23" i="68"/>
  <c r="C20" i="68"/>
  <c r="C25" i="68" s="1"/>
  <c r="D102" i="9"/>
  <c r="D21" i="9"/>
  <c r="B6" i="70"/>
  <c r="B2" i="70" s="1"/>
  <c r="B3" i="70" s="1"/>
  <c r="B3" i="15"/>
  <c r="C39" i="35"/>
  <c r="B2" i="35" s="1"/>
  <c r="B3" i="35" s="1"/>
  <c r="C38" i="35"/>
  <c r="N63" i="40"/>
  <c r="M65" i="40"/>
  <c r="E43" i="35"/>
  <c r="F43" i="35" s="1"/>
  <c r="E42" i="35"/>
  <c r="F42" i="35" s="1"/>
  <c r="I43" i="35"/>
  <c r="J43" i="35" s="1"/>
  <c r="D20" i="9"/>
  <c r="H7" i="39" l="1"/>
  <c r="J7" i="39"/>
  <c r="S7" i="39"/>
  <c r="AA7" i="39"/>
  <c r="R47" i="39" s="1"/>
  <c r="C28" i="68"/>
  <c r="C27" i="68" s="1"/>
  <c r="C22" i="68"/>
  <c r="D103" i="9"/>
  <c r="O63" i="40"/>
  <c r="O65" i="40" s="1"/>
  <c r="N65" i="40"/>
  <c r="E47" i="39" l="1"/>
  <c r="R48" i="39"/>
  <c r="W7" i="39"/>
  <c r="AC7" i="39"/>
  <c r="V47" i="39" s="1"/>
  <c r="I47" i="39" s="1"/>
  <c r="U7" i="39"/>
  <c r="AB7" i="39"/>
  <c r="T47" i="39" s="1"/>
  <c r="G47" i="39" s="1"/>
  <c r="C31" i="68"/>
  <c r="C52" i="68" s="1"/>
  <c r="C57" i="68" s="1"/>
  <c r="C56" i="68" s="1"/>
  <c r="J7" i="40"/>
  <c r="F7" i="40"/>
  <c r="H7" i="40"/>
  <c r="G52" i="39" l="1"/>
  <c r="H52" i="39" s="1"/>
  <c r="G51" i="39"/>
  <c r="H51" i="39" s="1"/>
  <c r="I52" i="39"/>
  <c r="J52" i="39" s="1"/>
  <c r="I51" i="39"/>
  <c r="J51" i="39" s="1"/>
  <c r="C47" i="39"/>
  <c r="C48" i="39"/>
  <c r="E51" i="39"/>
  <c r="F51" i="39" s="1"/>
  <c r="E52" i="39"/>
  <c r="F52" i="39" s="1"/>
  <c r="B2" i="68"/>
  <c r="U7" i="40"/>
  <c r="AB7" i="40"/>
  <c r="T42" i="40" s="1"/>
  <c r="G42" i="40" s="1"/>
  <c r="AA7" i="40"/>
  <c r="R42" i="40" s="1"/>
  <c r="S7" i="40"/>
  <c r="AC7" i="40"/>
  <c r="V42" i="40" s="1"/>
  <c r="I42" i="40" s="1"/>
  <c r="W7" i="40"/>
  <c r="C19" i="9"/>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G19" i="9"/>
  <c r="G21" i="9" s="1"/>
  <c r="D22" i="9"/>
  <c r="C102" i="9"/>
  <c r="C21" i="9"/>
  <c r="I46" i="40"/>
  <c r="J46" i="40" s="1"/>
  <c r="R43" i="40"/>
  <c r="E42" i="40"/>
  <c r="G47" i="40"/>
  <c r="H47" i="40" s="1"/>
  <c r="G46" i="40"/>
  <c r="H46" i="40" s="1"/>
  <c r="B3" i="68"/>
  <c r="C20" i="9"/>
  <c r="D35" i="9"/>
  <c r="D34" i="9"/>
  <c r="G20" i="9" l="1"/>
  <c r="C32" i="9" s="1"/>
  <c r="C35" i="9" s="1"/>
  <c r="C34" i="9" s="1"/>
  <c r="C103" i="9"/>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F118" i="9"/>
  <c r="F4" i="52" s="1"/>
  <c r="B51" i="72" s="1"/>
  <c r="H118" i="9"/>
  <c r="D14" i="74" s="1"/>
  <c r="D119" i="9" l="1"/>
  <c r="D5" i="52" s="1"/>
  <c r="B49" i="72" s="1"/>
  <c r="K118" i="9"/>
  <c r="H101" i="9"/>
  <c r="M48" i="9" s="1"/>
  <c r="I118" i="9"/>
  <c r="C105" i="9" s="1"/>
  <c r="H119" i="9"/>
  <c r="H5" i="52" s="1"/>
  <c r="E14" i="74"/>
  <c r="B5" i="74"/>
  <c r="F14" i="74"/>
  <c r="D4" i="52"/>
  <c r="B47" i="72" s="1"/>
  <c r="H4" i="52"/>
  <c r="C104" i="9"/>
  <c r="I4" i="52"/>
  <c r="H107" i="9"/>
  <c r="F119" i="9"/>
  <c r="F5" i="52" s="1"/>
  <c r="B53" i="72" s="1"/>
  <c r="G118" i="9"/>
  <c r="G4" i="52" s="1"/>
  <c r="B52" i="72" s="1"/>
  <c r="H102" i="9"/>
  <c r="D7" i="53" s="1"/>
  <c r="B21" i="72" s="1"/>
  <c r="E118" i="9" l="1"/>
  <c r="E4" i="52" s="1"/>
  <c r="B48" i="72" s="1"/>
  <c r="D5" i="53"/>
  <c r="D6" i="53" s="1"/>
  <c r="B22" i="72" s="1"/>
  <c r="D45" i="9"/>
  <c r="D53" i="9" s="1"/>
  <c r="B20" i="72"/>
  <c r="M49" i="9"/>
  <c r="D13" i="53"/>
  <c r="D122" i="9"/>
  <c r="H108" i="9"/>
  <c r="D15" i="53" s="1"/>
  <c r="B31" i="72" s="1"/>
  <c r="C5" i="74"/>
  <c r="D5" i="74"/>
  <c r="C93" i="9" l="1"/>
  <c r="C86" i="9" s="1"/>
  <c r="C72" i="9"/>
  <c r="C64" i="9"/>
  <c r="C63" i="9" s="1"/>
  <c r="C67" i="9" s="1"/>
  <c r="D59" i="9" s="1"/>
  <c r="M55" i="9" s="1"/>
  <c r="C78" i="9"/>
  <c r="C73" i="9" s="1"/>
  <c r="D52" i="9"/>
  <c r="C85" i="9"/>
  <c r="D55" i="9"/>
  <c r="M53" i="9" s="1"/>
  <c r="C79" i="9"/>
  <c r="C80" i="9" s="1"/>
  <c r="E80" i="9" s="1"/>
  <c r="E81" i="9" s="1"/>
  <c r="B30" i="72"/>
  <c r="D14" i="53"/>
  <c r="B32" i="72" s="1"/>
  <c r="G14" i="74"/>
  <c r="B6" i="74" s="1"/>
  <c r="D8" i="52"/>
  <c r="D123" i="9"/>
  <c r="D9" i="52" s="1"/>
  <c r="L66" i="9"/>
  <c r="M66" i="9" s="1"/>
  <c r="L68" i="9"/>
  <c r="M68" i="9" s="1"/>
  <c r="L67" i="9"/>
  <c r="M67" i="9" s="1"/>
  <c r="L64" i="9"/>
  <c r="M64" i="9" s="1"/>
  <c r="L65" i="9"/>
  <c r="M65" i="9" s="1"/>
  <c r="L63" i="9"/>
  <c r="M63" i="9" s="1"/>
  <c r="C68" i="9" l="1"/>
  <c r="D54" i="9" s="1"/>
  <c r="C95" i="9"/>
  <c r="C96" i="9" s="1"/>
  <c r="E96" i="9" s="1"/>
  <c r="E97" i="9" s="1"/>
  <c r="M69" i="9"/>
  <c r="N69" i="9" s="1"/>
  <c r="C81" i="9"/>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<sst xmlns="http://schemas.openxmlformats.org/spreadsheetml/2006/main" count="7364" uniqueCount="3130">
  <si>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</si>
  <si>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</si>
  <si>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</si>
  <si>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</si>
  <si>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</si>
  <si>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</si>
  <si>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</si>
  <si>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</si>
  <si>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</si>
  <si>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</si>
  <si>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</si>
  <si>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</si>
  <si>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</si>
  <si>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</si>
  <si>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</si>
  <si>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</si>
  <si>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</si>
  <si>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</si>
  <si>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</si>
  <si>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</si>
  <si>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</si>
  <si>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</si>
  <si>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</si>
  <si>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</si>
  <si>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</si>
  <si>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</si>
  <si>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</si>
  <si>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</si>
  <si>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</si>
  <si>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</si>
  <si>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</si>
  <si>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</si>
  <si>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</si>
  <si>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</si>
  <si>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</si>
  <si>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</si>
  <si>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</si>
  <si>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</si>
  <si>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</si>
  <si>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</si>
  <si>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</si>
  <si>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</si>
  <si>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</si>
  <si>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</si>
  <si>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</si>
  <si>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</si>
  <si>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</si>
  <si>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</si>
  <si>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</si>
  <si>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</si>
  <si>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</si>
  <si>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</si>
  <si>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</si>
  <si>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</si>
  <si>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</si>
  <si>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</si>
  <si>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</si>
  <si>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</si>
  <si>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</si>
  <si>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</si>
  <si>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</si>
  <si>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</si>
  <si>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</si>
  <si>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</si>
  <si>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</si>
  <si>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</si>
  <si>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</si>
  <si>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</si>
  <si>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</si>
  <si>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</si>
  <si>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</si>
  <si>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</si>
  <si>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</si>
  <si>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</si>
  <si>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</si>
  <si>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</si>
  <si>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</si>
  <si>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</si>
  <si>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</si>
  <si>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</si>
  <si>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</si>
  <si>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</si>
  <si>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</si>
  <si>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</si>
  <si>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</si>
  <si>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</si>
  <si>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</si>
  <si>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</si>
  <si>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</si>
  <si>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</si>
  <si>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</si>
  <si>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</si>
  <si>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</si>
  <si>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</si>
  <si>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</si>
  <si>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</si>
  <si>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</si>
  <si>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</si>
  <si>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</si>
  <si>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</si>
  <si>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</si>
  <si>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</si>
  <si>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</si>
  <si>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</si>
  <si>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</si>
  <si>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</si>
  <si>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</si>
  <si>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</si>
  <si>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</si>
  <si>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</si>
  <si>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</si>
  <si>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</si>
  <si>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</si>
  <si>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</si>
  <si>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</si>
  <si>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</si>
  <si>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</si>
  <si>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</si>
  <si>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</si>
  <si>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</si>
  <si>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</si>
  <si>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</si>
  <si>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</si>
  <si>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</si>
  <si>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</si>
  <si>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</si>
  <si>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</si>
  <si>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</si>
  <si>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</si>
  <si>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</si>
  <si>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</si>
  <si>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</si>
  <si>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</si>
  <si>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</si>
  <si>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</si>
  <si>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</si>
  <si>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</si>
  <si>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</si>
  <si>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</si>
  <si>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</si>
  <si>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</si>
  <si>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</si>
  <si>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</si>
  <si>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</si>
  <si>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</si>
  <si>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</si>
  <si>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</si>
  <si>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</si>
  <si>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</si>
  <si>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</si>
  <si>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</si>
  <si>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</si>
  <si>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</si>
  <si>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</si>
  <si>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</si>
  <si>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</si>
  <si>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</si>
  <si>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</si>
  <si>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</si>
  <si>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</si>
  <si>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</si>
  <si>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</si>
  <si>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</si>
  <si>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</si>
  <si>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</si>
  <si>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</si>
  <si>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</si>
  <si>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</si>
  <si>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</si>
  <si>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</si>
  <si>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</si>
  <si>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</si>
  <si>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</si>
  <si>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</si>
  <si>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</si>
  <si>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</si>
  <si>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</si>
  <si>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</si>
  <si>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</si>
  <si>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</si>
  <si>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</si>
  <si>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</si>
  <si>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</si>
  <si>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</si>
  <si>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</si>
  <si>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</si>
  <si>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</si>
  <si>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</si>
  <si>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</si>
  <si>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</si>
  <si>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</si>
  <si>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</si>
  <si>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</si>
  <si>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</si>
  <si>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</si>
  <si>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</si>
  <si>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</si>
  <si>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</si>
  <si>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</si>
  <si>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</si>
  <si>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</si>
  <si>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</si>
  <si>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</si>
  <si>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</si>
  <si>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</si>
  <si>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</si>
  <si>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</si>
  <si>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</si>
  <si>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</si>
  <si>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</si>
  <si>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</si>
  <si>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</si>
  <si>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</si>
  <si>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</si>
  <si>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</si>
  <si>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</si>
  <si>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</si>
  <si>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</si>
  <si>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</si>
  <si>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</si>
  <si>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</si>
  <si>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</si>
  <si>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</si>
  <si>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</si>
  <si>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</si>
  <si>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</si>
  <si>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</si>
  <si>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</si>
  <si>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</si>
  <si>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</si>
  <si>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</si>
  <si>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</si>
  <si>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</si>
  <si>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</si>
  <si>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</si>
  <si>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</si>
  <si>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</si>
  <si>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</si>
  <si>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</si>
  <si>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</si>
  <si>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</si>
  <si>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</si>
  <si>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</si>
  <si>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</si>
  <si>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</si>
  <si>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</si>
  <si>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</si>
  <si>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</si>
  <si>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</si>
  <si>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</si>
  <si>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</si>
  <si>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</si>
  <si>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</si>
  <si>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</si>
  <si>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</si>
  <si>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</si>
  <si>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</si>
  <si>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</si>
  <si>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</si>
  <si>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</si>
  <si>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</si>
  <si>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</si>
  <si>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</si>
  <si>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</si>
  <si>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</si>
  <si>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</si>
  <si>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</si>
  <si>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</si>
  <si>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</si>
  <si>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</si>
  <si>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</si>
  <si>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</si>
  <si>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</si>
  <si>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</si>
  <si>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</si>
  <si>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</si>
  <si>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</si>
  <si>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</si>
  <si>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</si>
  <si>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</si>
  <si>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</si>
  <si>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</si>
  <si>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</si>
  <si>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</si>
  <si>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</si>
  <si>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</si>
  <si>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</si>
  <si>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</si>
  <si>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</si>
  <si>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</si>
  <si>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</si>
  <si>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</si>
  <si>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</si>
  <si>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</si>
  <si>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</si>
  <si>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</si>
  <si>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</si>
  <si>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</si>
  <si>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</si>
  <si>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</si>
  <si>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</si>
  <si>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</si>
  <si>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</si>
  <si>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</si>
  <si>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</si>
  <si>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</si>
  <si>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</si>
  <si>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</si>
  <si>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</si>
  <si>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</si>
  <si>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</si>
  <si>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</si>
  <si>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</si>
  <si>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</si>
  <si>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</si>
  <si>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</si>
  <si>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</si>
  <si>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</si>
  <si>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</si>
  <si>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</si>
  <si>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</si>
  <si>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</si>
  <si>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</si>
  <si>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</si>
  <si>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</si>
  <si>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</si>
  <si>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</si>
  <si>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</si>
  <si>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</si>
  <si>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</si>
  <si>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</si>
  <si>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</si>
  <si>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</si>
  <si>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</si>
  <si>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</si>
  <si>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</si>
  <si>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</si>
  <si>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</si>
  <si>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</si>
  <si>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</si>
  <si>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</si>
  <si>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</si>
  <si>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</si>
  <si>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</si>
  <si>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</si>
  <si>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</si>
  <si>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</si>
  <si>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</si>
  <si>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</si>
  <si>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</si>
  <si>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</si>
  <si>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</si>
  <si>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</si>
  <si>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</si>
  <si>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</si>
  <si>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</si>
  <si>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</si>
  <si>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</si>
  <si>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</si>
  <si>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</si>
  <si>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</si>
  <si>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</si>
  <si>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</si>
  <si>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</si>
  <si>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</si>
  <si>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</si>
  <si>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</si>
  <si>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</si>
  <si>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</si>
  <si>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</si>
  <si>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</si>
  <si>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</si>
  <si>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</si>
  <si>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</si>
  <si>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</si>
  <si>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</si>
  <si>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</si>
  <si>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</si>
  <si>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</si>
  <si>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</si>
  <si>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</si>
  <si>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</si>
  <si>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</si>
  <si>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</si>
  <si>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</si>
  <si>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</si>
  <si>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</si>
  <si>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</si>
  <si>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</si>
  <si>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</si>
  <si>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</si>
  <si>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</si>
  <si>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</si>
  <si>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</si>
  <si>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</si>
  <si>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</si>
  <si>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</si>
  <si>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</si>
  <si>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</si>
  <si>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</si>
  <si>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</si>
  <si>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</si>
  <si>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</si>
  <si>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</si>
  <si>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</si>
  <si>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</si>
  <si>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</si>
  <si>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</si>
  <si>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</si>
  <si>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</si>
  <si>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</si>
  <si>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</si>
  <si>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</si>
  <si>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</si>
  <si>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</si>
  <si>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</si>
  <si>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</si>
  <si>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</si>
  <si>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</si>
  <si>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</si>
  <si>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</si>
  <si>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</si>
  <si>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</si>
  <si>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</si>
  <si>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</si>
  <si>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</si>
  <si>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</si>
  <si>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</si>
  <si>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</si>
  <si>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</si>
  <si>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</si>
  <si>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</si>
  <si>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</si>
  <si>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</si>
  <si>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</si>
  <si>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</si>
  <si>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</si>
  <si>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</si>
  <si>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</si>
  <si>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</si>
  <si>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</si>
  <si>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</si>
  <si>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</si>
  <si>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</si>
  <si>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</si>
  <si>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</si>
  <si>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</si>
  <si>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</si>
  <si>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</si>
  <si>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</si>
  <si>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</si>
  <si>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</si>
  <si>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</si>
  <si>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</si>
  <si>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</si>
  <si>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</si>
  <si>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</si>
  <si>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</si>
  <si>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</si>
  <si>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</si>
  <si>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</si>
  <si>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</si>
  <si>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</si>
  <si>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</si>
  <si>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</si>
  <si>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</si>
  <si>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</si>
  <si>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</si>
  <si>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</si>
  <si>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</si>
  <si>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</si>
  <si>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</si>
  <si>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</si>
  <si>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</si>
  <si>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</si>
  <si>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</si>
  <si>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</si>
  <si>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</si>
  <si>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</si>
  <si>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</si>
  <si>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</si>
  <si>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</si>
  <si>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</si>
  <si>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</si>
  <si>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</si>
  <si>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</si>
  <si>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</si>
  <si>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</si>
  <si>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</si>
  <si>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</si>
  <si>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</si>
  <si>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</si>
  <si>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</si>
  <si>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</si>
  <si>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</si>
  <si>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</si>
  <si>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</si>
  <si>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</si>
  <si>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</si>
  <si>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</si>
  <si>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</si>
  <si>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</si>
  <si>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</si>
  <si>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</si>
  <si>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</si>
  <si>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</si>
  <si>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</si>
  <si>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</si>
  <si>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</si>
  <si>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</si>
  <si>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</si>
  <si>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</si>
  <si>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</si>
  <si>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</si>
  <si>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</si>
  <si>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</si>
  <si>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</si>
  <si>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</si>
  <si>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</si>
  <si>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</si>
  <si>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</si>
  <si>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</si>
  <si>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</si>
  <si>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</si>
  <si>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</si>
  <si>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</si>
  <si>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</si>
  <si>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</si>
  <si>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</si>
  <si>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</si>
  <si>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</si>
  <si>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</si>
  <si>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</si>
  <si>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</si>
  <si>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</si>
  <si>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</si>
  <si>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</si>
  <si>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</si>
  <si>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</si>
  <si>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</si>
  <si>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</si>
  <si>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</si>
  <si>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</si>
  <si>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</si>
  <si>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</si>
  <si>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</si>
  <si>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</si>
  <si>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</si>
  <si>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</si>
  <si>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</si>
  <si>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</si>
  <si>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</si>
  <si>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</si>
  <si>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</si>
  <si>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</si>
  <si>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</si>
  <si>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</si>
  <si>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</si>
  <si>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</si>
  <si>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</si>
  <si>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</si>
  <si>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</si>
  <si>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</si>
  <si>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</si>
  <si>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</si>
  <si>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</si>
  <si>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</si>
  <si>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</si>
  <si>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</si>
  <si>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</si>
  <si>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</si>
  <si>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</si>
  <si>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</si>
  <si>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</si>
  <si>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</si>
  <si>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</si>
  <si>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</si>
  <si>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</si>
  <si>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</si>
  <si>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</si>
  <si>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</si>
  <si>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</si>
  <si>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</si>
  <si>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</si>
  <si>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</si>
  <si>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</si>
  <si>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</si>
  <si>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</si>
  <si>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</si>
  <si>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</si>
  <si>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</si>
  <si>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</si>
  <si>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</si>
  <si>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</si>
  <si>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</si>
  <si>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</si>
  <si>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</si>
  <si>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</si>
  <si>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</si>
  <si>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</si>
  <si>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</si>
  <si>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</si>
  <si>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</si>
  <si>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</si>
  <si>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</si>
  <si>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</si>
  <si>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</si>
  <si>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</si>
  <si>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</si>
  <si>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</si>
  <si>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</si>
  <si>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</si>
  <si>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</si>
  <si>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</si>
  <si>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</si>
  <si>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</si>
  <si>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</si>
  <si>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</si>
  <si>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</si>
  <si>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</si>
  <si>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</si>
  <si>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</si>
  <si>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</si>
  <si>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</si>
  <si>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</si>
  <si>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</si>
  <si>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</si>
  <si>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</si>
  <si>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</si>
  <si>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</si>
  <si>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</si>
  <si>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</si>
  <si>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</si>
  <si>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</si>
  <si>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</si>
  <si>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</si>
  <si>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</si>
  <si>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</si>
  <si>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</si>
  <si>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</si>
  <si>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</si>
  <si>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</si>
  <si>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</si>
  <si>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</si>
  <si>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</si>
  <si>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</si>
  <si>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</si>
  <si>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</si>
  <si>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</si>
  <si>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</si>
  <si>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</si>
  <si>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</si>
  <si>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</si>
  <si>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</si>
  <si>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</si>
  <si>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</si>
  <si>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</si>
  <si>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</si>
  <si>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</si>
  <si>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</si>
  <si>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</si>
  <si>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</si>
  <si>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</si>
  <si>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</si>
  <si>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</si>
  <si>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</si>
  <si>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</si>
  <si>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</si>
  <si>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</si>
  <si>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</si>
  <si>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</si>
  <si>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</si>
  <si>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</si>
  <si>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</si>
  <si>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</si>
  <si>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</si>
  <si>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</si>
  <si>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</si>
  <si>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</si>
  <si>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</si>
  <si>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</si>
  <si>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</si>
  <si>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</si>
  <si>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</si>
  <si>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</si>
  <si>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</si>
  <si>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</si>
  <si>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</si>
  <si>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</si>
  <si>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</si>
  <si>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</si>
  <si>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</si>
  <si>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</si>
  <si>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</si>
  <si>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</si>
  <si>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</si>
  <si>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</si>
  <si>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</si>
  <si>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</si>
  <si>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</si>
  <si>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</si>
  <si>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</si>
  <si>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</si>
  <si>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</si>
  <si>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</si>
  <si>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</si>
  <si>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</si>
  <si>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</si>
  <si>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</si>
  <si>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</si>
  <si>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</si>
  <si>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</si>
  <si>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</si>
  <si>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</si>
  <si>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</si>
  <si>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</si>
  <si>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</si>
  <si>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</si>
  <si>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</si>
  <si>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</si>
  <si>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</si>
  <si>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</si>
  <si>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</si>
  <si>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</si>
  <si>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</si>
  <si>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</si>
  <si>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</si>
  <si>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</si>
  <si>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</si>
  <si>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</si>
  <si>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</si>
  <si>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</si>
  <si>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</si>
  <si>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</si>
  <si>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</si>
  <si>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</si>
  <si>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</si>
  <si>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</si>
  <si>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</si>
  <si>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</si>
  <si>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</si>
  <si>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</si>
  <si>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</si>
  <si>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</si>
  <si>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</si>
  <si>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</si>
  <si>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</si>
  <si>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</si>
  <si>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</si>
  <si>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</si>
  <si>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</si>
  <si>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</si>
  <si>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</si>
  <si>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</si>
  <si>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</si>
  <si>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</si>
  <si>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</si>
  <si>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</si>
  <si>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</si>
  <si>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</si>
  <si>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</si>
  <si>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</si>
  <si>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</si>
  <si>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</si>
  <si>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</si>
  <si>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</si>
  <si>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</si>
  <si>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</si>
  <si>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</si>
  <si>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</si>
  <si>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</si>
  <si>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</si>
  <si>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</si>
  <si>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</si>
  <si>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</si>
  <si>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</si>
  <si>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</si>
  <si>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</si>
  <si>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</si>
  <si>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</si>
  <si>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</si>
  <si>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</si>
  <si>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</si>
  <si>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</si>
  <si>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</si>
  <si>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</si>
  <si>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</si>
  <si>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</si>
  <si>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</si>
  <si>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</si>
  <si>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</si>
  <si>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</si>
  <si>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</si>
  <si>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</si>
  <si>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</si>
  <si>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</si>
  <si>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</si>
  <si>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</si>
  <si>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</si>
  <si>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</si>
  <si>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</si>
  <si>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</si>
  <si>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</si>
  <si>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</si>
  <si>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</si>
  <si>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</si>
  <si>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</si>
  <si>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</si>
  <si>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</si>
  <si>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</si>
  <si>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</si>
  <si>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</si>
  <si>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</si>
  <si>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</si>
  <si>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</si>
  <si>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</si>
  <si>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</si>
  <si>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</si>
  <si>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</si>
  <si>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</si>
  <si>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</si>
  <si>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</si>
  <si>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</si>
  <si>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</si>
  <si>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</si>
  <si>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</si>
  <si>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</si>
  <si>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</si>
  <si>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</si>
  <si>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</si>
  <si>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</si>
  <si>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</si>
  <si>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</si>
  <si>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</si>
  <si>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</si>
  <si>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</si>
  <si>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</si>
  <si>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</si>
  <si>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</si>
  <si>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</si>
  <si>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</si>
  <si>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</si>
  <si>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</si>
  <si>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</si>
  <si>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</si>
  <si>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</si>
  <si>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</si>
  <si>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</si>
  <si>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</si>
  <si>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</si>
  <si>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</si>
  <si>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</si>
  <si>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</si>
  <si>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</si>
  <si>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</si>
  <si>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</si>
  <si>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</si>
  <si>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</si>
  <si>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</si>
  <si>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</si>
  <si>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</si>
  <si>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</si>
  <si>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</si>
  <si>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</si>
  <si>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</si>
  <si>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</si>
  <si>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</si>
  <si>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</si>
  <si>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</si>
  <si>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</si>
  <si>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</si>
  <si>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</si>
  <si>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</si>
  <si>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</si>
  <si>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</si>
  <si>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</si>
  <si>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</si>
  <si>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</si>
  <si>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</si>
  <si>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</si>
  <si>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</si>
  <si>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</si>
  <si>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</si>
  <si>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</si>
  <si>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</si>
  <si>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</si>
  <si>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</si>
  <si>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</si>
  <si>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</si>
  <si>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</si>
  <si>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</si>
  <si>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</si>
  <si>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</si>
  <si>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</si>
  <si>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</si>
  <si>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</si>
  <si>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</si>
  <si>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</si>
  <si>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</si>
  <si>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</si>
  <si>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</si>
  <si>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</si>
  <si>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</si>
  <si>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</si>
  <si>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</si>
  <si>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</si>
  <si>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</si>
  <si>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</si>
  <si>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</si>
  <si>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</si>
  <si>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</si>
  <si>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</si>
  <si>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</si>
  <si>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</si>
  <si>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</si>
  <si>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</si>
  <si>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</si>
  <si>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</si>
  <si>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</si>
  <si>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</si>
  <si>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</si>
  <si>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</si>
  <si>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</si>
  <si>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</si>
  <si>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</si>
  <si>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</si>
  <si>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</si>
  <si>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</si>
  <si>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</si>
  <si>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</si>
  <si>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</si>
  <si>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</si>
  <si>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</si>
  <si>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</si>
  <si>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</si>
  <si>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</si>
  <si>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</si>
  <si>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</si>
  <si>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</si>
  <si>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</si>
  <si>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</si>
  <si>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</si>
  <si>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</si>
  <si>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</si>
  <si>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</si>
  <si>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</si>
  <si>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</si>
  <si>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</si>
  <si>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</si>
  <si>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</si>
  <si>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</si>
  <si>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</si>
  <si>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</si>
  <si>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</si>
  <si>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</si>
  <si>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</si>
  <si>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</si>
  <si>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</si>
  <si>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</si>
  <si>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</si>
  <si>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</si>
  <si>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</si>
  <si>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</si>
  <si>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</si>
  <si>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</si>
  <si>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</si>
  <si>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</si>
  <si>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</si>
  <si>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</si>
  <si>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</si>
  <si>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</si>
  <si>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</si>
  <si>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</si>
  <si>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</si>
  <si>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</si>
  <si>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</si>
  <si>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</si>
  <si>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</si>
  <si>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</si>
  <si>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</si>
  <si>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</si>
  <si>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</si>
  <si>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</si>
  <si>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</si>
  <si>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</si>
  <si>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</si>
  <si>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</si>
  <si>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</si>
  <si>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</si>
  <si>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</si>
  <si>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</si>
  <si>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</si>
  <si>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</si>
  <si>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</si>
  <si>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</si>
  <si>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</si>
  <si>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</si>
  <si>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</si>
  <si>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</si>
  <si>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</si>
  <si>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</si>
  <si>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</si>
  <si>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</si>
  <si>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</si>
  <si>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</si>
  <si>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</si>
  <si>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</si>
  <si>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</si>
  <si>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</si>
  <si>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</si>
  <si>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</si>
  <si>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</si>
  <si>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</si>
  <si>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</si>
  <si>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</si>
  <si>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</si>
  <si>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</si>
  <si>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</si>
  <si>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</si>
  <si>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</si>
  <si>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</si>
  <si>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</si>
  <si>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</si>
  <si>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</si>
  <si>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</si>
  <si>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</si>
  <si>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</si>
  <si>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</si>
  <si>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</si>
  <si>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</si>
  <si>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</si>
  <si>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</si>
  <si>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</si>
  <si>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</si>
  <si>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</si>
  <si>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</si>
  <si>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</si>
  <si>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</si>
  <si>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</si>
  <si>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</si>
  <si>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</si>
  <si>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</si>
  <si>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</si>
  <si>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</si>
  <si>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</si>
  <si>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</si>
  <si>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</si>
  <si>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</si>
  <si>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</si>
  <si>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</si>
  <si>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</si>
  <si>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</si>
  <si>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</si>
  <si>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</si>
  <si>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</si>
  <si>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</si>
  <si>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</si>
  <si>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</si>
  <si>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</si>
  <si>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</si>
  <si>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</si>
  <si>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</si>
  <si>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</si>
  <si>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</si>
  <si>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</si>
  <si>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</si>
  <si>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</si>
  <si>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</si>
  <si>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</si>
  <si>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</si>
  <si>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</si>
  <si>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</si>
  <si>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</si>
  <si>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</si>
  <si>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</si>
  <si>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</si>
  <si>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</si>
  <si>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</si>
  <si>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</si>
  <si>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</si>
  <si>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</si>
  <si>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</si>
  <si>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</si>
  <si>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</si>
  <si>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</si>
  <si>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</si>
  <si>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</si>
  <si>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</si>
  <si>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</si>
  <si>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</si>
  <si>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</si>
  <si>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</si>
  <si>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</si>
  <si>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</si>
  <si>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</si>
  <si>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</si>
  <si>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</si>
  <si>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</si>
  <si>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</si>
  <si>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</si>
  <si>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</si>
  <si>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</si>
  <si>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</si>
  <si>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</si>
  <si>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</si>
  <si>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</si>
  <si>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</si>
  <si>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</si>
  <si>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</si>
  <si>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</si>
  <si>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</si>
  <si>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</si>
  <si>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</si>
  <si>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</si>
  <si>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</si>
  <si>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</si>
  <si>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</si>
  <si>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</si>
  <si>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</si>
  <si>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</si>
  <si>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</si>
  <si>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</si>
  <si>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</si>
  <si>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</si>
  <si>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</si>
  <si>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</si>
  <si>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</si>
  <si>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</si>
  <si>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</si>
  <si>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</si>
  <si>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</si>
  <si>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</si>
  <si>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</si>
  <si>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</si>
  <si>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</si>
  <si>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</si>
  <si>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</si>
  <si>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</si>
  <si>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</si>
  <si>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</si>
  <si>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</si>
  <si>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</si>
  <si>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</si>
  <si>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</si>
  <si>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</si>
  <si>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</si>
  <si>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</si>
  <si>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</si>
  <si>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</si>
  <si>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</si>
  <si>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</si>
  <si>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</si>
  <si>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</si>
  <si>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</si>
  <si>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</si>
  <si>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</si>
  <si>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</si>
  <si>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</si>
  <si>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</si>
  <si>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</si>
  <si>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</si>
  <si>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</si>
  <si>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</si>
  <si>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</si>
  <si>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</si>
  <si>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</si>
  <si>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</si>
  <si>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</si>
  <si>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</si>
  <si>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</si>
  <si>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</si>
  <si>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</si>
  <si>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</si>
  <si>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</si>
  <si>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</si>
  <si>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</si>
  <si>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</si>
  <si>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</si>
  <si>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</si>
  <si>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</si>
  <si>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</si>
  <si>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</si>
  <si>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</si>
  <si>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</si>
  <si>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</si>
  <si>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</si>
  <si>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</si>
  <si>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</si>
  <si>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</si>
  <si>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</si>
  <si>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</si>
  <si>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</si>
  <si>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</si>
  <si>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</si>
  <si>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</si>
  <si>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</si>
  <si>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</si>
  <si>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</si>
  <si>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</si>
  <si>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</si>
  <si>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</si>
  <si>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</si>
  <si>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</si>
  <si>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</si>
  <si>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</si>
  <si>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</si>
  <si>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</si>
  <si>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</si>
  <si>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</si>
  <si>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</si>
  <si>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</si>
  <si>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</si>
  <si>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</si>
  <si>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</si>
  <si>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</si>
  <si>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</si>
  <si>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</si>
  <si>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</si>
  <si>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</si>
  <si>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</si>
  <si>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</si>
  <si>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</si>
  <si>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</si>
  <si>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</si>
  <si>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</si>
  <si>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</si>
  <si>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</si>
  <si>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</si>
  <si>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</si>
  <si>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</si>
  <si>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</si>
  <si>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</si>
  <si>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</si>
  <si>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</si>
  <si>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</si>
  <si>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</si>
  <si>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</si>
  <si>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</si>
  <si>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</si>
  <si>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</si>
  <si>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</si>
  <si>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</si>
  <si>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</si>
  <si>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</si>
  <si>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</si>
  <si>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</si>
  <si>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</si>
  <si>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</si>
  <si>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</si>
  <si>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</si>
  <si>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</si>
  <si>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</si>
  <si>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</si>
  <si>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</si>
  <si>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</si>
  <si>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</si>
  <si>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</si>
  <si>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</si>
  <si>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</si>
  <si>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</si>
  <si>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</si>
  <si>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</si>
  <si>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</si>
  <si>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</si>
  <si>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</si>
  <si>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</si>
  <si>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</si>
  <si>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</si>
  <si>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</si>
  <si>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</si>
  <si>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</si>
  <si>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</si>
  <si>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</si>
  <si>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</si>
  <si>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</si>
  <si>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</si>
  <si>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</si>
  <si>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</si>
  <si>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</si>
  <si>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</si>
  <si>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</si>
  <si>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</si>
  <si>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</si>
  <si>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</si>
  <si>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</si>
  <si>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</si>
  <si>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</si>
  <si>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</si>
  <si>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</si>
  <si>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</si>
  <si>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</si>
  <si>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</si>
  <si>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</si>
  <si>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</si>
  <si>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</si>
  <si>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</si>
  <si>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</si>
  <si>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</si>
  <si>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</si>
  <si>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</si>
  <si>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</si>
  <si>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</si>
  <si>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</si>
  <si>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</si>
  <si>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</si>
  <si>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</si>
  <si>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</si>
  <si>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</si>
  <si>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</si>
  <si>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</si>
  <si>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</si>
  <si>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</si>
  <si>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</si>
  <si>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</si>
  <si>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</si>
  <si>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</si>
  <si>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</si>
  <si>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</si>
  <si>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</si>
  <si>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</si>
  <si>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</si>
  <si>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</si>
  <si>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</si>
  <si>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</si>
  <si>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</si>
  <si>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</si>
  <si>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</si>
  <si>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</si>
  <si>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</si>
  <si>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</si>
  <si>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</si>
  <si>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</si>
  <si>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</si>
  <si>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</si>
  <si>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</si>
  <si>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</si>
  <si>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</si>
  <si>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</si>
  <si>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</si>
  <si>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</si>
  <si>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</si>
  <si>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</si>
  <si>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</si>
  <si>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</si>
  <si>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</si>
  <si>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</si>
  <si>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</si>
  <si>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</si>
  <si>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</si>
  <si>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</si>
  <si>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</si>
  <si>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</si>
  <si>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</si>
  <si>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</si>
  <si>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</si>
  <si>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</si>
  <si>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</si>
  <si>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</si>
  <si>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</si>
  <si>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</si>
  <si>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</si>
  <si>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</si>
  <si>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</si>
  <si>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</si>
  <si>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</si>
  <si>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</si>
  <si>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</si>
  <si>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</si>
  <si>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</si>
  <si>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</si>
  <si>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</si>
  <si>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</si>
  <si>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</si>
  <si>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</si>
  <si>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</si>
  <si>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</si>
  <si>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</si>
  <si>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</si>
  <si>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</si>
  <si>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</si>
  <si>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</si>
  <si>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</si>
  <si>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</si>
  <si>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</si>
  <si>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</si>
  <si>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</si>
  <si>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</si>
  <si>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</si>
  <si>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</si>
  <si>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</si>
  <si>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</si>
  <si>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</si>
  <si>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</si>
  <si>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</si>
  <si>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</si>
  <si>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</si>
  <si>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</si>
  <si>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</si>
  <si>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</si>
  <si>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</si>
  <si>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</si>
  <si>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</si>
  <si>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</si>
  <si>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</si>
  <si>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</si>
  <si>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</si>
  <si>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</si>
  <si>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</si>
  <si>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</si>
  <si>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</si>
  <si>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</si>
  <si>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</si>
  <si>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</si>
  <si>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</si>
  <si>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</si>
  <si>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</si>
  <si>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</si>
  <si>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</si>
  <si>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</si>
  <si>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</si>
  <si>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</si>
  <si>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</si>
  <si>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</si>
  <si>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</si>
  <si>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</si>
  <si>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</si>
  <si>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</si>
  <si>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</si>
  <si>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</si>
  <si>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</si>
  <si>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</si>
  <si>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</si>
  <si>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</si>
  <si>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</si>
  <si>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</si>
  <si>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</si>
  <si>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</si>
  <si>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</si>
  <si>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</si>
  <si>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</si>
  <si>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</si>
  <si>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</si>
  <si>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</si>
  <si>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</si>
  <si>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</si>
  <si>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</si>
  <si>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</si>
  <si>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</si>
  <si>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</si>
  <si>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</si>
  <si>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</si>
  <si>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</si>
  <si>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</si>
  <si>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</si>
  <si>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</si>
  <si>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</si>
  <si>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</si>
  <si>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</si>
  <si>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</si>
  <si>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</si>
  <si>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</si>
  <si>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</si>
  <si>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</si>
  <si>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</si>
  <si>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</si>
  <si>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</si>
  <si>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</si>
  <si>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</si>
  <si>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</si>
  <si>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</si>
  <si>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</si>
  <si>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</si>
  <si>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</si>
  <si>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</si>
  <si>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</si>
  <si>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</si>
  <si>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</si>
  <si>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</si>
  <si>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</si>
  <si>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</si>
  <si>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</si>
  <si>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</si>
  <si>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</si>
  <si>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</si>
  <si>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</si>
  <si>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</si>
  <si>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</si>
  <si>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</si>
  <si>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</si>
  <si>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</si>
  <si>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</si>
  <si>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</si>
  <si>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</si>
  <si>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</si>
  <si>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</si>
  <si>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</si>
  <si>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</si>
  <si>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</si>
  <si>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</si>
  <si>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</si>
  <si>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</si>
  <si>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</si>
  <si>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</si>
  <si>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</si>
  <si>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</si>
  <si>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</si>
  <si>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</si>
  <si>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</si>
  <si>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</si>
  <si>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</si>
  <si>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</si>
  <si>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</si>
  <si>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</si>
  <si>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</si>
  <si>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</si>
  <si>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</si>
  <si>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</si>
  <si>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</si>
  <si>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</si>
  <si>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</si>
  <si>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</si>
  <si>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</si>
  <si>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</si>
  <si>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</si>
  <si>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</si>
  <si>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</si>
  <si>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</si>
  <si>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</si>
  <si>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</si>
  <si>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</si>
  <si>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</si>
  <si>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</si>
  <si>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</si>
  <si>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</si>
  <si>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</si>
  <si>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</si>
  <si>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</si>
  <si>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</si>
  <si>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</si>
  <si>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</si>
  <si>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</si>
  <si>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</si>
  <si>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</si>
  <si>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</si>
  <si>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</si>
  <si>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</si>
  <si>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</si>
  <si>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</si>
  <si>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</si>
  <si>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</si>
  <si>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</si>
  <si>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</si>
  <si>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</si>
  <si>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</si>
  <si>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</si>
  <si>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</si>
  <si>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</si>
  <si>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</si>
  <si>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</si>
  <si>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</si>
  <si>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</si>
  <si>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</si>
  <si>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</si>
  <si>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</si>
  <si>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</si>
  <si>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</si>
  <si>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</si>
  <si>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</si>
  <si>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</si>
  <si>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</si>
  <si>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</si>
  <si>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</si>
  <si>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</si>
  <si>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</si>
  <si>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</si>
  <si>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</si>
  <si>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</si>
  <si>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</si>
  <si>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</si>
  <si>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</si>
  <si>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</si>
  <si>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</si>
  <si>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</si>
  <si>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</si>
  <si>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</si>
  <si>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</si>
  <si>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</si>
  <si>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</si>
  <si>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</si>
  <si>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</si>
  <si>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</si>
  <si>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</si>
  <si>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</si>
  <si>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</si>
  <si>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</si>
  <si>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</si>
  <si>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</si>
  <si>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</si>
  <si>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</si>
  <si>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</si>
  <si>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</si>
  <si>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</si>
  <si>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</si>
  <si>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</si>
  <si>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</si>
  <si>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</si>
  <si>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</si>
  <si>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</si>
  <si>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</si>
  <si>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</si>
  <si>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</si>
  <si>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</si>
  <si>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</si>
  <si>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</si>
  <si>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</si>
  <si>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</si>
  <si>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</si>
  <si>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</si>
  <si>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</si>
  <si>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</si>
  <si>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</si>
  <si>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</si>
  <si>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</si>
  <si>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</si>
  <si>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</si>
  <si>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</si>
  <si>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</si>
  <si>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</si>
  <si>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</si>
  <si>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</si>
  <si>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</si>
  <si>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</si>
  <si>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</si>
  <si>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</si>
  <si>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</si>
  <si>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</si>
  <si>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</si>
  <si>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</si>
  <si>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</si>
  <si>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</si>
  <si>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</si>
  <si>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</si>
  <si>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</si>
  <si>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</si>
  <si>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</si>
  <si>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</si>
  <si>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</si>
  <si>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</si>
  <si>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</si>
  <si>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</si>
  <si>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</si>
  <si>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</si>
  <si>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</si>
  <si>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</si>
  <si>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</si>
  <si>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</si>
  <si>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</si>
  <si>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</si>
  <si>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</si>
  <si>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</si>
  <si>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</si>
  <si>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</si>
  <si>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</si>
  <si>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</si>
  <si>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</si>
  <si>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</si>
  <si>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</si>
  <si>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</si>
  <si>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</si>
  <si>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</si>
  <si>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</si>
  <si>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</si>
  <si>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</si>
  <si>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</si>
  <si>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</si>
  <si>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</si>
  <si>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</si>
  <si>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</si>
  <si>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</si>
  <si>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</si>
  <si>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</si>
  <si>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</si>
  <si>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</si>
  <si>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</si>
  <si>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</si>
  <si>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</si>
  <si>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</si>
  <si>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</si>
  <si>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</si>
  <si>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</si>
  <si>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</si>
  <si>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</si>
  <si>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</si>
  <si>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</si>
  <si>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</si>
  <si>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</si>
  <si>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</si>
  <si>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</si>
  <si>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</si>
  <si>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</si>
  <si>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</si>
  <si>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</si>
  <si>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</si>
  <si>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</si>
  <si>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</si>
  <si>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</si>
  <si>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</si>
  <si>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</si>
  <si>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</si>
  <si>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</si>
  <si>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</si>
  <si>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</si>
  <si>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</si>
  <si>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</si>
  <si>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</si>
  <si>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</si>
  <si>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</si>
  <si>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</si>
  <si>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</si>
  <si>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</si>
  <si>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</si>
  <si>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</si>
  <si>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</si>
  <si>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</si>
  <si>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</si>
  <si>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</si>
  <si>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</si>
  <si>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</si>
  <si>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</si>
  <si>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</si>
  <si>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</si>
  <si>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</si>
  <si>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</si>
  <si>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</si>
  <si>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</si>
  <si>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</si>
  <si>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</si>
  <si>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</si>
  <si>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</si>
  <si>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</si>
  <si>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</si>
  <si>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</si>
  <si>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</si>
  <si>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</si>
  <si>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</si>
  <si>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</si>
  <si>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</si>
  <si>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</si>
  <si>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</si>
  <si>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</si>
  <si>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</si>
  <si>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</si>
  <si>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</si>
  <si>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</si>
  <si>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</si>
  <si>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</si>
  <si>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</si>
  <si>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</si>
  <si>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</si>
  <si>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</si>
  <si>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</si>
  <si>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</si>
  <si>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</si>
  <si>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</si>
  <si>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</si>
  <si>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</si>
  <si>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</si>
  <si>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</si>
  <si>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</si>
  <si>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</si>
  <si>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</si>
  <si>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</si>
  <si>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</si>
  <si>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</si>
  <si>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</si>
  <si>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</si>
  <si>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</si>
  <si>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</si>
  <si>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</si>
  <si>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</si>
  <si>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</si>
  <si>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</si>
  <si>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</si>
  <si>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</si>
  <si>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</si>
  <si>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</si>
  <si>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</si>
  <si>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</si>
  <si>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</si>
  <si>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</si>
  <si>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</si>
  <si>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</si>
  <si>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</si>
  <si>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</si>
  <si>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</si>
  <si>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</si>
  <si>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</si>
  <si>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</si>
  <si>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</si>
  <si>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</si>
  <si>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</si>
  <si>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</si>
  <si>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</si>
  <si>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</si>
  <si>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</si>
  <si>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</si>
  <si>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</si>
  <si>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</si>
  <si>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</si>
  <si>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</si>
  <si>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</si>
  <si>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</si>
  <si>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</si>
  <si>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</si>
  <si>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</si>
  <si>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</si>
  <si>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</si>
  <si>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</si>
  <si>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</si>
  <si>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</si>
  <si>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</si>
  <si>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</si>
  <si>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</si>
  <si>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</si>
  <si>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</si>
  <si>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</si>
  <si>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</si>
  <si>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</si>
  <si>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</si>
  <si>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</si>
  <si>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</si>
  <si>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</si>
  <si>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</si>
  <si>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</si>
  <si>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</si>
  <si>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</si>
  <si>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</si>
  <si>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</si>
  <si>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</si>
  <si>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</si>
  <si>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</si>
  <si>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</si>
  <si>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</si>
  <si>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</si>
  <si>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</si>
  <si>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</si>
  <si>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</si>
  <si>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</si>
  <si>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</si>
  <si>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</si>
  <si>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</si>
  <si>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</si>
  <si>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</si>
  <si>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</si>
  <si>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</si>
  <si>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</si>
  <si>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</si>
  <si>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</si>
  <si>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</si>
  <si>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</si>
  <si>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</si>
  <si>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</si>
  <si>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</si>
  <si>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</si>
  <si>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</si>
  <si>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</si>
  <si>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</si>
  <si>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</si>
  <si>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</si>
  <si>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</si>
  <si>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</si>
  <si>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</si>
  <si>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</si>
  <si>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</si>
  <si>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</si>
  <si>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</si>
  <si>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</si>
  <si>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</si>
  <si>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</si>
  <si>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</si>
  <si>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</si>
  <si>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</si>
  <si>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</si>
  <si>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</si>
  <si>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</si>
  <si>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</si>
  <si>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</si>
  <si>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</si>
  <si>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</si>
  <si>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</si>
  <si>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</si>
  <si>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</si>
  <si>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</si>
  <si>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</si>
  <si>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</si>
  <si>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</si>
  <si>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</si>
  <si>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</si>
  <si>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</si>
  <si>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</si>
  <si>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</si>
  <si>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</si>
  <si>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</si>
  <si>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</si>
  <si>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</si>
  <si>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</si>
  <si>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</si>
  <si>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</si>
  <si>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</si>
  <si>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</si>
  <si>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</si>
  <si>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</si>
  <si>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</si>
  <si>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</si>
  <si>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</si>
  <si>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</si>
  <si>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</si>
  <si>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</si>
  <si>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</si>
  <si>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</si>
  <si>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</si>
  <si>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</si>
  <si>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</si>
  <si>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</si>
  <si>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</si>
  <si>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</si>
  <si>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</si>
  <si>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</si>
  <si>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</si>
  <si>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</si>
  <si>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</si>
  <si>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</si>
  <si>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</si>
  <si>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</si>
  <si>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</si>
  <si>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</si>
  <si>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</si>
  <si>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</si>
  <si>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</si>
  <si>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</si>
  <si>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</si>
  <si>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</si>
  <si>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</si>
  <si>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</si>
  <si>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</si>
  <si>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</si>
  <si>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</si>
  <si>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</si>
  <si>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</si>
  <si>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</si>
  <si>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</si>
  <si>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</si>
  <si>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</si>
  <si>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</si>
  <si>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</si>
  <si>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</si>
  <si>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</si>
  <si>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</si>
  <si>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</si>
  <si>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</si>
  <si>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</si>
  <si>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</si>
  <si>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</si>
  <si>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</si>
  <si>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</si>
  <si>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</si>
  <si>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</si>
  <si>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</si>
  <si>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</si>
  <si>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</si>
  <si>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</si>
  <si>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</si>
  <si>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</si>
  <si>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</si>
  <si>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</si>
  <si>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</si>
  <si>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</si>
  <si>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</si>
  <si>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</si>
  <si>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</si>
  <si>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</si>
  <si>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</si>
  <si>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</si>
  <si>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</si>
  <si>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</si>
  <si>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</si>
  <si>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</si>
  <si>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</si>
  <si>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</si>
  <si>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</si>
  <si>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</si>
  <si>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</si>
  <si>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</si>
  <si>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</si>
  <si>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</si>
  <si>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</si>
  <si>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</si>
  <si>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</si>
  <si>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</si>
  <si>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</si>
  <si>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</si>
  <si>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</si>
  <si>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</si>
  <si>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</si>
  <si>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</si>
  <si>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</si>
  <si>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</si>
  <si>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</si>
  <si>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</si>
  <si>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</si>
  <si>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</si>
  <si>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</si>
  <si>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</si>
  <si>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</si>
  <si>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</si>
  <si>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</si>
  <si>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</si>
  <si>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</si>
  <si>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</si>
  <si>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</si>
  <si>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</si>
  <si>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</si>
  <si>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</si>
  <si>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</si>
  <si>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</si>
  <si>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</si>
  <si>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</si>
  <si>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</si>
  <si>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</si>
  <si>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</si>
  <si>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</si>
  <si>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</si>
  <si>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</si>
  <si>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</si>
  <si>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</si>
  <si>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</si>
  <si>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</si>
  <si>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</si>
  <si>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</si>
  <si>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</si>
  <si>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</si>
  <si>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</si>
  <si>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</si>
  <si>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</si>
  <si>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</si>
  <si>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</si>
  <si>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</si>
  <si>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</si>
  <si>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</si>
  <si>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</si>
  <si>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</si>
  <si>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</si>
  <si>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</si>
  <si>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</si>
  <si>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</si>
  <si>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</si>
  <si>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</si>
  <si>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</si>
  <si>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</si>
  <si>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</si>
  <si>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</si>
  <si>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</si>
  <si>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</si>
  <si>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</si>
  <si>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</si>
  <si>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</si>
  <si>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</si>
  <si>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</si>
  <si>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</si>
  <si>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</si>
  <si>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</si>
  <si>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</si>
  <si>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</si>
  <si>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</si>
  <si>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</si>
  <si>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</si>
  <si>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</si>
  <si>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</si>
  <si>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</si>
  <si>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</si>
  <si>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</si>
  <si>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</si>
  <si>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</si>
  <si>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</si>
  <si>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</si>
  <si>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</si>
  <si>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</si>
  <si>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</si>
  <si>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</si>
  <si>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</si>
  <si>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</si>
  <si>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</si>
  <si>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</si>
  <si>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</si>
  <si>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</si>
  <si>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</si>
  <si>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</si>
  <si>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</si>
  <si>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</si>
  <si>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</si>
  <si>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</si>
  <si>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</si>
  <si>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</si>
  <si>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</si>
  <si>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</si>
  <si>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</si>
  <si>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</si>
  <si>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</si>
  <si>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</si>
  <si>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</si>
  <si>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</si>
  <si>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</si>
  <si>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</si>
  <si>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</si>
  <si>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</si>
  <si>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</si>
  <si>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</si>
  <si>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</si>
  <si>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</si>
  <si>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</si>
  <si>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</si>
  <si>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</si>
  <si>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</si>
  <si>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</si>
  <si>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</si>
  <si>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</si>
  <si>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</si>
  <si>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</si>
  <si>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</si>
  <si>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</si>
  <si>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</si>
  <si>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</si>
  <si>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</si>
  <si>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</si>
  <si>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</si>
  <si>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</si>
  <si>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</si>
  <si>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</si>
  <si>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</si>
  <si>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</si>
  <si>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</si>
  <si>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</si>
  <si>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</si>
  <si>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</si>
  <si>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</si>
  <si>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</si>
  <si>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</si>
  <si>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</si>
  <si>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</si>
  <si>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</si>
  <si>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</si>
  <si>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</si>
  <si>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</si>
  <si>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</si>
  <si>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</si>
  <si>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</si>
  <si>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</si>
  <si>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</si>
  <si>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</si>
  <si>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</si>
  <si>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</si>
  <si>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</si>
  <si>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</si>
  <si>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</si>
  <si>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</si>
  <si>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</si>
  <si>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</si>
  <si>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</si>
  <si>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</si>
  <si>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</si>
  <si>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</si>
  <si>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</si>
  <si>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</si>
  <si>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</si>
  <si>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</si>
  <si>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</si>
  <si>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</si>
  <si>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</si>
  <si>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</si>
  <si>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</si>
  <si>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</si>
  <si>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</si>
  <si>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</si>
  <si>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</si>
  <si>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</si>
  <si>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</si>
  <si>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</si>
  <si>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</si>
  <si>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</si>
  <si>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</si>
  <si>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</si>
  <si>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</si>
  <si>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</si>
  <si>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</si>
  <si>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</si>
  <si>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</si>
  <si>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</si>
  <si>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</si>
  <si>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</si>
  <si>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</si>
  <si>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</si>
  <si>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</si>
  <si>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</si>
  <si>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</si>
  <si>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</si>
  <si>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</si>
  <si>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</si>
  <si>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</si>
  <si>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</si>
  <si>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</si>
  <si>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</si>
  <si>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</si>
  <si>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</si>
  <si>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</si>
  <si>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</si>
  <si>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</si>
  <si>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</si>
  <si>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</si>
  <si>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</si>
  <si>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</si>
  <si>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</si>
  <si>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</si>
  <si>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</si>
  <si>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</si>
  <si>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</si>
  <si>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</si>
  <si>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</si>
  <si>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</si>
  <si>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</si>
  <si>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</si>
  <si>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</si>
  <si>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</si>
  <si>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</si>
  <si>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</si>
  <si>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</si>
  <si>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</si>
  <si>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</si>
  <si>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</si>
  <si>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</si>
  <si>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</si>
  <si>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</si>
  <si>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</si>
  <si>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</si>
  <si>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</si>
  <si>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</si>
  <si>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</si>
  <si>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</si>
  <si>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</si>
  <si>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</si>
  <si>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</si>
  <si>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</si>
  <si>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</si>
  <si>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</si>
  <si>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</si>
  <si>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</si>
  <si>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</si>
  <si>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</si>
  <si>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</si>
  <si>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</si>
  <si>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</si>
  <si>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</si>
  <si>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</si>
  <si>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</si>
  <si>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</si>
  <si>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</si>
  <si>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</si>
  <si>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</si>
  <si>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</si>
  <si>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</si>
  <si>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</si>
  <si>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</si>
  <si>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</si>
  <si>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</si>
  <si>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</si>
  <si>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</si>
  <si>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</si>
  <si>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</si>
  <si>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</si>
  <si>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</si>
  <si>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</si>
  <si>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</si>
  <si>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</si>
  <si>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</si>
  <si>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</si>
  <si>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</si>
  <si>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</si>
  <si>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</si>
  <si>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</si>
  <si>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</si>
  <si>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</si>
  <si>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</si>
  <si>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</si>
  <si>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</si>
  <si>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</si>
  <si>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</si>
  <si>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</si>
  <si>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</si>
  <si>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</si>
  <si>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</si>
  <si>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</si>
  <si>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</si>
  <si>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</si>
  <si>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</si>
  <si>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</si>
  <si>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</si>
  <si>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</si>
  <si>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</si>
  <si>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</si>
  <si>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</si>
  <si>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</si>
  <si>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</si>
  <si>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</si>
  <si>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</si>
  <si>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</si>
  <si>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</si>
  <si>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</si>
  <si>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</si>
  <si>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</si>
  <si>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</si>
  <si>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</si>
  <si>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</si>
  <si>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</si>
  <si>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</si>
  <si>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</si>
  <si>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</si>
  <si>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</si>
  <si>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</si>
  <si>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</si>
  <si>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</si>
  <si>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</si>
  <si>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</si>
  <si>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</si>
  <si>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</si>
  <si>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</si>
  <si>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</si>
  <si>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</si>
  <si>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</si>
  <si>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</si>
  <si>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</si>
  <si>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</si>
  <si>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</si>
  <si>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</si>
  <si>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</si>
  <si>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</si>
  <si>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</si>
  <si>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</si>
  <si>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</si>
  <si>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</si>
  <si>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</si>
  <si>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</si>
  <si>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</si>
  <si>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</si>
  <si>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</si>
  <si>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</si>
  <si>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</si>
  <si>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</si>
  <si>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</si>
  <si>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</si>
  <si>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</si>
  <si>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</si>
  <si>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</si>
  <si>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</si>
  <si>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</si>
  <si>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</si>
  <si>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</si>
  <si>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</si>
  <si>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</si>
  <si>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</si>
  <si>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</si>
  <si>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</si>
  <si>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</si>
  <si>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</si>
  <si>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</si>
  <si>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</si>
  <si>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</si>
  <si>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</si>
  <si>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</si>
  <si>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</si>
  <si>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</si>
  <si>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</si>
  <si>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</si>
  <si>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</si>
  <si>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</si>
  <si>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</si>
  <si>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</si>
  <si>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</si>
  <si>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</si>
  <si>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</si>
  <si>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</si>
  <si>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</si>
  <si>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</si>
  <si>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</si>
  <si>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</si>
  <si>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</si>
  <si>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</si>
  <si>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</si>
  <si>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</si>
  <si>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</si>
  <si>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</si>
  <si>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</si>
  <si>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</si>
  <si>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</si>
  <si>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</si>
  <si>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</si>
  <si>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</si>
  <si>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</si>
  <si>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</si>
  <si>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</si>
  <si>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</si>
  <si>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</si>
  <si>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</si>
  <si>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</si>
  <si>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</si>
  <si>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</si>
  <si>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</si>
  <si>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</si>
  <si>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</si>
  <si>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</si>
  <si>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</si>
  <si>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</si>
  <si>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</si>
  <si>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</si>
  <si>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</si>
  <si>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</si>
  <si>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</si>
  <si>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</si>
  <si>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</si>
  <si>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</si>
  <si>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</si>
  <si>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</si>
  <si>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</si>
  <si>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</si>
  <si>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</si>
  <si>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</si>
  <si>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</si>
  <si>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</si>
  <si>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</si>
  <si>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</si>
  <si>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</si>
  <si>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</si>
  <si>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</si>
  <si>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</si>
  <si>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</si>
  <si>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</si>
  <si>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</si>
  <si>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</si>
  <si>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</si>
  <si>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</si>
  <si>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</si>
  <si>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</si>
  <si>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</si>
  <si>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</si>
  <si>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</si>
  <si>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</si>
  <si>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</si>
  <si>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</si>
  <si>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</si>
  <si>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</si>
  <si>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</si>
  <si>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</si>
  <si>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</si>
  <si>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</si>
  <si>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</si>
  <si>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</si>
  <si>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</si>
  <si>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</si>
  <si>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</si>
  <si>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</si>
  <si>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</si>
  <si>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</si>
  <si>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</si>
  <si>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</si>
  <si>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</si>
  <si>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</si>
  <si>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</si>
  <si>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</si>
  <si>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</si>
  <si>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</si>
  <si>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</si>
  <si>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</si>
  <si>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</si>
  <si>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</si>
  <si>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</si>
  <si>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</si>
  <si>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</si>
  <si>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</si>
  <si>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</si>
  <si>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</si>
  <si>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</si>
  <si>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</si>
  <si>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</si>
  <si>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</si>
  <si>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</si>
  <si>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</si>
  <si>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</si>
  <si>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</si>
  <si>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</si>
  <si>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</si>
  <si>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</si>
  <si>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</si>
  <si>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</si>
  <si>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</si>
  <si>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</si>
  <si>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</si>
  <si>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</si>
  <si>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</si>
  <si>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</si>
  <si>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</si>
  <si>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</si>
  <si>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</si>
  <si>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</si>
  <si>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</si>
  <si>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</si>
  <si>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</si>
  <si>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</si>
  <si>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</si>
  <si>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</si>
  <si>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</si>
  <si>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</si>
  <si>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</si>
  <si>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</si>
  <si>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</si>
  <si>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</si>
  <si>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</si>
  <si>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</si>
  <si>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</si>
  <si>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</si>
  <si>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</si>
  <si>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</si>
  <si>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</si>
  <si>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</si>
  <si>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</si>
  <si>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</si>
  <si>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</si>
  <si>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</si>
  <si>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</si>
  <si>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</si>
  <si>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</si>
  <si>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</si>
  <si>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</si>
  <si>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</si>
  <si>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</si>
  <si>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</si>
  <si>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</si>
  <si>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</si>
  <si>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</si>
  <si>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</si>
  <si>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</si>
  <si>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</si>
  <si>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</si>
  <si>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</si>
  <si>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</si>
  <si>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</si>
  <si>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</si>
  <si>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</si>
  <si>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</si>
  <si>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</si>
  <si>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</si>
  <si>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</si>
  <si>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</si>
  <si>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</si>
  <si>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</si>
  <si>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</si>
  <si>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</si>
  <si>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</si>
  <si>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</si>
  <si>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</si>
  <si>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</si>
  <si>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</si>
  <si>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</si>
  <si>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</si>
  <si>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</si>
  <si>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</si>
  <si>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</si>
  <si>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</si>
  <si>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</si>
  <si>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</si>
  <si>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</si>
  <si>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</si>
  <si>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</si>
  <si>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</si>
  <si>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</si>
  <si>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</si>
  <si>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</si>
  <si>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</si>
  <si>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</si>
  <si>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</si>
  <si>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</si>
  <si>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</si>
  <si>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</si>
  <si>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</si>
  <si>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</si>
  <si>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</si>
  <si>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</si>
  <si>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</si>
  <si>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</si>
  <si>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</si>
  <si>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</si>
  <si>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</si>
  <si>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</si>
  <si>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</si>
  <si>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</si>
  <si>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</si>
  <si>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</si>
  <si>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</si>
  <si>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</si>
  <si>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</si>
  <si>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</si>
  <si>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</si>
  <si>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</si>
  <si>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</si>
  <si>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</si>
  <si>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</si>
  <si>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</si>
  <si>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</si>
  <si>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</si>
  <si>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</si>
  <si>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</si>
  <si>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</si>
  <si>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</si>
  <si>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</si>
  <si>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</si>
  <si>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</si>
  <si>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</si>
  <si>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</si>
  <si>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</si>
  <si>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</si>
  <si>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</si>
  <si>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</si>
  <si>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</si>
  <si>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</si>
  <si>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</si>
  <si>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</si>
  <si>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</si>
  <si>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</si>
  <si>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</si>
  <si>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</si>
  <si>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</si>
  <si>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</si>
  <si>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</si>
  <si>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</si>
  <si>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</si>
  <si>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</si>
  <si>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</si>
  <si>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</si>
  <si>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</si>
  <si>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</si>
  <si>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</si>
  <si>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</si>
  <si>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</si>
  <si>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</si>
  <si>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</si>
  <si>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</si>
  <si>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</si>
  <si>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</si>
  <si>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</si>
  <si>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</si>
  <si>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</si>
  <si>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</si>
  <si>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</si>
  <si>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</si>
  <si>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</si>
  <si>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</si>
  <si>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</si>
  <si>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</si>
  <si>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</si>
  <si>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</si>
  <si>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</si>
  <si>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</si>
  <si>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</si>
  <si>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</si>
  <si>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</si>
  <si>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</si>
  <si>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</si>
  <si>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</si>
  <si>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</si>
  <si>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</si>
  <si>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</si>
  <si>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</si>
  <si>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</si>
  <si>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</si>
  <si>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</si>
  <si>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</si>
  <si>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</si>
  <si>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</si>
  <si>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</si>
  <si>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</si>
  <si>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</si>
  <si>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</si>
  <si>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</si>
  <si>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</si>
  <si>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</si>
  <si>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</si>
  <si>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</si>
  <si>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</si>
  <si>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</si>
  <si>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</si>
  <si>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</si>
  <si>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</si>
  <si>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</si>
  <si>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</si>
  <si>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</si>
  <si>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</si>
  <si>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</si>
  <si>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</si>
  <si>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</si>
  <si>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</si>
  <si>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</si>
  <si>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</si>
  <si>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</si>
  <si>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</si>
  <si>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</si>
  <si>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</si>
  <si>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</si>
  <si>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</si>
  <si>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</si>
  <si>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</si>
  <si>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</si>
  <si>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</si>
  <si>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</si>
  <si>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</si>
  <si>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</si>
  <si>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</si>
  <si>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</si>
  <si>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</si>
  <si>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</si>
  <si>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</si>
  <si>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</si>
  <si>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</si>
  <si>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</si>
  <si>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</si>
  <si>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</si>
  <si>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</si>
  <si>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</si>
  <si>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</si>
  <si>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</si>
  <si>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</si>
  <si>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</si>
  <si>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</si>
  <si>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</si>
  <si>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</si>
  <si>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</si>
  <si>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</si>
  <si>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</si>
  <si>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</si>
  <si>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</si>
  <si>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</si>
  <si>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</si>
  <si>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</si>
  <si>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</si>
  <si>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</si>
  <si>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</si>
  <si>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</si>
  <si>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</si>
  <si>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</si>
  <si>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</si>
  <si>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</si>
  <si>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</si>
  <si>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</si>
  <si>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</si>
  <si>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</si>
  <si>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</si>
  <si>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</si>
  <si>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</si>
  <si>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</si>
  <si>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</si>
  <si>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</si>
  <si>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</si>
  <si>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</si>
  <si>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</si>
  <si>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</si>
  <si>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</si>
  <si>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</si>
  <si>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</si>
  <si>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</si>
  <si>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</si>
  <si>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</si>
  <si>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</si>
  <si>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</si>
  <si>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</si>
  <si>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</si>
  <si>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</si>
  <si>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</si>
  <si>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</si>
  <si>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</si>
  <si>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</si>
  <si>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</si>
  <si>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</si>
  <si>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</si>
  <si>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</si>
  <si>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</si>
  <si>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</si>
  <si>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</si>
  <si>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</si>
  <si>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</si>
  <si>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</si>
  <si>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</si>
  <si>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</si>
  <si>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</si>
  <si>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</si>
  <si>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</si>
  <si>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</si>
  <si>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</si>
  <si>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</si>
  <si>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</si>
  <si>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</si>
  <si>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</si>
  <si>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</si>
  <si>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</si>
  <si>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</si>
  <si>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</si>
  <si>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</si>
  <si>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</si>
  <si>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</si>
  <si>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</si>
  <si>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</si>
  <si>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</si>
  <si>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</si>
  <si>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</si>
  <si>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</si>
  <si>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</si>
  <si>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</si>
  <si>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</si>
  <si>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</si>
  <si>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</si>
  <si>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</si>
  <si>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</si>
  <si>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</si>
  <si>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</si>
  <si>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</si>
  <si>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</si>
  <si>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</si>
  <si>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</si>
  <si>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</si>
  <si>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</si>
  <si>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</si>
  <si>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</si>
  <si>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</si>
  <si>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</si>
  <si>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</si>
  <si>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</si>
  <si>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</si>
  <si>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</si>
  <si>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</si>
  <si>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</si>
  <si>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</si>
  <si>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</si>
  <si>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</si>
  <si>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</si>
  <si>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</si>
  <si>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</si>
  <si>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</si>
  <si>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</si>
  <si>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</si>
  <si>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</si>
  <si>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</si>
  <si>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</si>
  <si>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</si>
  <si>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</si>
  <si>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</si>
  <si>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</si>
  <si>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</si>
  <si>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</si>
  <si>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</si>
  <si>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</si>
  <si>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</si>
  <si>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</si>
  <si>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</si>
  <si>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</si>
  <si>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</si>
  <si>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</si>
  <si>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</si>
  <si>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</si>
  <si>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</si>
  <si>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</si>
  <si>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</si>
  <si>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</si>
  <si>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</si>
  <si>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</si>
  <si>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</si>
  <si>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</si>
  <si>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</si>
  <si>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</si>
  <si>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</si>
  <si>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</si>
  <si>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</si>
  <si>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</si>
  <si>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</si>
  <si>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</si>
  <si>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</si>
  <si>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</si>
  <si>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</si>
  <si>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</si>
  <si>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</si>
  <si>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</si>
  <si>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</si>
  <si>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</si>
  <si>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</si>
  <si>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</si>
  <si>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</si>
  <si>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</si>
  <si>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</si>
  <si>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</si>
  <si>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</si>
  <si>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</si>
  <si>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</si>
  <si>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</si>
  <si>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</si>
  <si>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</si>
  <si>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</si>
  <si>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</si>
  <si>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</si>
  <si>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</si>
  <si>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</si>
  <si>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</si>
  <si>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</si>
  <si>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</si>
  <si>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</si>
  <si>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</si>
  <si>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</si>
  <si>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</si>
  <si>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</si>
  <si>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</si>
  <si>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</si>
  <si>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</si>
  <si>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</si>
  <si>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</si>
  <si>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</si>
  <si>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</si>
  <si>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</si>
  <si>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</si>
  <si>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</si>
  <si>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</si>
  <si>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</si>
  <si>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</si>
  <si>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</si>
  <si>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</si>
  <si>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</si>
  <si>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</si>
  <si>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</si>
  <si>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</si>
  <si>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</si>
  <si>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</si>
  <si>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</si>
  <si>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</si>
  <si>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</si>
  <si>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</si>
  <si>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</si>
  <si>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</si>
  <si>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</si>
  <si>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</si>
  <si>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</si>
  <si>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</si>
  <si>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</si>
  <si>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</si>
  <si>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</si>
  <si>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</si>
  <si>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</si>
  <si>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</si>
  <si>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</si>
  <si>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</si>
  <si>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</si>
  <si>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</si>
  <si>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</si>
  <si>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</si>
  <si>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</si>
  <si>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</si>
  <si>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</si>
  <si>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</si>
  <si>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</si>
  <si>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</si>
  <si>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</si>
  <si>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</si>
  <si>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</si>
  <si>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</si>
  <si>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</si>
  <si>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</si>
  <si>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</si>
  <si>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</si>
  <si>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</si>
  <si>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</si>
  <si>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</si>
  <si>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</si>
  <si>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</si>
  <si>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</si>
  <si>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</si>
  <si>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</si>
  <si>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</si>
  <si>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</si>
  <si>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</si>
  <si>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</si>
  <si>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</si>
  <si>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</si>
  <si>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</si>
  <si>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</si>
  <si>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</si>
  <si>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</si>
  <si>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</si>
  <si>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</si>
  <si>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</si>
  <si>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</si>
  <si>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</si>
  <si>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</si>
  <si>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</si>
  <si>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</si>
  <si>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</si>
  <si>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</si>
  <si>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</si>
  <si>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</si>
  <si>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</si>
  <si>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</si>
  <si>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</si>
  <si>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</si>
  <si>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</si>
  <si>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</si>
  <si>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</si>
  <si>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</si>
  <si>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</si>
  <si>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</si>
  <si>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</si>
  <si>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</si>
  <si>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</si>
  <si>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</si>
  <si>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</si>
  <si>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</si>
  <si>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</si>
  <si>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</si>
  <si>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</si>
  <si>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</si>
  <si>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</si>
  <si>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</si>
  <si>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</si>
  <si>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</si>
  <si>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</si>
  <si>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</si>
  <si>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</si>
  <si>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</si>
  <si>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</si>
  <si>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</si>
  <si>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</si>
  <si>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</si>
  <si>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</si>
  <si>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</si>
  <si>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</si>
  <si>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</si>
  <si>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</si>
  <si>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</si>
  <si>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</si>
  <si>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</si>
  <si>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</si>
  <si>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</si>
  <si>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</si>
  <si>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</si>
  <si>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</si>
  <si>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</si>
  <si>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</si>
  <si>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</si>
  <si>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</si>
  <si>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</si>
  <si>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</si>
  <si>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</si>
  <si>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</si>
  <si>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</si>
  <si>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</si>
  <si>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出让</t>
  </si>
  <si>
    <t>Ⅶ-房1</t>
  </si>
  <si>
    <t>1#</t>
    <phoneticPr fontId="3" type="noConversion"/>
  </si>
  <si>
    <t>2#</t>
    <phoneticPr fontId="3" type="noConversion"/>
  </si>
  <si>
    <t>3#</t>
    <phoneticPr fontId="3" type="noConversion"/>
  </si>
  <si>
    <t>4#</t>
    <phoneticPr fontId="3" type="noConversion"/>
  </si>
  <si>
    <t>5#</t>
    <phoneticPr fontId="3" type="noConversion"/>
  </si>
  <si>
    <t>是</t>
  </si>
  <si>
    <t>地上</t>
  </si>
  <si>
    <r>
      <t>1</t>
    </r>
    <r>
      <rPr>
        <sz val="11"/>
        <color theme="1"/>
        <rFont val="宋体"/>
        <family val="3"/>
        <charset val="134"/>
        <scheme val="minor"/>
      </rPr>
      <t>#</t>
    </r>
    <phoneticPr fontId="140" type="noConversion"/>
  </si>
  <si>
    <r>
      <t>2</t>
    </r>
    <r>
      <rPr>
        <sz val="11"/>
        <color theme="1"/>
        <rFont val="宋体"/>
        <family val="3"/>
        <charset val="134"/>
        <scheme val="minor"/>
      </rPr>
      <t>#</t>
    </r>
    <phoneticPr fontId="140" type="noConversion"/>
  </si>
  <si>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</si>
  <si>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</si>
  <si>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</si>
  <si>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t>面积</t>
    <phoneticPr fontId="140" type="noConversion"/>
  </si>
  <si>
    <t>楼层</t>
    <phoneticPr fontId="140" type="noConversion"/>
  </si>
  <si>
    <t>结构</t>
    <phoneticPr fontId="140" type="noConversion"/>
  </si>
  <si>
    <t>建成年代</t>
    <phoneticPr fontId="140" type="noConversion"/>
  </si>
  <si>
    <t>用途</t>
    <phoneticPr fontId="140" type="noConversion"/>
  </si>
  <si>
    <t>砖混</t>
    <phoneticPr fontId="140" type="noConversion"/>
  </si>
  <si>
    <t>办公</t>
    <phoneticPr fontId="140" type="noConversion"/>
  </si>
  <si>
    <t>钢</t>
  </si>
  <si>
    <t>钢</t>
    <phoneticPr fontId="140" type="noConversion"/>
  </si>
  <si>
    <t>综合</t>
    <phoneticPr fontId="140" type="noConversion"/>
  </si>
  <si>
    <t>商业、仓储</t>
    <phoneticPr fontId="140" type="noConversion"/>
  </si>
  <si>
    <t>办公</t>
    <phoneticPr fontId="7" type="noConversion"/>
  </si>
  <si>
    <t>成新度</t>
  </si>
  <si>
    <t>收益法</t>
  </si>
  <si>
    <t>押一</t>
  </si>
  <si>
    <t>按租金收入计税</t>
  </si>
  <si>
    <t>非生产用房</t>
  </si>
  <si>
    <t>商务金融用地（办公类）</t>
  </si>
  <si>
    <t>不临58条商业街</t>
  </si>
  <si>
    <t>通路</t>
  </si>
  <si>
    <t>通电</t>
  </si>
  <si>
    <t>通讯</t>
  </si>
  <si>
    <t>通上水</t>
  </si>
  <si>
    <t>通下水</t>
  </si>
  <si>
    <t>平整</t>
  </si>
  <si>
    <t>与级别开发程度不一致</t>
  </si>
  <si>
    <t>按公示增长率计算</t>
  </si>
  <si>
    <t>容积率修正</t>
  </si>
  <si>
    <t>一般</t>
  </si>
  <si>
    <t>较好</t>
  </si>
  <si>
    <t>好</t>
  </si>
  <si>
    <t>未包含在土地购买价格中</t>
  </si>
  <si>
    <t>全部缴纳</t>
  </si>
  <si>
    <t>已包含在土地取得成本中</t>
  </si>
  <si>
    <t>成本法</t>
  </si>
  <si>
    <t>总价</t>
  </si>
  <si>
    <t>成本比率</t>
  </si>
  <si>
    <t>起</t>
    <phoneticPr fontId="140" type="noConversion"/>
  </si>
  <si>
    <t>止</t>
    <phoneticPr fontId="140" type="noConversion"/>
  </si>
  <si>
    <t>利息：取LPR加浮动点数</t>
  </si>
  <si>
    <t>崔锴</t>
  </si>
  <si>
    <t>郑燚</t>
  </si>
  <si>
    <t>北京多维物业管理有限公司</t>
    <phoneticPr fontId="6" type="noConversion"/>
  </si>
  <si>
    <t>交通银行北清路支行</t>
    <phoneticPr fontId="6" type="noConversion"/>
  </si>
  <si>
    <t>北京市</t>
  </si>
  <si>
    <r>
      <rPr>
        <sz val="10"/>
        <color theme="9" tint="-0.249977111117893"/>
        <rFont val="宋体"/>
        <family val="3"/>
        <charset val="134"/>
      </rPr>
      <t>房山区昊天北大街</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</si>
  <si>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企业</t>
  </si>
  <si>
    <t>否</t>
  </si>
  <si>
    <t>复印件</t>
  </si>
  <si>
    <t>现房</t>
  </si>
  <si>
    <t>需扣减承租人权益</t>
  </si>
  <si>
    <t>楼号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</si>
</sst>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14" fontId="0" fillId="0" borderId="0" xfId="0" applyNumberFormat="1">
      <alignment vertical="center"/>
    </xf>
    <xf numFmtId="0" fontId="0" fillId="0" borderId="0" xfId="0" applyNumberFormat="1">
      <alignment vertical="center"/>
    </xf>
    <xf numFmtId="14" fontId="98" fillId="0" borderId="0" xfId="0" applyNumberFormat="1" applyFont="1">
      <alignment vertical="center"/>
    </xf>
    <xf numFmtId="181" fontId="46" fillId="17" borderId="5" xfId="0" applyNumberFormat="1" applyFont="1" applyFill="1" applyBorder="1" applyAlignment="1" applyProtection="1">
      <alignment vertical="center"/>
      <protection locked="0"/>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0</xdr:row>
      <xdr:rowOff>123826</xdr:rowOff>
    </xdr:from>
    <xdr:to>
      <xdr:col>10</xdr:col>
      <xdr:colOff>57150</xdr:colOff>
      <xdr:row>30</xdr:row>
      <xdr:rowOff>15876</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123826"/>
          <a:ext cx="6562725" cy="5035550"/>
        </a:xfrm>
        <a:prstGeom prst="rect">
          <a:avLst/>
        </a:prstGeom>
      </xdr:spPr>
    </xdr:pic>
    <xdr:clientData/>
  </xdr:twoCellAnchor>
  <xdr:twoCellAnchor editAs="oneCell">
    <xdr:from>
      <xdr:col>0</xdr:col>
      <xdr:colOff>371475</xdr:colOff>
      <xdr:row>30</xdr:row>
      <xdr:rowOff>47625</xdr:rowOff>
    </xdr:from>
    <xdr:to>
      <xdr:col>10</xdr:col>
      <xdr:colOff>200025</xdr:colOff>
      <xdr:row>60</xdr:row>
      <xdr:rowOff>35663</xdr:rowOff>
    </xdr:to>
    <xdr:pic>
      <xdr:nvPicPr>
        <xdr:cNvPr id="3" name="图片 2"/>
        <xdr:cNvPicPr>
          <a:picLocks noChangeAspect="1"/>
        </xdr:cNvPicPr>
      </xdr:nvPicPr>
      <xdr:blipFill>
        <a:blip xmlns:r="http://schemas.openxmlformats.org/officeDocument/2006/relationships" r:embed="rId2"/>
        <a:stretch>
          <a:fillRect/>
        </a:stretch>
      </xdr:blipFill>
      <xdr:spPr>
        <a:xfrm>
          <a:off x="371475" y="5191125"/>
          <a:ext cx="6686550" cy="5131538"/>
        </a:xfrm>
        <a:prstGeom prst="rect">
          <a:avLst/>
        </a:prstGeom>
      </xdr:spPr>
    </xdr:pic>
    <xdr:clientData/>
  </xdr:twoCellAnchor>
  <xdr:twoCellAnchor editAs="oneCell">
    <xdr:from>
      <xdr:col>10</xdr:col>
      <xdr:colOff>123825</xdr:colOff>
      <xdr:row>1</xdr:row>
      <xdr:rowOff>19050</xdr:rowOff>
    </xdr:from>
    <xdr:to>
      <xdr:col>19</xdr:col>
      <xdr:colOff>294117</xdr:colOff>
      <xdr:row>21</xdr:row>
      <xdr:rowOff>155665</xdr:rowOff>
    </xdr:to>
    <xdr:pic>
      <xdr:nvPicPr>
        <xdr:cNvPr id="4" name="图片 3"/>
        <xdr:cNvPicPr>
          <a:picLocks noChangeAspect="1"/>
        </xdr:cNvPicPr>
      </xdr:nvPicPr>
      <xdr:blipFill>
        <a:blip xmlns:r="http://schemas.openxmlformats.org/officeDocument/2006/relationships" r:embed="rId3"/>
        <a:stretch>
          <a:fillRect/>
        </a:stretch>
      </xdr:blipFill>
      <xdr:spPr>
        <a:xfrm>
          <a:off x="6981825" y="190500"/>
          <a:ext cx="6342492" cy="35656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北京市房山区昊天北大街9号院1号楼房地产抵押价值预评估</v>
      </c>
    </row>
    <row r="3" spans="1:2" s="1365" customFormat="1">
      <c r="A3" s="1363" t="s">
        <v>1188</v>
      </c>
      <c r="B3" s="1364" t="str">
        <f>'预评函-封皮'!B40</f>
        <v>北京多维物业管理有限公司</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受贵公司委托，我公司对北京市房山区昊天北大街9号院1号楼房地产抵押价值进行了预评估。</v>
      </c>
    </row>
    <row r="7" spans="1:2" s="1365" customFormat="1">
      <c r="A7" s="1363" t="s">
        <v>1231</v>
      </c>
      <c r="B7" s="1364" t="str">
        <f>'预评函-1'!A7</f>
        <v>估价对象为北京市房山区昊天北大街9号院1号楼房地产，为北京多维物业管理有限公司所有。根据《国有土地使用证》[]，估价对象（分摊）出让国有建设用地使用权面积为19918.64平方米，建筑面积为12608.4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山区昊天北大街9号院1号楼房地产,属北京多维物业管理有限公司开发建设的，该项目尚在开发建设中。根据《国有土地使用证》[]，估价对象（分摊）出让国有建设用地使用权面积为19918.64平方米，规划建筑面积为12608.4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为估价委托人在向交通银行北清路支行办理贷款手续过程中，确定房地产抵押贷款额度提供参考依据而评估房地产抵押价值。</v>
      </c>
    </row>
    <row r="12" spans="1:2" s="1365" customFormat="1">
      <c r="A12" s="1363" t="s">
        <v>1193</v>
      </c>
      <c r="B12" s="1364" t="str">
        <f>'预评函-1'!A15</f>
        <v>2021年8月26日（评估专业人员实地查勘之日）</v>
      </c>
    </row>
    <row r="13" spans="1:2" s="1365" customFormat="1">
      <c r="A13" s="1363" t="s">
        <v>1194</v>
      </c>
      <c r="B13" s="1364" t="str">
        <f>'预评函-1'!A18</f>
        <v>本次估价的“房地产价值”是指在正常市场情况下，在价值时点2021年8月26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24534</v>
      </c>
    </row>
    <row r="21" spans="1:2" s="1365" customFormat="1">
      <c r="A21" s="1363" t="s">
        <v>1202</v>
      </c>
      <c r="B21" s="1364">
        <f ca="1">'预评函-2'!D7</f>
        <v>19458</v>
      </c>
    </row>
    <row r="22" spans="1:2" s="1365" customFormat="1">
      <c r="A22" s="1363" t="s">
        <v>1203</v>
      </c>
      <c r="B22" s="1364" t="str">
        <f ca="1">'预评函-2'!D6</f>
        <v>贰亿肆仟伍佰叁拾肆万元整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24534</v>
      </c>
    </row>
    <row r="31" spans="1:2" s="1365" customFormat="1">
      <c r="A31" s="1363" t="s">
        <v>1241</v>
      </c>
      <c r="B31" s="1364">
        <f ca="1">'预评函-2'!D15</f>
        <v>19458</v>
      </c>
    </row>
    <row r="32" spans="1:2" s="1365" customFormat="1">
      <c r="A32" s="1363" t="s">
        <v>1208</v>
      </c>
      <c r="B32" s="1364" t="str">
        <f ca="1">'预评函-2'!D14</f>
        <v>贰亿肆仟伍佰叁拾肆万元整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北京市房山区昊天北大街9号院1号楼房地产</v>
      </c>
    </row>
    <row r="42" spans="1:2" s="1365" customFormat="1">
      <c r="A42" s="1363" t="s">
        <v>1255</v>
      </c>
      <c r="B42" s="1364" t="str">
        <f>'预评函-3'!B2</f>
        <v>建筑面积</v>
      </c>
    </row>
    <row r="43" spans="1:2" s="1365" customFormat="1">
      <c r="A43" s="1363" t="s">
        <v>1256</v>
      </c>
      <c r="B43" s="1364">
        <f>'预评函-3'!B4</f>
        <v>12608.400000000001</v>
      </c>
    </row>
    <row r="44" spans="1:2" s="1365" customFormat="1">
      <c r="A44" s="1363" t="s">
        <v>1240</v>
      </c>
      <c r="B44" s="1364" t="str">
        <f>'预评函-3'!C2</f>
        <v>(分摊)土地面积</v>
      </c>
    </row>
    <row r="45" spans="1:2" s="1365" customFormat="1">
      <c r="A45" s="1363" t="s">
        <v>1212</v>
      </c>
      <c r="B45" s="1364">
        <f>'预评函-3'!C4</f>
        <v>19918.64</v>
      </c>
    </row>
    <row r="46" spans="1:2" s="1365" customFormat="1">
      <c r="A46" s="1363" t="s">
        <v>1238</v>
      </c>
      <c r="B46" s="1364" t="str">
        <f>'预评函-3'!D2</f>
        <v>出让国有建设用地使用权价值</v>
      </c>
    </row>
    <row r="47" spans="1:2" s="1365" customFormat="1">
      <c r="A47" s="1363" t="s">
        <v>1213</v>
      </c>
      <c r="B47" s="1364">
        <f ca="1">'预评函-3'!D4</f>
        <v>21664</v>
      </c>
    </row>
    <row r="48" spans="1:2" s="1365" customFormat="1">
      <c r="A48" s="1363" t="s">
        <v>1214</v>
      </c>
      <c r="B48" s="1364">
        <f ca="1">'预评函-3'!E4</f>
        <v>17182</v>
      </c>
    </row>
    <row r="49" spans="1:2" s="1365" customFormat="1">
      <c r="A49" s="1363" t="s">
        <v>1215</v>
      </c>
      <c r="B49" s="1364" t="str">
        <f ca="1">'预评函-3'!D5</f>
        <v>贰亿壹仟陆佰陆拾肆万元整</v>
      </c>
    </row>
    <row r="50" spans="1:2" s="1365" customFormat="1">
      <c r="A50" s="1363" t="s">
        <v>1239</v>
      </c>
      <c r="B50" s="1364" t="str">
        <f>'预评函-3'!F2</f>
        <v>在建建筑物价值</v>
      </c>
    </row>
    <row r="51" spans="1:2" s="1365" customFormat="1">
      <c r="A51" s="1363" t="s">
        <v>1216</v>
      </c>
      <c r="B51" s="1364">
        <f ca="1">'预评函-3'!F4</f>
        <v>2870</v>
      </c>
    </row>
    <row r="52" spans="1:2" s="1365" customFormat="1">
      <c r="A52" s="1363" t="s">
        <v>1217</v>
      </c>
      <c r="B52" s="1364">
        <f ca="1">'预评函-3'!G4</f>
        <v>2276</v>
      </c>
    </row>
    <row r="53" spans="1:2" s="1365" customFormat="1">
      <c r="A53" s="1363" t="s">
        <v>1245</v>
      </c>
      <c r="B53" s="1364" t="str">
        <f ca="1">'预评函-3'!F5</f>
        <v>贰仟捌佰柒拾万元整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（1）根据估价对象《房屋所有权证》复印件、《国有土地使用权》复印件，截至价值时点，估价对象抵押权未见登记。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3037</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为估价委托人在向交通银行北清路支行办理贷款手续过程中，确定房地产抵押贷款额度提供参考依据而评估房地产抵押价值。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多维物业管理有限公司拟使用北京市房山区昊天北大街9号院1号楼房地产作为抵押担保物，向交通银行北清路支行办理贷款手续。交通银行北清路支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9"/>
      <c r="B54" s="1739" t="s">
        <v>832</v>
      </c>
      <c r="C54" s="1736" t="s">
        <v>1248</v>
      </c>
    </row>
    <row r="55" spans="1:4">
      <c r="A55" s="3109"/>
      <c r="B55" s="1739" t="s">
        <v>833</v>
      </c>
      <c r="C55" s="1736" t="s">
        <v>1249</v>
      </c>
    </row>
    <row r="56" spans="1:4">
      <c r="A56" s="3109"/>
      <c r="B56" s="1739" t="s">
        <v>834</v>
      </c>
      <c r="C56" s="1736" t="s">
        <v>1253</v>
      </c>
    </row>
    <row r="57" spans="1:4">
      <c r="A57" s="310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F15" sqref="F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2912</v>
      </c>
      <c r="B1" s="3118" t="str">
        <f>IF(B10="北京市","北京市",C10)&amp;F10&amp;IF(结果表!G1="在建","出让国有建设用地使用权及在建建筑物",IF(结果表!G1="土地","出让国有建设用地使用权",))&amp;B9&amp;"预评估"</f>
        <v>北京市房山区昊天北大街9号院1号楼房地产抵押价值预评估</v>
      </c>
      <c r="C1" s="3119"/>
      <c r="D1" s="3119"/>
      <c r="E1" s="3119"/>
      <c r="F1" s="3119"/>
      <c r="G1" s="3119"/>
      <c r="H1" s="3119"/>
      <c r="I1" s="3120"/>
      <c r="J1" s="2695"/>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北京市房山区昊天北大街9号院1号楼房地产抵押价值</v>
      </c>
      <c r="T1" s="1931"/>
      <c r="U1" s="1931"/>
      <c r="V1" s="1931"/>
      <c r="W1" s="1931"/>
      <c r="X1" s="1931"/>
      <c r="Y1" s="1931"/>
      <c r="Z1" s="1931"/>
      <c r="AA1" s="1931"/>
      <c r="AB1" s="1931"/>
    </row>
    <row r="2" spans="1:28">
      <c r="A2" s="2591" t="s">
        <v>2913</v>
      </c>
      <c r="B2" s="2595"/>
      <c r="C2" s="2596"/>
      <c r="D2" s="2897"/>
      <c r="E2" s="2887"/>
      <c r="F2" s="2887"/>
      <c r="G2" s="2888"/>
      <c r="H2" s="2888"/>
      <c r="I2" s="2888"/>
      <c r="J2" s="2695"/>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北京市房山区昊天北大街9号院1号楼房地产</v>
      </c>
      <c r="T2" s="1931"/>
      <c r="U2" s="1931"/>
      <c r="V2" s="1931"/>
      <c r="W2" s="1931"/>
      <c r="X2" s="1931"/>
      <c r="Y2" s="1931"/>
      <c r="Z2" s="1931"/>
      <c r="AA2" s="1931"/>
      <c r="AB2" s="1931"/>
    </row>
    <row r="3" spans="1:28">
      <c r="A3" s="308" t="s">
        <v>2914</v>
      </c>
      <c r="B3" s="2597">
        <v>44434</v>
      </c>
      <c r="C3" s="2598" t="s">
        <v>2915</v>
      </c>
      <c r="D3" s="2597">
        <f>B3</f>
        <v>44434</v>
      </c>
      <c r="E3" s="2888"/>
      <c r="F3" s="2888"/>
      <c r="G3" s="2888"/>
      <c r="H3" s="2888"/>
      <c r="I3" s="2888"/>
      <c r="J3" s="2695"/>
      <c r="K3" s="2592"/>
      <c r="L3" s="2593"/>
      <c r="M3" s="2593"/>
      <c r="N3" s="2594"/>
      <c r="O3" s="1761"/>
      <c r="P3" s="2594"/>
      <c r="Q3" s="2594"/>
      <c r="R3" s="2594"/>
      <c r="S3" s="1868"/>
      <c r="T3" s="1931"/>
      <c r="U3" s="1931"/>
      <c r="V3" s="1931"/>
      <c r="W3" s="1931"/>
      <c r="X3" s="1931"/>
      <c r="Y3" s="1931"/>
      <c r="Z3" s="1931"/>
      <c r="AA3" s="1931"/>
      <c r="AB3" s="1931"/>
    </row>
    <row r="4" spans="1:28" ht="13.5" thickBot="1">
      <c r="A4" s="1250" t="s">
        <v>2916</v>
      </c>
      <c r="B4" s="2599" t="s">
        <v>3118</v>
      </c>
      <c r="C4" s="2600">
        <f ca="1">SUMIF(注册房地产估价师,B4,估价师及机构信息!B3:B24)</f>
        <v>1120100036</v>
      </c>
      <c r="D4" s="2599" t="s">
        <v>3119</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3"/>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2917</v>
      </c>
      <c r="B5" s="3065" t="s">
        <v>3120</v>
      </c>
      <c r="C5" s="2604"/>
      <c r="D5" s="2605"/>
      <c r="E5" s="2889"/>
      <c r="F5" s="2889"/>
      <c r="G5" s="2889"/>
      <c r="H5" s="2889"/>
      <c r="I5" s="2889"/>
      <c r="J5" s="2663"/>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2918</v>
      </c>
      <c r="B6" s="3066" t="s">
        <v>3121</v>
      </c>
      <c r="C6" s="2607"/>
      <c r="D6" s="2608"/>
      <c r="E6" s="2887"/>
      <c r="F6" s="2889"/>
      <c r="G6" s="2889"/>
      <c r="H6" s="2889"/>
      <c r="I6" s="2889"/>
      <c r="J6" s="2663"/>
      <c r="K6" s="2839" t="str">
        <f>IF(COUNTIF(B6,"*上海银行*"),"上海银行","")</f>
        <v/>
      </c>
      <c r="L6" s="2837"/>
      <c r="M6" s="2837"/>
      <c r="N6" s="2663"/>
      <c r="O6" s="2674"/>
      <c r="P6" s="2663"/>
      <c r="Q6" s="2663"/>
      <c r="R6" s="2663"/>
    </row>
    <row r="7" spans="1:28" ht="38.25">
      <c r="A7" s="2606" t="s">
        <v>2919</v>
      </c>
      <c r="B7" s="2609" t="str">
        <f>B5</f>
        <v>北京多维物业管理有限公司</v>
      </c>
      <c r="C7" s="2607"/>
      <c r="D7" s="2608"/>
      <c r="E7" s="2887"/>
      <c r="F7" s="2889"/>
      <c r="G7" s="2889"/>
      <c r="H7" s="2889"/>
      <c r="I7" s="2889"/>
      <c r="J7" s="2663"/>
      <c r="K7" s="2840"/>
      <c r="L7" s="2837"/>
      <c r="M7" s="2837"/>
      <c r="N7" s="2663"/>
      <c r="O7" s="2674"/>
      <c r="P7" s="2663"/>
      <c r="Q7" s="2663"/>
      <c r="R7" s="2663"/>
    </row>
    <row r="8" spans="1:28">
      <c r="A8" s="2610" t="s">
        <v>2920</v>
      </c>
      <c r="B8" s="2611" t="s">
        <v>3062</v>
      </c>
      <c r="C8" s="2612"/>
      <c r="D8" s="3121" t="s">
        <v>2921</v>
      </c>
      <c r="E8" s="2613" t="s">
        <v>3063</v>
      </c>
      <c r="F8" s="2614"/>
      <c r="G8" s="2888"/>
      <c r="H8" s="2888"/>
      <c r="I8" s="2888"/>
      <c r="J8" s="2663"/>
      <c r="K8" s="2838"/>
      <c r="L8" s="2837"/>
      <c r="M8" s="2837"/>
      <c r="N8" s="2663"/>
      <c r="O8" s="2674"/>
      <c r="P8" s="2663"/>
      <c r="Q8" s="2663"/>
      <c r="R8" s="2663"/>
    </row>
    <row r="9" spans="1:28" ht="13.5" thickBot="1">
      <c r="A9" s="2615" t="s">
        <v>2922</v>
      </c>
      <c r="B9" s="2616" t="s">
        <v>3063</v>
      </c>
      <c r="C9" s="2617"/>
      <c r="D9" s="3122"/>
      <c r="E9" s="2616" t="s">
        <v>70</v>
      </c>
      <c r="F9" s="2618"/>
      <c r="G9" s="2890"/>
      <c r="H9" s="2890"/>
      <c r="I9" s="2890"/>
      <c r="J9" s="2663"/>
      <c r="K9" s="2840"/>
      <c r="L9" s="2837"/>
      <c r="M9" s="2837"/>
      <c r="N9" s="2663"/>
      <c r="O9" s="2674"/>
      <c r="P9" s="2663"/>
      <c r="Q9" s="2663"/>
      <c r="R9" s="2663"/>
    </row>
    <row r="10" spans="1:28" ht="13.5" thickTop="1">
      <c r="A10" s="2619" t="s">
        <v>2923</v>
      </c>
      <c r="B10" s="2620" t="s">
        <v>3122</v>
      </c>
      <c r="C10" s="2621"/>
      <c r="D10" s="2605"/>
      <c r="E10" s="2622" t="s">
        <v>2924</v>
      </c>
      <c r="F10" s="2891" t="s">
        <v>3123</v>
      </c>
      <c r="G10" s="2892"/>
      <c r="H10" s="2893"/>
      <c r="I10" s="2894"/>
      <c r="J10" s="2663"/>
      <c r="K10" s="2840"/>
      <c r="L10" s="2837"/>
      <c r="M10" s="2837"/>
      <c r="N10" s="2663"/>
      <c r="O10" s="2674"/>
      <c r="P10" s="2663"/>
      <c r="Q10" s="2663"/>
      <c r="R10" s="2663"/>
    </row>
    <row r="11" spans="1:28" ht="25.5">
      <c r="A11" s="2623" t="s">
        <v>2925</v>
      </c>
      <c r="B11" s="2624" t="s">
        <v>3124</v>
      </c>
      <c r="C11" s="2625" t="str">
        <f>B5</f>
        <v>北京多维物业管理有限公司</v>
      </c>
      <c r="D11" s="2626"/>
      <c r="E11" s="2594"/>
      <c r="F11" s="2594"/>
      <c r="G11" s="2594"/>
      <c r="H11" s="2594"/>
      <c r="I11" s="2594"/>
      <c r="J11" s="2663"/>
      <c r="K11" s="2840"/>
      <c r="L11" s="2837"/>
      <c r="M11" s="2837"/>
      <c r="N11" s="2663"/>
      <c r="O11" s="2674"/>
      <c r="P11" s="2663"/>
      <c r="Q11" s="2663"/>
      <c r="R11" s="2663"/>
    </row>
    <row r="12" spans="1:28">
      <c r="A12" s="2627" t="s">
        <v>2926</v>
      </c>
      <c r="B12" s="2624" t="s">
        <v>3064</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c r="E13" s="965"/>
      <c r="F13" s="965">
        <v>53394</v>
      </c>
      <c r="G13" s="965"/>
      <c r="H13" s="965"/>
      <c r="I13" s="965"/>
      <c r="J13" s="2663"/>
      <c r="K13" s="2840"/>
      <c r="L13" s="2837"/>
      <c r="M13" s="2837"/>
      <c r="N13" s="2663"/>
      <c r="O13" s="2674"/>
      <c r="P13" s="2663"/>
      <c r="Q13" s="2663"/>
      <c r="R13" s="2663"/>
    </row>
    <row r="14" spans="1:28">
      <c r="A14" s="1241"/>
      <c r="B14" s="2629"/>
      <c r="C14" s="2630" t="s">
        <v>2935</v>
      </c>
      <c r="D14" s="2631"/>
      <c r="E14" s="2631"/>
      <c r="F14" s="2631">
        <v>50</v>
      </c>
      <c r="G14" s="2631"/>
      <c r="H14" s="2631"/>
      <c r="I14" s="2631"/>
      <c r="J14" s="2663"/>
      <c r="K14" s="2841"/>
      <c r="L14" s="2837"/>
      <c r="M14" s="2837"/>
      <c r="N14" s="2663"/>
      <c r="O14" s="2674"/>
      <c r="P14" s="2663"/>
      <c r="Q14" s="2663"/>
      <c r="R14" s="2663"/>
    </row>
    <row r="15" spans="1:28">
      <c r="A15" s="326"/>
      <c r="B15" s="2632"/>
      <c r="C15" s="2633" t="s">
        <v>2936</v>
      </c>
      <c r="D15" s="2634" t="str">
        <f>IF(B12="出让",IF(D13="","",ROUNDDOWN(MIN((D13-$D$3)/365,D14),2)),D14)</f>
        <v/>
      </c>
      <c r="E15" s="2634" t="str">
        <f>IF(B12="出让",IF(E13="","",ROUNDDOWN(MIN((E13-$D$3)/365,E14),2)),E14)</f>
        <v/>
      </c>
      <c r="F15" s="2634">
        <f>IF(B12="出让",IF(F13="","",ROUNDDOWN(MIN((F13-$D$3)/365,F14),2)),F14)</f>
        <v>24.54</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2937</v>
      </c>
      <c r="B16" s="3128"/>
      <c r="C16" s="3129"/>
      <c r="D16" s="3130"/>
      <c r="E16" s="2637" t="s">
        <v>2938</v>
      </c>
      <c r="F16" s="3131"/>
      <c r="G16" s="3132"/>
      <c r="H16" s="3132"/>
      <c r="I16" s="3133"/>
      <c r="J16" s="2663"/>
      <c r="K16" s="2842"/>
      <c r="L16" s="2675"/>
      <c r="M16" s="2675"/>
      <c r="N16" s="2733"/>
      <c r="O16" s="2675"/>
      <c r="P16" s="2733"/>
      <c r="Q16" s="2663"/>
      <c r="R16" s="2663"/>
    </row>
    <row r="17" spans="1:28">
      <c r="A17" s="319" t="s">
        <v>2939</v>
      </c>
      <c r="B17" s="308" t="s">
        <v>2940</v>
      </c>
      <c r="C17" s="11">
        <f>'数据-汇总表'!E3</f>
        <v>12608.400000000001</v>
      </c>
      <c r="D17" s="2545" t="s">
        <v>2941</v>
      </c>
      <c r="E17" s="3134" t="s">
        <v>2942</v>
      </c>
      <c r="F17" s="3135"/>
      <c r="G17" s="3135"/>
      <c r="H17" s="3135"/>
      <c r="I17" s="3136"/>
      <c r="J17" s="2663"/>
      <c r="K17" s="2843"/>
      <c r="L17" s="2675"/>
      <c r="M17" s="2675"/>
      <c r="N17" s="2733"/>
      <c r="O17" s="2675"/>
      <c r="P17" s="2733"/>
      <c r="Q17" s="2663"/>
      <c r="R17" s="2663"/>
      <c r="S17" s="2663"/>
      <c r="T17" s="2663"/>
      <c r="U17" s="2663"/>
      <c r="V17" s="2663"/>
    </row>
    <row r="18" spans="1:28" ht="24.75" thickBot="1">
      <c r="A18" s="2638" t="s">
        <v>2943</v>
      </c>
      <c r="B18" s="1250" t="s">
        <v>2944</v>
      </c>
      <c r="C18" s="2639">
        <f>'数据-汇总表'!D3</f>
        <v>19918.64</v>
      </c>
      <c r="D18" s="1252" t="s">
        <v>2945</v>
      </c>
      <c r="E18" s="3137" t="s">
        <v>2946</v>
      </c>
      <c r="F18" s="3138"/>
      <c r="G18" s="3138"/>
      <c r="H18" s="3138"/>
      <c r="I18" s="3139"/>
      <c r="J18" s="2663"/>
      <c r="K18" s="2843"/>
      <c r="L18" s="2675"/>
      <c r="M18" s="2675"/>
      <c r="N18" s="2733"/>
      <c r="O18" s="2675"/>
      <c r="P18" s="2733"/>
      <c r="Q18" s="2663"/>
      <c r="R18" s="2663"/>
      <c r="S18" s="2663"/>
      <c r="T18" s="2663"/>
      <c r="U18" s="2663"/>
      <c r="V18" s="2663"/>
    </row>
    <row r="19" spans="1:28" ht="37.5" thickTop="1" thickBot="1">
      <c r="A19" s="333" t="s">
        <v>1740</v>
      </c>
      <c r="B19" s="313" t="s">
        <v>2947</v>
      </c>
      <c r="C19" s="1748" t="s">
        <v>3125</v>
      </c>
      <c r="D19" s="1749" t="s">
        <v>2948</v>
      </c>
      <c r="E19" s="1750"/>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2949</v>
      </c>
      <c r="B20" s="3124" t="s">
        <v>2950</v>
      </c>
      <c r="C20" s="3125"/>
      <c r="D20" s="3126" t="s">
        <v>2951</v>
      </c>
      <c r="E20" s="3127"/>
      <c r="F20" s="2872" t="s">
        <v>1741</v>
      </c>
      <c r="G20" s="2889"/>
      <c r="H20" s="2889"/>
      <c r="I20" s="2889"/>
      <c r="J20" s="2663"/>
      <c r="K20" s="3123" t="s">
        <v>2952</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93"/>
      <c r="N20" s="2636"/>
      <c r="O20" s="2635"/>
      <c r="P20" s="2636"/>
      <c r="Q20" s="2594"/>
      <c r="R20" s="2594"/>
      <c r="S20" s="2594"/>
      <c r="T20" s="2594"/>
      <c r="U20" s="2594"/>
      <c r="V20" s="2594"/>
      <c r="W20" s="1931"/>
      <c r="X20" s="1931"/>
      <c r="Y20" s="1931"/>
      <c r="Z20" s="1931"/>
      <c r="AA20" s="1931"/>
      <c r="AB20" s="1931"/>
    </row>
    <row r="21" spans="1:28" ht="24.75" thickBot="1">
      <c r="A21" s="2857"/>
      <c r="B21" s="2858" t="s">
        <v>2953</v>
      </c>
      <c r="C21" s="2859" t="s">
        <v>3126</v>
      </c>
      <c r="D21" s="1753" t="s">
        <v>2954</v>
      </c>
      <c r="E21" s="2860"/>
      <c r="F21" s="2873"/>
      <c r="G21" s="2889"/>
      <c r="H21" s="2889"/>
      <c r="I21" s="2889"/>
      <c r="J21" s="2663"/>
      <c r="K21" s="312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6"/>
      <c r="O21" s="2635"/>
      <c r="P21" s="2636"/>
      <c r="Q21" s="2594"/>
      <c r="R21" s="2594"/>
      <c r="S21" s="2594"/>
      <c r="T21" s="2594"/>
      <c r="U21" s="2594"/>
      <c r="V21" s="2594"/>
      <c r="W21" s="1931"/>
      <c r="X21" s="1931"/>
      <c r="Y21" s="1931"/>
      <c r="Z21" s="1931"/>
      <c r="AA21" s="1931"/>
      <c r="AB21" s="1931"/>
    </row>
    <row r="22" spans="1:28" ht="24.75" thickBot="1">
      <c r="A22" s="2857"/>
      <c r="B22" s="2861" t="s">
        <v>2955</v>
      </c>
      <c r="C22" s="2859" t="s">
        <v>1742</v>
      </c>
      <c r="D22" s="2888"/>
      <c r="E22" s="2888"/>
      <c r="F22" s="2888"/>
      <c r="G22" s="2889"/>
      <c r="H22" s="2889"/>
      <c r="I22" s="2889"/>
      <c r="J22" s="2663"/>
      <c r="K22" s="312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1"/>
      <c r="X22" s="1931"/>
      <c r="Y22" s="1931"/>
      <c r="Z22" s="1931"/>
      <c r="AA22" s="1931"/>
      <c r="AB22" s="1931"/>
    </row>
    <row r="23" spans="1:28">
      <c r="A23" s="2862" t="s">
        <v>2956</v>
      </c>
      <c r="B23" s="2726" t="s">
        <v>2957</v>
      </c>
      <c r="C23" s="2863"/>
      <c r="D23" s="2864" t="s">
        <v>2957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1743</v>
      </c>
      <c r="C24" s="2866"/>
      <c r="D24" s="2862" t="s">
        <v>1743</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1744</v>
      </c>
      <c r="C25" s="2866"/>
      <c r="D25" s="2862" t="s">
        <v>1744</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1745</v>
      </c>
      <c r="C26" s="2870"/>
      <c r="D26" s="2868" t="s">
        <v>1745</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11" t="s">
        <v>2958</v>
      </c>
      <c r="B27" s="326" t="s">
        <v>2959</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11"/>
      <c r="B28" s="308" t="s">
        <v>2960</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11"/>
      <c r="B29" s="308" t="s">
        <v>2961</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12"/>
      <c r="B30" s="308" t="s">
        <v>2962</v>
      </c>
      <c r="C30" s="3113"/>
      <c r="D30" s="3114"/>
      <c r="E30" s="2889"/>
      <c r="F30" s="2889"/>
      <c r="G30" s="2889"/>
      <c r="H30" s="2889"/>
      <c r="I30" s="2889"/>
      <c r="J30" s="2663"/>
      <c r="K30" s="2840"/>
      <c r="L30" s="2837"/>
      <c r="M30" s="2837"/>
      <c r="N30" s="2663"/>
      <c r="O30" s="2674"/>
      <c r="P30" s="2663"/>
      <c r="Q30" s="2663"/>
      <c r="R30" s="2663"/>
      <c r="S30" s="2663"/>
      <c r="T30" s="2663"/>
      <c r="U30" s="2663"/>
      <c r="V30" s="2663"/>
    </row>
    <row r="31" spans="1:28">
      <c r="A31" s="3115" t="s">
        <v>2963</v>
      </c>
      <c r="B31" s="2646" t="s">
        <v>3127</v>
      </c>
      <c r="C31" s="2546" t="str">
        <f>IF(B31="现房","成新及维护状况正常否",IF(B31="在建","工程状态是否正常",IF(B31="土地","是否闲置","-")))</f>
        <v>成新及维护状况正常否</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16"/>
      <c r="B32" s="2646"/>
      <c r="C32" s="2546"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16"/>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c r="A34" s="308" t="s">
        <v>2964</v>
      </c>
      <c r="B34" s="2214" t="s">
        <v>3097</v>
      </c>
      <c r="C34" s="2214" t="s">
        <v>3098</v>
      </c>
      <c r="D34" s="2214" t="s">
        <v>3099</v>
      </c>
      <c r="E34" s="2214" t="s">
        <v>3100</v>
      </c>
      <c r="F34" s="2214" t="s">
        <v>3101</v>
      </c>
      <c r="G34" s="2214" t="s">
        <v>70</v>
      </c>
      <c r="H34" s="2214" t="s">
        <v>70</v>
      </c>
      <c r="I34" s="2889"/>
      <c r="J34" s="2663"/>
      <c r="K34" s="2651">
        <f>COUNTIF(B34:H34,"——")</f>
        <v>2</v>
      </c>
      <c r="L34" s="329" t="s">
        <v>2965</v>
      </c>
      <c r="M34" s="329" t="s">
        <v>2966</v>
      </c>
      <c r="N34" s="329" t="s">
        <v>2967</v>
      </c>
      <c r="O34" s="329" t="s">
        <v>2968</v>
      </c>
      <c r="P34" s="329" t="s">
        <v>2969</v>
      </c>
      <c r="Q34" s="329" t="s">
        <v>2970</v>
      </c>
      <c r="R34" s="329" t="s">
        <v>2971</v>
      </c>
      <c r="S34" s="3110" t="s">
        <v>2972</v>
      </c>
      <c r="T34" s="2652" t="str">
        <f>NUMBERSTRING(7-K34,1)&amp;"通"</f>
        <v>五通</v>
      </c>
      <c r="U34" s="2663"/>
      <c r="V34" s="2663"/>
    </row>
    <row r="35" spans="1:30">
      <c r="A35" s="2653"/>
      <c r="B35" s="3117" t="s">
        <v>2973</v>
      </c>
      <c r="C35" s="3117"/>
      <c r="D35" s="3117"/>
      <c r="E35" s="3117"/>
      <c r="F35" s="673">
        <f>C10</f>
        <v>0</v>
      </c>
      <c r="G35" s="2889"/>
      <c r="H35" s="2889"/>
      <c r="I35" s="2889"/>
      <c r="J35" s="266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10"/>
      <c r="T35" s="335" t="str">
        <f>IF(T34="一通",L35,IF(T34="二通",M35,IF(T34="三通",N35,IF(T34="四通",O35,IF(T34="五通",P35,IF(T34="六通",Q35,R35))))))</f>
        <v>通路、通电、通讯、通上水、通下水</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2974</v>
      </c>
      <c r="B37" s="2655" t="s">
        <v>526</v>
      </c>
      <c r="C37" s="2655" t="s">
        <v>526</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2975</v>
      </c>
      <c r="B38" s="2656" t="s">
        <v>3065</v>
      </c>
      <c r="C38" s="2656" t="s">
        <v>3065</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5"/>
      <c r="M40" s="2675"/>
      <c r="N40" s="2733"/>
      <c r="O40" s="2675"/>
      <c r="P40" s="2663"/>
      <c r="Q40" s="2663"/>
      <c r="R40" s="2663"/>
      <c r="S40" s="2663"/>
      <c r="T40" s="2663"/>
      <c r="U40" s="2663"/>
      <c r="V40" s="2663"/>
    </row>
    <row r="41" spans="1:30">
      <c r="A41" s="2660" t="s">
        <v>2977</v>
      </c>
      <c r="B41" s="1943"/>
      <c r="C41" s="1557"/>
      <c r="D41" s="2594"/>
      <c r="E41" s="2594"/>
      <c r="F41" s="2594"/>
      <c r="G41" s="2594"/>
      <c r="H41" s="2594"/>
      <c r="I41" s="1761"/>
      <c r="J41" s="2663"/>
      <c r="K41" s="2840"/>
      <c r="L41" s="2837"/>
      <c r="M41" s="2837"/>
      <c r="N41" s="2663"/>
      <c r="O41" s="2674"/>
      <c r="P41" s="2663"/>
      <c r="Q41" s="2663"/>
      <c r="R41" s="2663"/>
      <c r="S41" s="2663"/>
      <c r="T41" s="2663"/>
      <c r="U41" s="2663"/>
      <c r="V41" s="2663"/>
    </row>
    <row r="42" spans="1:30" ht="25.5">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3"/>
      <c r="T42" s="2663"/>
      <c r="U42" s="2663"/>
      <c r="V42" s="2663"/>
    </row>
    <row r="43" spans="1:30" s="1929" customFormat="1">
      <c r="A43" s="1755"/>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9" customFormat="1">
      <c r="A44" s="1755"/>
      <c r="B44" s="1755"/>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9" customFormat="1">
      <c r="A45" s="1755"/>
      <c r="B45" s="1755"/>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9" customFormat="1">
      <c r="A46" s="1755"/>
      <c r="B46" s="1755"/>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9" customFormat="1">
      <c r="A47" s="1755"/>
      <c r="B47" s="1755"/>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9" customFormat="1">
      <c r="A48" s="1755"/>
      <c r="B48" s="1755"/>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9" customFormat="1">
      <c r="A49" s="1755"/>
      <c r="B49" s="1755"/>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9" customFormat="1">
      <c r="A50" s="1755"/>
      <c r="B50" s="1755"/>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9" customFormat="1">
      <c r="A51" s="1755"/>
      <c r="B51" s="1755"/>
      <c r="C51" s="1182"/>
      <c r="D51" s="1182"/>
      <c r="E51" s="1182"/>
      <c r="F51" s="1182"/>
      <c r="G51" s="1182"/>
      <c r="H51" s="1182"/>
      <c r="I51" s="1182"/>
      <c r="J51" s="2661"/>
      <c r="K51" s="2662"/>
      <c r="L51" s="2662"/>
      <c r="M51" s="1182"/>
      <c r="N51" s="1182"/>
      <c r="O51" s="1182"/>
      <c r="P51" s="1182"/>
      <c r="Q51" s="1182"/>
      <c r="R51" s="1182"/>
    </row>
    <row r="52" spans="1:22" s="1929" customFormat="1">
      <c r="A52" s="1755"/>
      <c r="B52" s="1755"/>
      <c r="C52" s="1755"/>
      <c r="D52" s="1755"/>
      <c r="E52" s="1755"/>
      <c r="F52" s="1182"/>
      <c r="G52" s="1755"/>
      <c r="H52" s="1755"/>
      <c r="I52" s="1755"/>
      <c r="J52" s="2664"/>
      <c r="K52" s="2662"/>
      <c r="L52" s="2662"/>
      <c r="M52" s="2662"/>
      <c r="N52" s="1755"/>
      <c r="O52" s="1755"/>
      <c r="P52" s="1755"/>
      <c r="Q52" s="1755"/>
      <c r="R52" s="1755"/>
    </row>
    <row r="53" spans="1:22" s="1929" customFormat="1">
      <c r="A53" s="1755"/>
      <c r="B53" s="1755"/>
      <c r="C53" s="1755"/>
      <c r="D53" s="1755"/>
      <c r="E53" s="1755"/>
      <c r="F53" s="1182"/>
      <c r="G53" s="1755"/>
      <c r="H53" s="1755"/>
      <c r="I53" s="1755"/>
      <c r="J53" s="2664"/>
      <c r="K53" s="2662"/>
      <c r="L53" s="2662"/>
      <c r="M53" s="2662"/>
      <c r="N53" s="1755"/>
      <c r="O53" s="1755"/>
      <c r="P53" s="1755"/>
      <c r="Q53" s="1755"/>
      <c r="R53" s="1755"/>
    </row>
    <row r="54" spans="1:22" s="1929" customFormat="1">
      <c r="A54" s="1755"/>
      <c r="B54" s="1755"/>
      <c r="C54" s="1755"/>
      <c r="D54" s="1755"/>
      <c r="E54" s="1755"/>
      <c r="F54" s="1182"/>
      <c r="G54" s="1755"/>
      <c r="H54" s="1755"/>
      <c r="I54" s="1755"/>
      <c r="J54" s="2664"/>
      <c r="K54" s="2662"/>
      <c r="L54" s="2662"/>
      <c r="M54" s="2662"/>
      <c r="N54" s="1755"/>
      <c r="O54" s="1755"/>
      <c r="P54" s="1755"/>
      <c r="Q54" s="1755"/>
      <c r="R54" s="1755"/>
    </row>
    <row r="55" spans="1:22" s="1929" customFormat="1">
      <c r="A55" s="1755"/>
      <c r="B55" s="1755"/>
      <c r="C55" s="1755"/>
      <c r="D55" s="1755"/>
      <c r="E55" s="1755"/>
      <c r="F55" s="1182"/>
      <c r="G55" s="1755"/>
      <c r="H55" s="1755"/>
      <c r="I55" s="1755"/>
      <c r="J55" s="2664"/>
      <c r="K55" s="2662"/>
      <c r="L55" s="2662"/>
      <c r="M55" s="2662"/>
      <c r="N55" s="1755"/>
      <c r="O55" s="1755"/>
      <c r="P55" s="1755"/>
      <c r="Q55" s="1755"/>
      <c r="R55" s="1755"/>
    </row>
    <row r="56" spans="1:22" s="1929" customFormat="1">
      <c r="A56" s="1755"/>
      <c r="B56" s="1755"/>
      <c r="C56" s="1755"/>
      <c r="D56" s="1755"/>
      <c r="E56" s="1755"/>
      <c r="F56" s="1182"/>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1747</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1748</v>
      </c>
      <c r="B2" s="11" t="s">
        <v>1749</v>
      </c>
      <c r="C2" s="11" t="s">
        <v>1750</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1751</v>
      </c>
      <c r="AZ2" s="1180" t="s">
        <v>1752</v>
      </c>
      <c r="BA2" s="11" t="s">
        <v>1753</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19918.64</v>
      </c>
      <c r="B3" s="14">
        <f>IF(C3="否",G5-AT5,G5)</f>
        <v>12608.400000000001</v>
      </c>
      <c r="C3" s="1765" t="s">
        <v>1754</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1755</v>
      </c>
      <c r="B5" s="1531"/>
      <c r="C5" s="1531"/>
      <c r="D5" s="1533"/>
      <c r="E5" s="16" t="s">
        <v>1</v>
      </c>
      <c r="F5" s="16">
        <f>SUM(F13:F587)</f>
        <v>0</v>
      </c>
      <c r="G5" s="16">
        <f>SUM(G13:G587)</f>
        <v>12608.400000000001</v>
      </c>
      <c r="H5" s="16">
        <f t="shared" ref="H5:AT5" si="0">SUM(H13:H656)</f>
        <v>12608.400000000001</v>
      </c>
      <c r="I5" s="16">
        <f t="shared" si="0"/>
        <v>12608.400000000001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1755</v>
      </c>
      <c r="AW5" s="1531"/>
      <c r="AX5" s="1531"/>
      <c r="AY5" s="17" t="s">
        <v>3</v>
      </c>
      <c r="AZ5" s="18">
        <f t="shared" ref="AZ5:BT5" si="1">SUM(AZ13:AZ656)</f>
        <v>12608.400000000001</v>
      </c>
      <c r="BA5" s="18">
        <f t="shared" si="1"/>
        <v>12608.400000000001</v>
      </c>
      <c r="BB5" s="18">
        <f t="shared" si="1"/>
        <v>12608.400000000001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1756</v>
      </c>
      <c r="B6" s="1771"/>
      <c r="C6" s="1771"/>
      <c r="D6" s="1772"/>
      <c r="E6" s="16">
        <f>H6+AC6+AT6</f>
        <v>19918.64</v>
      </c>
      <c r="F6" s="16" t="s">
        <v>1</v>
      </c>
      <c r="G6" s="16" t="s">
        <v>2</v>
      </c>
      <c r="H6" s="20">
        <f>SUMIF(I$12:AB$12,"总值",I6:AB6)</f>
        <v>19918.64</v>
      </c>
      <c r="I6" s="16">
        <f t="shared" ref="I6:AB6" si="2">ROUND($A$3*I5/$B$3,2)</f>
        <v>19918.64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1756</v>
      </c>
      <c r="AW6" s="1771"/>
      <c r="AX6" s="1771"/>
      <c r="AY6" s="21">
        <f>IF(AY3&gt;0,AY3,ROUND($A$3*AZ5/$B$3,2))</f>
        <v>19918.64</v>
      </c>
      <c r="AZ6" s="16" t="s">
        <v>3</v>
      </c>
      <c r="BA6" s="16">
        <f>ROUND($AY$6*BA5/$AZ$5,2)</f>
        <v>19918.64</v>
      </c>
      <c r="BB6" s="16">
        <f>ROUND($AY$6*BB5/$AZ$5,2)</f>
        <v>19918.64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1757</v>
      </c>
      <c r="B7" s="1754" t="s">
        <v>1758</v>
      </c>
      <c r="C7" s="1754" t="s">
        <v>1759</v>
      </c>
      <c r="D7" s="1754" t="s">
        <v>1760</v>
      </c>
      <c r="E7" s="1754" t="s">
        <v>1761</v>
      </c>
      <c r="F7" s="1754" t="s">
        <v>1762</v>
      </c>
      <c r="G7" s="1775" t="s">
        <v>1763</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1764</v>
      </c>
      <c r="AV7" s="23" t="s">
        <v>1765</v>
      </c>
      <c r="AW7" s="1763" t="s">
        <v>1766</v>
      </c>
      <c r="AX7" s="23" t="s">
        <v>1759</v>
      </c>
      <c r="AY7" s="1531" t="s">
        <v>1767</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1768</v>
      </c>
      <c r="H8" s="1781" t="s">
        <v>1769</v>
      </c>
      <c r="I8" s="1782"/>
      <c r="J8" s="1544"/>
      <c r="K8" s="1544"/>
      <c r="L8" s="1544"/>
      <c r="M8" s="1544"/>
      <c r="N8" s="1544"/>
      <c r="O8" s="1544"/>
      <c r="P8" s="1544"/>
      <c r="Q8" s="1544"/>
      <c r="R8" s="1544"/>
      <c r="S8" s="1544"/>
      <c r="T8" s="1544"/>
      <c r="U8" s="1544"/>
      <c r="V8" s="1783"/>
      <c r="W8" s="1544"/>
      <c r="X8" s="1544"/>
      <c r="Y8" s="1544"/>
      <c r="Z8" s="1544"/>
      <c r="AA8" s="1783"/>
      <c r="AB8" s="1784"/>
      <c r="AC8" s="918" t="s">
        <v>1770</v>
      </c>
      <c r="AD8" s="1785"/>
      <c r="AE8" s="1777"/>
      <c r="AF8" s="1544"/>
      <c r="AG8" s="1544"/>
      <c r="AH8" s="1544"/>
      <c r="AI8" s="1544"/>
      <c r="AJ8" s="1544"/>
      <c r="AK8" s="1544"/>
      <c r="AL8" s="1544"/>
      <c r="AM8" s="1544"/>
      <c r="AN8" s="1544"/>
      <c r="AO8" s="1544"/>
      <c r="AP8" s="1544"/>
      <c r="AQ8" s="1544"/>
      <c r="AR8" s="1544"/>
      <c r="AS8" s="1544"/>
      <c r="AT8" s="1202" t="s">
        <v>1771</v>
      </c>
      <c r="AU8" s="1779" t="s">
        <v>1772</v>
      </c>
      <c r="AV8" s="1202"/>
      <c r="AW8" s="1762"/>
      <c r="AX8" s="1202"/>
      <c r="AY8" s="1763" t="s">
        <v>1773</v>
      </c>
      <c r="AZ8" s="1543" t="s">
        <v>1774</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1775</v>
      </c>
      <c r="I9" s="1788" t="s">
        <v>3072</v>
      </c>
      <c r="J9" s="918"/>
      <c r="K9" s="1788"/>
      <c r="L9" s="918"/>
      <c r="M9" s="1788"/>
      <c r="N9" s="918"/>
      <c r="O9" s="1788"/>
      <c r="P9" s="918"/>
      <c r="Q9" s="1788"/>
      <c r="R9" s="918"/>
      <c r="S9" s="1788"/>
      <c r="T9" s="918"/>
      <c r="U9" s="1788"/>
      <c r="V9" s="918"/>
      <c r="W9" s="1788"/>
      <c r="X9" s="1789"/>
      <c r="Y9" s="1788"/>
      <c r="Z9" s="918"/>
      <c r="AA9" s="1788"/>
      <c r="AB9" s="918"/>
      <c r="AC9" s="1780" t="s">
        <v>1775</v>
      </c>
      <c r="AD9" s="15" t="s">
        <v>1776</v>
      </c>
      <c r="AE9" s="1208"/>
      <c r="AF9" s="15" t="s">
        <v>1777</v>
      </c>
      <c r="AG9" s="1208"/>
      <c r="AH9" s="15" t="s">
        <v>1776</v>
      </c>
      <c r="AI9" s="1208"/>
      <c r="AJ9" s="15" t="s">
        <v>1777</v>
      </c>
      <c r="AK9" s="1208"/>
      <c r="AL9" s="15" t="s">
        <v>1776</v>
      </c>
      <c r="AM9" s="1208"/>
      <c r="AN9" s="15" t="s">
        <v>1777</v>
      </c>
      <c r="AO9" s="1208"/>
      <c r="AP9" s="15" t="s">
        <v>1776</v>
      </c>
      <c r="AQ9" s="1208"/>
      <c r="AR9" s="15" t="s">
        <v>1777</v>
      </c>
      <c r="AS9" s="1790"/>
      <c r="AT9" s="1779"/>
      <c r="AU9" s="1779" t="s">
        <v>1778</v>
      </c>
      <c r="AV9" s="1202"/>
      <c r="AW9" s="1762"/>
      <c r="AX9" s="1202"/>
      <c r="AY9" s="28"/>
      <c r="AZ9" s="28" t="s">
        <v>1768</v>
      </c>
      <c r="BA9" s="1791" t="s">
        <v>1779</v>
      </c>
      <c r="BB9" s="1792"/>
      <c r="BC9" s="1248"/>
      <c r="BD9" s="1248"/>
      <c r="BE9" s="1248"/>
      <c r="BF9" s="1248"/>
      <c r="BG9" s="1248"/>
      <c r="BH9" s="1248"/>
      <c r="BI9" s="1248"/>
      <c r="BJ9" s="1248"/>
      <c r="BK9" s="1793"/>
      <c r="BL9" s="15" t="s">
        <v>1780</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1781</v>
      </c>
      <c r="AE10" s="1795"/>
      <c r="AF10" s="15" t="s">
        <v>1781</v>
      </c>
      <c r="AG10" s="1795"/>
      <c r="AH10" s="15" t="s">
        <v>1782</v>
      </c>
      <c r="AI10" s="1795"/>
      <c r="AJ10" s="15" t="s">
        <v>1782</v>
      </c>
      <c r="AK10" s="1795"/>
      <c r="AL10" s="15" t="s">
        <v>1783</v>
      </c>
      <c r="AM10" s="1208"/>
      <c r="AN10" s="15" t="s">
        <v>1783</v>
      </c>
      <c r="AO10" s="1208"/>
      <c r="AP10" s="15" t="s">
        <v>1784</v>
      </c>
      <c r="AQ10" s="1208"/>
      <c r="AR10" s="15" t="s">
        <v>1784</v>
      </c>
      <c r="AS10" s="1208"/>
      <c r="AT10" s="1779"/>
      <c r="AU10" s="1779"/>
      <c r="AV10" s="1202"/>
      <c r="AW10" s="1762"/>
      <c r="AX10" s="1202"/>
      <c r="AY10" s="28"/>
      <c r="AZ10" s="28"/>
      <c r="BA10" s="1796" t="s">
        <v>1775</v>
      </c>
      <c r="BB10" s="1797" t="str">
        <f>I9</f>
        <v>地上</v>
      </c>
      <c r="BC10" s="29">
        <f>K9</f>
        <v>0</v>
      </c>
      <c r="BD10" s="29">
        <f>M9</f>
        <v>0</v>
      </c>
      <c r="BE10" s="29">
        <f>O9</f>
        <v>0</v>
      </c>
      <c r="BF10" s="29">
        <f>Q9</f>
        <v>0</v>
      </c>
      <c r="BG10" s="29">
        <f>S9</f>
        <v>0</v>
      </c>
      <c r="BH10" s="29">
        <f>U9</f>
        <v>0</v>
      </c>
      <c r="BI10" s="29">
        <f>W9</f>
        <v>0</v>
      </c>
      <c r="BJ10" s="29">
        <f>Y9</f>
        <v>0</v>
      </c>
      <c r="BK10" s="29">
        <f>AA9</f>
        <v>0</v>
      </c>
      <c r="BL10" s="25" t="s">
        <v>1775</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1785</v>
      </c>
      <c r="AE11" s="1545"/>
      <c r="AF11" s="1801" t="s">
        <v>1785</v>
      </c>
      <c r="AG11" s="1545"/>
      <c r="AH11" s="1801" t="s">
        <v>1786</v>
      </c>
      <c r="AI11" s="1802"/>
      <c r="AJ11" s="1801" t="s">
        <v>1786</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0" t="s">
        <v>1788</v>
      </c>
      <c r="W12" s="11" t="s">
        <v>1787</v>
      </c>
      <c r="X12" s="11" t="s">
        <v>1788</v>
      </c>
      <c r="Y12" s="11" t="s">
        <v>1787</v>
      </c>
      <c r="Z12" s="11" t="s">
        <v>1788</v>
      </c>
      <c r="AA12" s="11" t="s">
        <v>1787</v>
      </c>
      <c r="AB12" s="11" t="s">
        <v>1788</v>
      </c>
      <c r="AC12" s="1806"/>
      <c r="AD12" s="153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4" t="s">
        <v>1788</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3066</v>
      </c>
      <c r="D13" s="1810" t="s">
        <v>3071</v>
      </c>
      <c r="E13" s="16">
        <f>IF($C$3="是",ROUND($A$3*G13/$B$3,2),ROUND($A$3*(G13-AT13)/$B$3,2))</f>
        <v>3223.11</v>
      </c>
      <c r="F13" s="32"/>
      <c r="G13" s="33">
        <f>H13+AC13+AT13</f>
        <v>2040.21</v>
      </c>
      <c r="H13" s="20">
        <f>SUMIF(I$12:AB$12,"总值",I13:AB13)</f>
        <v>2040.21</v>
      </c>
      <c r="I13" s="1811">
        <f>面积表!B2</f>
        <v>2040.21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1#</v>
      </c>
      <c r="AY13" s="1533">
        <f>ROUND($AY$6*AZ13/$AZ$5,2)</f>
        <v>3223.11</v>
      </c>
      <c r="AZ13" s="16">
        <f>BA13+BL13</f>
        <v>2040.21</v>
      </c>
      <c r="BA13" s="16">
        <f>SUM(BB13:BK13)</f>
        <v>2040.21</v>
      </c>
      <c r="BB13" s="16">
        <f>IF($D13="是",I13-J13,0)</f>
        <v>2040.21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t="s">
        <v>3067</v>
      </c>
      <c r="D14" s="1810" t="s">
        <v>3071</v>
      </c>
      <c r="E14" s="16">
        <f>IF($C$3="是",ROUND($A$3*G14/$B$3,2),ROUND($A$3*(G14-AT14)/$B$3,2))</f>
        <v>1243</v>
      </c>
      <c r="F14" s="32"/>
      <c r="G14" s="33">
        <f>H14+AC14+AT14</f>
        <v>786.81</v>
      </c>
      <c r="H14" s="20">
        <f>SUMIF(I$12:AB$12,"总值",I14:AB14)</f>
        <v>786.81</v>
      </c>
      <c r="I14" s="1811">
        <f>面积表!B3</f>
        <v>786.81</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2#</v>
      </c>
      <c r="AY14" s="1533">
        <f>ROUND($AY$6*AZ14/$AZ$5,2)</f>
        <v>1243</v>
      </c>
      <c r="AZ14" s="16">
        <f>BA14+BL14</f>
        <v>786.81</v>
      </c>
      <c r="BA14" s="16">
        <f>SUM(BB14:BK14)</f>
        <v>786.81</v>
      </c>
      <c r="BB14" s="16">
        <f>IF($D14="是",I14-J14,0)</f>
        <v>786.81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t="s">
        <v>3068</v>
      </c>
      <c r="D15" s="1810" t="s">
        <v>3071</v>
      </c>
      <c r="E15" s="16">
        <f>IF($C$3="是",ROUND($A$3*G15/$B$3,2),ROUND($A$3*(G15-AT15)/$B$3,2))</f>
        <v>4504.6000000000004</v>
      </c>
      <c r="F15" s="32"/>
      <c r="G15" s="33">
        <f>H15+AC15+AT15</f>
        <v>2851.39</v>
      </c>
      <c r="H15" s="20">
        <f>SUMIF(I$12:AB$12,"总值",I15:AB15)</f>
        <v>2851.39</v>
      </c>
      <c r="I15" s="1811">
        <f>面积表!B4</f>
        <v>2851.39</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3#</v>
      </c>
      <c r="AY15" s="1533">
        <f>ROUND($AY$6*AZ15/$AZ$5,2)</f>
        <v>4504.6000000000004</v>
      </c>
      <c r="AZ15" s="16">
        <f>BA15+BL15</f>
        <v>2851.39</v>
      </c>
      <c r="BA15" s="16">
        <f>SUM(BB15:BK15)</f>
        <v>2851.39</v>
      </c>
      <c r="BB15" s="16">
        <f>IF($D15="是",I15-J15,0)</f>
        <v>2851.39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t="s">
        <v>3069</v>
      </c>
      <c r="D16" s="1810" t="s">
        <v>3071</v>
      </c>
      <c r="E16" s="16">
        <f>IF($C$3="是",ROUND($A$3*G16/$B$3,2),ROUND($A$3*(G16-AT16)/$B$3,2))</f>
        <v>8117.28</v>
      </c>
      <c r="F16" s="32"/>
      <c r="G16" s="33">
        <f>H16+AC16+AT16</f>
        <v>5138.2</v>
      </c>
      <c r="H16" s="20">
        <f>SUMIF(I$12:AB$12,"总值",I16:AB16)</f>
        <v>5138.2</v>
      </c>
      <c r="I16" s="1811">
        <f>面积表!B5</f>
        <v>5138.2</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4#</v>
      </c>
      <c r="AY16" s="1533">
        <f>ROUND($AY$6*AZ16/$AZ$5,2)</f>
        <v>8117.28</v>
      </c>
      <c r="AZ16" s="16">
        <f>BA16+BL16</f>
        <v>5138.2</v>
      </c>
      <c r="BA16" s="16">
        <f>SUM(BB16:BK16)</f>
        <v>5138.2</v>
      </c>
      <c r="BB16" s="16">
        <f>IF($D16="是",I16-J16,0)</f>
        <v>5138.2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t="s">
        <v>3070</v>
      </c>
      <c r="D17" s="1810" t="s">
        <v>3071</v>
      </c>
      <c r="E17" s="16">
        <f>IF($C$3="是",ROUND($A$3*G17/$B$3,2),ROUND($A$3*(G17-AT17)/$B$3,2))</f>
        <v>2830.65</v>
      </c>
      <c r="F17" s="32"/>
      <c r="G17" s="33">
        <f>H17+AC17+AT17</f>
        <v>1791.79</v>
      </c>
      <c r="H17" s="20">
        <f>SUMIF(I$12:AB$12,"总值",I17:AB17)</f>
        <v>1791.79</v>
      </c>
      <c r="I17" s="1811">
        <f>面积表!B6</f>
        <v>1791.79</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5#</v>
      </c>
      <c r="AY17" s="1533">
        <f>ROUND($AY$6*AZ17/$AZ$5,2)</f>
        <v>2830.65</v>
      </c>
      <c r="AZ17" s="16">
        <f>BA17+BL17</f>
        <v>1791.79</v>
      </c>
      <c r="BA17" s="16">
        <f>SUM(BB17:BK17)</f>
        <v>1791.79</v>
      </c>
      <c r="BB17" s="16">
        <f>IF($D17="是",I17-J17,0)</f>
        <v>1791.79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9"/>
  <sheetViews>
    <sheetView workbookViewId="0">
      <selection activeCell="G7" sqref="G7"/>
    </sheetView>
  </sheetViews>
  <sheetFormatPr defaultRowHeight="13.5"/>
  <cols>
    <col min="2" max="2" width="10.5" bestFit="1" customWidth="1"/>
    <col min="3" max="3" width="12.125" customWidth="1"/>
    <col min="4" max="4" width="11.75" customWidth="1"/>
    <col min="6" max="6" width="10.75" customWidth="1"/>
  </cols>
  <sheetData>
    <row r="1" spans="1:8">
      <c r="A1" s="3059" t="s">
        <v>3129</v>
      </c>
      <c r="B1" s="3059" t="s">
        <v>3078</v>
      </c>
      <c r="C1" s="3059" t="s">
        <v>3080</v>
      </c>
      <c r="D1" s="3059" t="s">
        <v>3079</v>
      </c>
      <c r="E1" s="3059" t="s">
        <v>3081</v>
      </c>
      <c r="F1" s="3059" t="s">
        <v>3082</v>
      </c>
    </row>
    <row r="2" spans="1:8">
      <c r="A2" s="3059" t="s">
        <v>3073</v>
      </c>
      <c r="B2">
        <v>2040.21</v>
      </c>
      <c r="C2" s="3059" t="s">
        <v>3083</v>
      </c>
      <c r="D2">
        <v>3</v>
      </c>
      <c r="E2">
        <v>2001</v>
      </c>
      <c r="F2" s="3059" t="s">
        <v>3084</v>
      </c>
      <c r="G2">
        <f>ROUND(1-(1-2%)*(2021-E2)/50,2)</f>
        <v>0.61</v>
      </c>
      <c r="H2">
        <f>G2*B2</f>
        <v>1244.5281</v>
      </c>
    </row>
    <row r="3" spans="1:8">
      <c r="A3" s="3059" t="s">
        <v>3074</v>
      </c>
      <c r="B3">
        <v>786.81</v>
      </c>
      <c r="C3" s="3059" t="s">
        <v>3086</v>
      </c>
      <c r="D3">
        <v>1</v>
      </c>
      <c r="E3">
        <v>2004</v>
      </c>
      <c r="F3" s="3059" t="s">
        <v>3087</v>
      </c>
      <c r="G3">
        <f>ROUND(1-(1-2%)*(2021-E3)/80,2)</f>
        <v>0.79</v>
      </c>
      <c r="H3">
        <f t="shared" ref="H3:H6" si="0">G3*B3</f>
        <v>621.57989999999995</v>
      </c>
    </row>
    <row r="4" spans="1:8">
      <c r="A4" s="3059" t="s">
        <v>3075</v>
      </c>
      <c r="B4">
        <v>2851.39</v>
      </c>
      <c r="C4" s="3059" t="s">
        <v>3086</v>
      </c>
      <c r="D4">
        <v>1</v>
      </c>
      <c r="E4">
        <v>2004</v>
      </c>
      <c r="F4" s="3059" t="s">
        <v>3088</v>
      </c>
      <c r="G4">
        <f t="shared" ref="G4:G6" si="1">ROUND(1-(1-2%)*(2021-E4)/80,2)</f>
        <v>0.79</v>
      </c>
      <c r="H4">
        <f t="shared" si="0"/>
        <v>2252.5981000000002</v>
      </c>
    </row>
    <row r="5" spans="1:8">
      <c r="A5" s="3059" t="s">
        <v>3076</v>
      </c>
      <c r="B5">
        <v>5138.2</v>
      </c>
      <c r="C5" s="3059" t="s">
        <v>3086</v>
      </c>
      <c r="D5">
        <v>1</v>
      </c>
      <c r="E5">
        <v>2001</v>
      </c>
      <c r="F5" s="3059" t="s">
        <v>3088</v>
      </c>
      <c r="G5">
        <f t="shared" si="1"/>
        <v>0.76</v>
      </c>
      <c r="H5">
        <f t="shared" si="0"/>
        <v>3905.0319999999997</v>
      </c>
    </row>
    <row r="6" spans="1:8">
      <c r="A6" s="3059" t="s">
        <v>3077</v>
      </c>
      <c r="B6">
        <v>1791.79</v>
      </c>
      <c r="C6" s="3059" t="s">
        <v>3086</v>
      </c>
      <c r="D6">
        <v>1</v>
      </c>
      <c r="E6">
        <v>2001</v>
      </c>
      <c r="F6" s="3059" t="s">
        <v>3087</v>
      </c>
      <c r="G6">
        <f t="shared" si="1"/>
        <v>0.76</v>
      </c>
      <c r="H6">
        <f t="shared" si="0"/>
        <v>1361.7603999999999</v>
      </c>
    </row>
    <row r="7" spans="1:8">
      <c r="B7">
        <f>SUM(B2:B6)</f>
        <v>12608.400000000001</v>
      </c>
      <c r="G7">
        <f>ROUND(H7/B7,2)</f>
        <v>0.74</v>
      </c>
      <c r="H7">
        <f>SUM(H2:H6)</f>
        <v>9385.4984999999997</v>
      </c>
    </row>
    <row r="11" spans="1:8">
      <c r="B11" s="3059" t="s">
        <v>3115</v>
      </c>
      <c r="C11" s="3059" t="s">
        <v>3116</v>
      </c>
    </row>
    <row r="12" spans="1:8">
      <c r="B12" s="3063">
        <v>44409</v>
      </c>
      <c r="C12" s="3061">
        <v>44773</v>
      </c>
      <c r="D12" s="3062">
        <v>9213158</v>
      </c>
      <c r="F12">
        <f>D12/365/B7</f>
        <v>2.0019612930366488</v>
      </c>
    </row>
    <row r="13" spans="1:8">
      <c r="B13" s="3063">
        <v>44774</v>
      </c>
      <c r="C13" s="3061">
        <v>45138</v>
      </c>
      <c r="D13">
        <v>9649139.4000000004</v>
      </c>
      <c r="F13">
        <f>D13/365/B7</f>
        <v>2.0966973094258101</v>
      </c>
    </row>
    <row r="14" spans="1:8">
      <c r="B14" s="3063">
        <v>45139</v>
      </c>
      <c r="C14" s="3061">
        <v>45504</v>
      </c>
      <c r="D14">
        <v>9649139.4000000004</v>
      </c>
      <c r="F14">
        <f>D14/365/B7</f>
        <v>2.0966973094258101</v>
      </c>
    </row>
    <row r="15" spans="1:8">
      <c r="B15" s="3063">
        <v>45505</v>
      </c>
      <c r="C15" s="3061">
        <v>45869</v>
      </c>
      <c r="D15">
        <v>10085120.800000001</v>
      </c>
      <c r="F15">
        <f>D15/365/B7</f>
        <v>2.191433325814971</v>
      </c>
    </row>
    <row r="16" spans="1:8">
      <c r="B16" s="3063">
        <v>45870</v>
      </c>
      <c r="C16" s="3061">
        <v>46234</v>
      </c>
      <c r="D16">
        <v>10085120.800000001</v>
      </c>
      <c r="F16">
        <f>D16/365/B7</f>
        <v>2.191433325814971</v>
      </c>
    </row>
    <row r="17" spans="2:6">
      <c r="B17" s="3063">
        <v>46235</v>
      </c>
      <c r="C17" s="3061">
        <v>46599</v>
      </c>
      <c r="D17">
        <v>10521102.199999999</v>
      </c>
      <c r="F17">
        <f>D17/365/B7</f>
        <v>2.2861693422041314</v>
      </c>
    </row>
    <row r="18" spans="2:6">
      <c r="B18" s="3063">
        <v>46600</v>
      </c>
      <c r="C18" s="3061">
        <v>46965</v>
      </c>
      <c r="D18">
        <v>11521102.199999999</v>
      </c>
      <c r="E18">
        <f>D18/365/B7</f>
        <v>2.5034630533330025</v>
      </c>
      <c r="F18">
        <f>D18/365/B7</f>
        <v>2.5034630533330025</v>
      </c>
    </row>
    <row r="19" spans="2:6">
      <c r="D19">
        <f>SUM(D13:D18)+D12*(365-26)/365</f>
        <v>70067603.052054808</v>
      </c>
      <c r="E19">
        <f>D19/B7/(6+(365-26)/365)/365</f>
        <v>2.1973966257161921</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30" sqref="K3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1814</v>
      </c>
      <c r="B1" s="1301"/>
      <c r="C1" s="1301"/>
      <c r="D1" s="1301"/>
      <c r="E1" s="1301"/>
      <c r="F1" s="1301"/>
      <c r="G1" s="1301"/>
      <c r="H1" s="1301"/>
      <c r="I1" s="1301"/>
      <c r="J1" s="1301"/>
      <c r="K1" s="1301"/>
      <c r="L1" s="1301"/>
      <c r="M1" s="1301"/>
      <c r="N1" s="1301"/>
      <c r="O1" s="1301"/>
      <c r="P1" s="1301"/>
    </row>
    <row r="2" spans="1:16" ht="15">
      <c r="A2" s="3151" t="s">
        <v>1815</v>
      </c>
      <c r="B2" s="3151"/>
      <c r="C2" s="3151"/>
      <c r="D2" s="904" t="s">
        <v>1791</v>
      </c>
      <c r="E2" s="1824" t="s">
        <v>1792</v>
      </c>
      <c r="F2" s="2884"/>
      <c r="G2" s="2875"/>
      <c r="H2" s="2876"/>
      <c r="I2" s="2548" t="s">
        <v>1816</v>
      </c>
      <c r="J2" s="2884"/>
      <c r="K2" s="2884"/>
      <c r="L2" s="2884"/>
      <c r="M2" s="2884"/>
      <c r="N2" s="2886"/>
      <c r="O2" s="2884"/>
      <c r="P2" s="2884"/>
    </row>
    <row r="3" spans="1:16" ht="15.75" thickBot="1">
      <c r="A3" s="3152" t="s">
        <v>1789</v>
      </c>
      <c r="B3" s="3152"/>
      <c r="C3" s="3152"/>
      <c r="D3" s="46">
        <f>'数据-基础表'!AY6</f>
        <v>19918.64</v>
      </c>
      <c r="E3" s="46">
        <f>'数据-基础表'!AZ5</f>
        <v>12608.400000000001</v>
      </c>
      <c r="F3" s="2884"/>
      <c r="G3" s="1307"/>
      <c r="H3" s="1157" t="s">
        <v>1790</v>
      </c>
      <c r="I3" s="964">
        <f>ROUND('数据-基础表'!B3/'数据-基础表'!A3,2)</f>
        <v>0.63</v>
      </c>
      <c r="J3" s="2884"/>
      <c r="K3" s="2884"/>
      <c r="L3" s="2884"/>
      <c r="M3" s="2884"/>
      <c r="N3" s="2886"/>
      <c r="O3" s="2884"/>
      <c r="P3" s="2884"/>
    </row>
    <row r="4" spans="1:16" ht="15">
      <c r="A4" s="3153"/>
      <c r="B4" s="3154"/>
      <c r="C4" s="3155"/>
      <c r="D4" s="1826" t="s">
        <v>1791</v>
      </c>
      <c r="E4" s="1827" t="s">
        <v>1792</v>
      </c>
      <c r="F4" s="2884"/>
      <c r="G4" s="2877" t="s">
        <v>1817</v>
      </c>
      <c r="H4" s="1157" t="s">
        <v>1797</v>
      </c>
      <c r="I4" s="964">
        <f>ROUND(SUMIF('数据-基础表'!I9:AS9,"地上",'数据-基础表'!I5:AS5)/'数据-基础表'!A3,2)</f>
        <v>0.63</v>
      </c>
      <c r="J4" s="2884"/>
      <c r="K4" s="2884"/>
      <c r="L4" s="2884"/>
      <c r="M4" s="2884"/>
      <c r="N4" s="2886"/>
      <c r="O4" s="2884"/>
      <c r="P4" s="2884"/>
    </row>
    <row r="5" spans="1:16">
      <c r="A5" s="47" t="s">
        <v>1793</v>
      </c>
      <c r="B5" s="3156" t="s">
        <v>1794</v>
      </c>
      <c r="C5" s="3156"/>
      <c r="D5" s="48">
        <f>ROUND($D$3*E5/$E$3,2)</f>
        <v>0</v>
      </c>
      <c r="E5" s="49">
        <f>SUMIF('数据-基础表'!$11:$11,"住宅",'数据-基础表'!$5:$5)</f>
        <v>0</v>
      </c>
      <c r="F5" s="2884"/>
      <c r="G5" s="1307"/>
      <c r="H5" s="1157" t="s">
        <v>1790</v>
      </c>
      <c r="I5" s="964">
        <f>ROUND(E31/D31,2)</f>
        <v>0.63</v>
      </c>
      <c r="J5" s="2884"/>
      <c r="K5" s="2884"/>
      <c r="L5" s="2884"/>
      <c r="M5" s="2884"/>
      <c r="N5" s="2884"/>
      <c r="O5" s="2884"/>
      <c r="P5" s="2884"/>
    </row>
    <row r="6" spans="1:16" ht="15" thickBot="1">
      <c r="A6" s="1829"/>
      <c r="B6" s="3156" t="s">
        <v>1795</v>
      </c>
      <c r="C6" s="3156"/>
      <c r="D6" s="48">
        <f>ROUND($D$3*E6/$E$3,2)</f>
        <v>19918.64</v>
      </c>
      <c r="E6" s="49">
        <f>E3-E5</f>
        <v>12608.400000000001</v>
      </c>
      <c r="F6" s="2884"/>
      <c r="G6" s="2878" t="s">
        <v>1796</v>
      </c>
      <c r="H6" s="1308" t="s">
        <v>1797</v>
      </c>
      <c r="I6" s="2879">
        <f>ROUND(F31/D31,2)</f>
        <v>0.63</v>
      </c>
      <c r="J6" s="2884"/>
      <c r="K6" s="2884"/>
      <c r="L6" s="2884"/>
      <c r="M6" s="2884"/>
      <c r="N6" s="2884"/>
      <c r="O6" s="2884"/>
      <c r="P6" s="2884"/>
    </row>
    <row r="7" spans="1:16" ht="15.75" thickBot="1">
      <c r="A7" s="3148"/>
      <c r="B7" s="3149"/>
      <c r="C7" s="3150"/>
      <c r="D7" s="1826" t="s">
        <v>1791</v>
      </c>
      <c r="E7" s="1830" t="s">
        <v>1798</v>
      </c>
      <c r="F7" s="2884"/>
      <c r="G7" s="2880" t="s">
        <v>1799</v>
      </c>
      <c r="H7" s="2881"/>
      <c r="I7" s="2882"/>
      <c r="J7" s="2884"/>
      <c r="K7" s="2884"/>
      <c r="L7" s="2884"/>
      <c r="M7" s="2884"/>
      <c r="N7" s="2884"/>
      <c r="O7" s="2884"/>
      <c r="P7" s="2884"/>
    </row>
    <row r="8" spans="1:16">
      <c r="A8" s="47" t="s">
        <v>1800</v>
      </c>
      <c r="B8" s="50" t="s">
        <v>1801</v>
      </c>
      <c r="C8" s="48" t="s">
        <v>1802</v>
      </c>
      <c r="D8" s="48">
        <f t="shared" ref="D8:D15" si="0">ROUND($D$3*E8/$E$3,2)</f>
        <v>19918.64</v>
      </c>
      <c r="E8" s="51">
        <f>SUMIF('数据-基础表'!BB10:BK10,"地上",'数据-基础表'!BB5:BK5)</f>
        <v>12608.400000000001</v>
      </c>
      <c r="F8" s="2884"/>
      <c r="G8" s="2885"/>
      <c r="H8" s="2885"/>
      <c r="I8" s="2884"/>
      <c r="J8" s="2884"/>
      <c r="K8" s="2884"/>
      <c r="L8" s="2884"/>
      <c r="M8" s="2884"/>
      <c r="N8" s="2884"/>
      <c r="O8" s="2884"/>
      <c r="P8" s="2884"/>
    </row>
    <row r="9" spans="1:16">
      <c r="A9" s="1831"/>
      <c r="B9" s="1832"/>
      <c r="C9" s="48" t="s">
        <v>1803</v>
      </c>
      <c r="D9" s="48">
        <f t="shared" si="0"/>
        <v>0</v>
      </c>
      <c r="E9" s="52">
        <v>0</v>
      </c>
      <c r="F9" s="2884"/>
      <c r="G9" s="2885"/>
      <c r="H9" s="2885"/>
      <c r="I9" s="2884"/>
      <c r="J9" s="2884"/>
      <c r="K9" s="2884"/>
      <c r="L9" s="2884"/>
      <c r="M9" s="2884"/>
      <c r="N9" s="2884"/>
      <c r="O9" s="2884"/>
      <c r="P9" s="2884"/>
    </row>
    <row r="10" spans="1:16">
      <c r="A10" s="1831"/>
      <c r="B10" s="1832"/>
      <c r="C10" s="48" t="s">
        <v>1812</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1804</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1805</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1806</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1818</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1813</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1807</v>
      </c>
      <c r="D16" s="50">
        <f>SUM(D8:D15)</f>
        <v>19918.64</v>
      </c>
      <c r="E16" s="53">
        <f>SUM(E8:E15)</f>
        <v>12608.400000000001</v>
      </c>
      <c r="F16" s="2884"/>
      <c r="G16" s="2885"/>
      <c r="H16" s="1833" t="s">
        <v>1819</v>
      </c>
      <c r="I16" s="1834"/>
      <c r="J16" s="1301"/>
      <c r="K16" s="3145" t="s">
        <v>1819</v>
      </c>
      <c r="L16" s="3146"/>
      <c r="M16" s="3146"/>
      <c r="N16" s="3146"/>
      <c r="O16" s="3146"/>
      <c r="P16" s="3147"/>
    </row>
    <row r="17" spans="1:19" ht="15">
      <c r="A17" s="1835" t="s">
        <v>1820</v>
      </c>
      <c r="B17" s="1836" t="s">
        <v>1821</v>
      </c>
      <c r="C17" s="1837" t="s">
        <v>1822</v>
      </c>
      <c r="D17" s="1838" t="s">
        <v>1810</v>
      </c>
      <c r="E17" s="1839" t="s">
        <v>1811</v>
      </c>
      <c r="F17" s="1840"/>
      <c r="G17" s="1841"/>
      <c r="H17" s="1842" t="s">
        <v>1823</v>
      </c>
      <c r="I17" s="1843" t="s">
        <v>1808</v>
      </c>
      <c r="J17" s="1301"/>
      <c r="K17" s="3142" t="s">
        <v>1824</v>
      </c>
      <c r="L17" s="3143"/>
      <c r="M17" s="3144"/>
      <c r="N17" s="3142" t="s">
        <v>1825</v>
      </c>
      <c r="O17" s="3143"/>
      <c r="P17" s="3144"/>
      <c r="R17" s="1825" t="s">
        <v>1826</v>
      </c>
      <c r="S17" s="60"/>
    </row>
    <row r="18" spans="1:19" ht="15">
      <c r="A18" s="1831"/>
      <c r="B18" s="1844"/>
      <c r="C18" s="1845"/>
      <c r="D18" s="1846"/>
      <c r="E18" s="1847" t="s">
        <v>1827</v>
      </c>
      <c r="F18" s="1848" t="s">
        <v>1828</v>
      </c>
      <c r="G18" s="1849" t="s">
        <v>1829</v>
      </c>
      <c r="H18" s="1172" t="s">
        <v>1830</v>
      </c>
      <c r="I18" s="1850" t="s">
        <v>1831</v>
      </c>
      <c r="J18" s="1301"/>
      <c r="K18" s="1172" t="s">
        <v>1832</v>
      </c>
      <c r="L18" s="1851" t="s">
        <v>1833</v>
      </c>
      <c r="M18" s="964" t="s">
        <v>1834</v>
      </c>
      <c r="N18" s="1172" t="s">
        <v>1832</v>
      </c>
      <c r="O18" s="1851" t="s">
        <v>1833</v>
      </c>
      <c r="P18" s="964" t="s">
        <v>1834</v>
      </c>
      <c r="R18" s="1157" t="s">
        <v>1835</v>
      </c>
      <c r="S18" s="1157" t="s">
        <v>1836</v>
      </c>
    </row>
    <row r="19" spans="1:19">
      <c r="A19" s="1852"/>
      <c r="B19" s="50" t="s">
        <v>1809</v>
      </c>
      <c r="C19" s="3060" t="s">
        <v>3089</v>
      </c>
      <c r="D19" s="48">
        <f>ROUND($D$3*E19/$E$3,2)</f>
        <v>19918.64</v>
      </c>
      <c r="E19" s="56">
        <f t="shared" ref="E19:E26" si="1">SUM(F19:G19)</f>
        <v>12608.400000000001</v>
      </c>
      <c r="F19" s="3024">
        <f>'数据-基础表'!I5</f>
        <v>12608.400000000001</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19918.64</v>
      </c>
      <c r="S19" s="1158">
        <f t="shared" si="5"/>
        <v>12608.400000000001</v>
      </c>
    </row>
    <row r="20" spans="1:19">
      <c r="A20" s="1856"/>
      <c r="B20" s="50" t="s">
        <v>1837</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1837</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1837</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1837</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1837</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1837</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1837</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1838</v>
      </c>
      <c r="D27" s="1302">
        <f>SUM(D19:D26)</f>
        <v>19918.64</v>
      </c>
      <c r="E27" s="1303">
        <f>IF(SUM(E19:E26)='数据-基础表'!BA5,SUM(E19:E26),IF(F27="地上面积有误","面积有误","地下面积有误"))</f>
        <v>12608.400000000001</v>
      </c>
      <c r="F27" s="1302">
        <f>IF(SUM(F19:F26)=E8,SUM(F19:F26),"地上面积有误")</f>
        <v>12608.400000000001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19918.64</v>
      </c>
      <c r="S27" s="1157">
        <f>IF(SUM(S19:S26)=$E$3,SUM(S19:S26),SUM(S19:S26)&amp;"误差"&amp;ROUND(SUM(S19:S26)-E3,2))</f>
        <v>12608.400000000001</v>
      </c>
    </row>
    <row r="28" spans="1:19">
      <c r="A28" s="1856"/>
      <c r="B28" s="50" t="s">
        <v>1839</v>
      </c>
      <c r="C28" s="1169" t="s">
        <v>1840</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1839</v>
      </c>
      <c r="C29" s="1860" t="s">
        <v>1841</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1838</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1842</v>
      </c>
      <c r="D31" s="685">
        <f>D27+D30</f>
        <v>19918.64</v>
      </c>
      <c r="E31" s="685">
        <f>E27+E30</f>
        <v>12608.400000000001</v>
      </c>
      <c r="F31" s="686">
        <f>F27+F30</f>
        <v>12608.400000000001</v>
      </c>
      <c r="G31" s="687">
        <f>G27+G30</f>
        <v>0</v>
      </c>
      <c r="H31" s="2884"/>
      <c r="I31" s="2884"/>
      <c r="J31" s="2884"/>
      <c r="K31" s="2884"/>
      <c r="L31" s="2884"/>
      <c r="M31" s="2884"/>
      <c r="N31" s="2884"/>
      <c r="O31" s="2884"/>
      <c r="P31" s="2884"/>
    </row>
    <row r="32" spans="1:19">
      <c r="A32" s="1828"/>
      <c r="B32" s="1828" t="s">
        <v>1843</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1844</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1845</v>
      </c>
      <c r="B2" s="1176">
        <f>项目基本情况!D3</f>
        <v>44434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1846</v>
      </c>
      <c r="B4" s="1874"/>
      <c r="C4" s="1875"/>
      <c r="D4" s="1876"/>
      <c r="E4" s="1875" t="s">
        <v>1847</v>
      </c>
      <c r="F4" s="1875"/>
      <c r="G4" s="1875"/>
      <c r="H4" s="1875"/>
      <c r="I4" s="1875"/>
      <c r="J4" s="1877"/>
      <c r="K4" s="1878"/>
      <c r="L4" s="1879"/>
      <c r="M4" s="1875"/>
      <c r="N4" s="1875" t="s">
        <v>1848</v>
      </c>
      <c r="O4" s="1875"/>
      <c r="P4" s="1875"/>
      <c r="Q4" s="1875"/>
      <c r="R4" s="1875"/>
      <c r="S4" s="1877"/>
      <c r="T4" s="2883" t="str">
        <f>'数据-汇总表'!I17</f>
        <v>按面积比例</v>
      </c>
      <c r="U4" s="1874" t="s">
        <v>1849</v>
      </c>
      <c r="V4" s="1875"/>
      <c r="W4" s="1875"/>
      <c r="X4" s="1875"/>
      <c r="Y4" s="1877"/>
      <c r="Z4" s="1837" t="s">
        <v>1850</v>
      </c>
      <c r="AA4" s="1837"/>
      <c r="AB4" s="1837"/>
      <c r="AC4" s="1837"/>
      <c r="AD4" s="1837"/>
      <c r="AE4" s="1835" t="s">
        <v>1851</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1852</v>
      </c>
      <c r="B5" s="1882" t="s">
        <v>1853</v>
      </c>
      <c r="C5" s="1883" t="s">
        <v>1854</v>
      </c>
      <c r="D5" s="1884" t="s">
        <v>1855</v>
      </c>
      <c r="E5" s="1178" t="s">
        <v>1856</v>
      </c>
      <c r="F5" s="1885" t="s">
        <v>1857</v>
      </c>
      <c r="G5" s="1178" t="s">
        <v>1858</v>
      </c>
      <c r="H5" s="1178" t="s">
        <v>1859</v>
      </c>
      <c r="I5" s="1178" t="s">
        <v>1860</v>
      </c>
      <c r="J5" s="1886" t="s">
        <v>1861</v>
      </c>
      <c r="K5" s="1887" t="s">
        <v>1862</v>
      </c>
      <c r="L5" s="1888" t="s">
        <v>1863</v>
      </c>
      <c r="M5" s="1889" t="s">
        <v>1864</v>
      </c>
      <c r="N5" s="1890" t="s">
        <v>3090</v>
      </c>
      <c r="O5" s="1888" t="s">
        <v>1865</v>
      </c>
      <c r="P5" s="1891" t="s">
        <v>1866</v>
      </c>
      <c r="Q5" s="65" t="s">
        <v>1867</v>
      </c>
      <c r="R5" s="1892" t="s">
        <v>1868</v>
      </c>
      <c r="S5" s="1893" t="s">
        <v>1869</v>
      </c>
      <c r="T5" s="1894" t="s">
        <v>1870</v>
      </c>
      <c r="U5" s="1177" t="s">
        <v>1871</v>
      </c>
      <c r="V5" s="1178" t="s">
        <v>1872</v>
      </c>
      <c r="W5" s="1178" t="s">
        <v>1873</v>
      </c>
      <c r="X5" s="67"/>
      <c r="Y5" s="66" t="s">
        <v>1874</v>
      </c>
      <c r="Z5" s="1895" t="s">
        <v>1871</v>
      </c>
      <c r="AA5" s="1178" t="s">
        <v>1872</v>
      </c>
      <c r="AB5" s="1178" t="s">
        <v>1873</v>
      </c>
      <c r="AC5" s="67"/>
      <c r="AD5" s="67" t="s">
        <v>1874</v>
      </c>
      <c r="AE5" s="1177" t="s">
        <v>1875</v>
      </c>
      <c r="AF5" s="1178" t="s">
        <v>1876</v>
      </c>
      <c r="AG5" s="66" t="s">
        <v>1877</v>
      </c>
      <c r="AH5" s="1177" t="s">
        <v>1878</v>
      </c>
      <c r="AI5" s="1895" t="s">
        <v>1879</v>
      </c>
      <c r="AJ5" s="1895" t="s">
        <v>1880</v>
      </c>
      <c r="AK5" s="1178" t="s">
        <v>1881</v>
      </c>
      <c r="AL5" s="1178" t="s">
        <v>1882</v>
      </c>
      <c r="AM5" s="66" t="s">
        <v>1883</v>
      </c>
      <c r="AN5" s="1896" t="s">
        <v>1884</v>
      </c>
      <c r="AO5" s="1747" t="s">
        <v>1885</v>
      </c>
      <c r="AP5" s="1159"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53394</v>
      </c>
      <c r="F6" s="68">
        <f>SUMIF(项目基本情况!D$12:I$12,C6,项目基本情况!D$15:I$15)</f>
        <v>24.54</v>
      </c>
      <c r="G6" s="69">
        <f>IF(ISERROR(ROUND(POWER(1+H6,D6-F6)*(POWER(1+H6,F6)-1)/(POWER(1+H6,D6)-1),3)),0,ROUND(POWER(1+H6,D6-F6)*(POWER(1+H6,F6)-1)/(POWER(1+H6,D6)-1),3))</f>
        <v>0.76500000000000001</v>
      </c>
      <c r="H6" s="741">
        <v>0.05</v>
      </c>
      <c r="I6" s="741">
        <v>5.5E-2</v>
      </c>
      <c r="J6" s="70">
        <v>8.5000000000000006E-2</v>
      </c>
      <c r="K6" s="1161">
        <f>SUMIF('数据-汇总表'!C$19:C$33,A6,'数据-汇总表'!E$19:E$33)</f>
        <v>12608.400000000001</v>
      </c>
      <c r="L6" s="742">
        <v>2500</v>
      </c>
      <c r="M6" s="71">
        <f t="shared" ref="M6:M14" si="0">ROUND(K6*L6/10000,0)</f>
        <v>3152</v>
      </c>
      <c r="N6" s="740">
        <f>ROUND((面积表!G7+85%)/2,2)</f>
        <v>0.8</v>
      </c>
      <c r="O6" s="71" t="str">
        <f>IF($N$5="成新度","——",ROUND(M6*N6,0))</f>
        <v>——</v>
      </c>
      <c r="P6" s="72" t="str">
        <f>IF($N$5="成新度","——",M6-O6)</f>
        <v>——</v>
      </c>
      <c r="Q6" s="743">
        <v>0.15</v>
      </c>
      <c r="R6" s="73">
        <f ca="1">SUMIF('数据-汇总表'!C$19:C$33,A6,'数据-汇总表'!R$19:R$27)</f>
        <v>19918.64</v>
      </c>
      <c r="S6" s="54">
        <f>IF('数据-汇总表'!$I$17="按面积比例",SUMIF('数据-汇总表'!C$19:C$33,A6,'数据-汇总表'!K$19:K$33),SUMIF('数据-汇总表'!C$19:C$33,A6,'数据-汇总表'!N$19:N$33))</f>
        <v>0</v>
      </c>
      <c r="T6" s="1334">
        <f>ROUND($L$14*S6/10000,0)</f>
        <v>0</v>
      </c>
      <c r="U6" s="74">
        <f>ROUND(面积表!E19,1)</f>
        <v>2.2000000000000002</v>
      </c>
      <c r="V6" s="75">
        <v>0</v>
      </c>
      <c r="W6" s="75">
        <v>0</v>
      </c>
      <c r="X6" s="1171"/>
      <c r="Y6" s="76">
        <f>N6</f>
        <v>0.8</v>
      </c>
      <c r="Z6" s="77">
        <f>ROUND(3.5*(1+AA6)^AF6,1)</f>
        <v>4.3</v>
      </c>
      <c r="AA6" s="70">
        <v>0.03</v>
      </c>
      <c r="AB6" s="70">
        <v>0.1</v>
      </c>
      <c r="AC6" s="1171"/>
      <c r="AD6" s="3064">
        <v>0.75</v>
      </c>
      <c r="AE6" s="1172">
        <f ca="1">IF(AN6="",0,SUMIF(INDIRECT("'"&amp;AN6&amp;"'"&amp;"!E:E"),$AE$5,INDIRECT("'"&amp;AN6&amp;"'"&amp;"!F:F")))</f>
        <v>24.54</v>
      </c>
      <c r="AF6" s="1532">
        <v>6.93</v>
      </c>
      <c r="AG6" s="143">
        <f ca="1">IF(AF6="",0,AE6-AF6)</f>
        <v>17.61</v>
      </c>
      <c r="AH6" s="79"/>
      <c r="AI6" s="81">
        <v>365</v>
      </c>
      <c r="AJ6" s="82"/>
      <c r="AK6" s="83">
        <v>5.0000000000000001E-3</v>
      </c>
      <c r="AL6" s="84">
        <v>1E-3</v>
      </c>
      <c r="AM6" s="85">
        <v>5.0000000000000001E-3</v>
      </c>
      <c r="AN6" s="1901" t="s">
        <v>3091</v>
      </c>
      <c r="AO6" s="55">
        <f ca="1">SUMIF(INDIRECT("'"&amp;AN6&amp;"'"&amp;"!A:A"),"总价",INDIRECT("'"&amp;AN6&amp;"'"&amp;"!B:B"))</f>
        <v>18327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1889</v>
      </c>
      <c r="B14" s="1899" t="s">
        <v>1890</v>
      </c>
      <c r="C14" s="1904" t="s">
        <v>1889</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1891</v>
      </c>
      <c r="B15" s="1899" t="s">
        <v>1890</v>
      </c>
      <c r="C15" s="1904" t="s">
        <v>1892</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1893</v>
      </c>
      <c r="B16" s="93"/>
      <c r="C16" s="942"/>
      <c r="D16" s="1906"/>
      <c r="E16" s="93"/>
      <c r="F16" s="93"/>
      <c r="G16" s="94">
        <f>ROUND(SUMPRODUCT(G6:G13,K6:K13)/SUMPRODUCT((G6:G13&gt;0)*(K6:K13)),3)</f>
        <v>0.76500000000000001</v>
      </c>
      <c r="H16" s="95">
        <f>ROUND(SUMPRODUCT(H6:H13,K6:K13)/SUMPRODUCT((H6:H13&gt;0)*(K6:K13)),3)</f>
        <v>0.05</v>
      </c>
      <c r="I16" s="96"/>
      <c r="J16" s="96"/>
      <c r="K16" s="97">
        <f>SUM(K6:K15)</f>
        <v>12608.400000000001</v>
      </c>
      <c r="L16" s="98">
        <f>ROUND(M16*10000/SUM(K6:K14),0)</f>
        <v>2500</v>
      </c>
      <c r="M16" s="98">
        <f>SUM(M6:M14)</f>
        <v>3152</v>
      </c>
      <c r="N16" s="99">
        <f>ROUND(SUMPRODUCT(M6:M14,N6:N14)/M16,3)</f>
        <v>0.8</v>
      </c>
      <c r="O16" s="98">
        <f>SUM(O6:O14)</f>
        <v>0</v>
      </c>
      <c r="P16" s="98">
        <f>SUM(P6:P14)</f>
        <v>0</v>
      </c>
      <c r="Q16" s="100">
        <f>ROUND(SUMPRODUCT(Q6:Q13,K6:K13)/SUMPRODUCT((Q6:Q13&gt;0)*(K6:K13)),2)</f>
        <v>0.15</v>
      </c>
      <c r="R16" s="1165">
        <f ca="1">SUM(R6:R13)</f>
        <v>19918.64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1894</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1895</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1896</v>
      </c>
      <c r="B20" s="109">
        <v>1</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1897</v>
      </c>
      <c r="B21" s="109">
        <f>B20</f>
        <v>1</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1898</v>
      </c>
      <c r="B22" s="110">
        <f>B19+B20</f>
        <v>1</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1899</v>
      </c>
      <c r="B23" s="110">
        <f>B19+B21</f>
        <v>1</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1900</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1901</v>
      </c>
      <c r="B26" s="1912" t="s">
        <v>1902</v>
      </c>
      <c r="C26" s="2904" t="s">
        <v>1903</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1904</v>
      </c>
      <c r="B27" s="112"/>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1905</v>
      </c>
      <c r="B28" s="115">
        <v>190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1906</v>
      </c>
      <c r="B29" s="117">
        <f ca="1">成本法!C10</f>
        <v>240</v>
      </c>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1907</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1908</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1909</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1910</v>
      </c>
      <c r="B33" s="682">
        <v>0.03</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1911</v>
      </c>
      <c r="B34" s="118">
        <v>0</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1912</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1913</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1914</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1915</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1916</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3117</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1917</v>
      </c>
      <c r="B41" s="121">
        <f>B42+B43</f>
        <v>5.5000000000000007E-2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1918</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1919</v>
      </c>
      <c r="B43" s="123">
        <f>B42*(B44+B45+B46)+B47</f>
        <v>5.000000000000001E-3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1920</v>
      </c>
      <c r="B44" s="124">
        <v>0.05</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1921</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1922</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1923</v>
      </c>
      <c r="B47" s="125">
        <v>0</v>
      </c>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1924</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1925</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1926</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1927</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1928</v>
      </c>
      <c r="B52" s="129">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1929</v>
      </c>
      <c r="B53" s="1924" t="s">
        <v>56</v>
      </c>
      <c r="C53" s="2886" t="s">
        <v>1930</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1931</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1932</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1933</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1934</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1935</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1936</v>
      </c>
      <c r="B59" s="80">
        <f>C59</f>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1937</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1938</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1939</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1940</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1" customFormat="1" ht="18.75" thickBot="1">
      <c r="A1" s="3157" t="s">
        <v>3030</v>
      </c>
      <c r="B1" s="3158"/>
      <c r="C1" s="3158"/>
      <c r="D1" s="3158"/>
      <c r="E1" s="3158"/>
      <c r="F1" s="3158"/>
      <c r="G1" s="315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3025</v>
      </c>
      <c r="D2" s="2685"/>
      <c r="E2" s="2682"/>
      <c r="F2" s="2686"/>
      <c r="G2" s="2684" t="s">
        <v>3026</v>
      </c>
      <c r="H2" s="907"/>
      <c r="I2" s="907"/>
      <c r="J2" s="907"/>
      <c r="K2" s="907"/>
      <c r="L2" s="907"/>
      <c r="M2" s="907"/>
      <c r="N2" s="907"/>
      <c r="O2" s="907"/>
      <c r="P2" s="907"/>
      <c r="Q2" s="907"/>
      <c r="R2" s="907"/>
    </row>
    <row r="3" spans="1:29" ht="48">
      <c r="A3" s="2665" t="s">
        <v>3027</v>
      </c>
      <c r="B3" s="2687" t="s">
        <v>2996</v>
      </c>
      <c r="C3" s="2688" t="s">
        <v>3028</v>
      </c>
      <c r="D3" s="2689"/>
      <c r="E3" s="2666" t="s">
        <v>3027</v>
      </c>
      <c r="F3" s="2690" t="s">
        <v>2997</v>
      </c>
      <c r="G3" s="2691" t="s">
        <v>3029</v>
      </c>
      <c r="H3" s="907"/>
      <c r="I3" s="907"/>
      <c r="J3" s="907"/>
      <c r="K3" s="907"/>
      <c r="L3" s="907"/>
      <c r="M3" s="907"/>
      <c r="N3" s="907"/>
      <c r="O3" s="907"/>
      <c r="P3" s="907"/>
      <c r="Q3" s="907"/>
      <c r="R3" s="907"/>
    </row>
    <row r="4" spans="1:29" ht="36.75">
      <c r="A4" s="2666"/>
      <c r="B4" s="329" t="s">
        <v>2998</v>
      </c>
      <c r="C4" s="2692" t="s">
        <v>2999</v>
      </c>
      <c r="D4" s="2689"/>
      <c r="E4" s="2693"/>
      <c r="F4" s="1557" t="s">
        <v>3000</v>
      </c>
      <c r="G4" s="2694" t="s">
        <v>3001</v>
      </c>
      <c r="H4" s="907"/>
      <c r="I4" s="907"/>
      <c r="J4" s="907"/>
      <c r="K4" s="907"/>
      <c r="L4" s="907"/>
      <c r="M4" s="907"/>
      <c r="N4" s="907"/>
      <c r="O4" s="907"/>
      <c r="P4" s="907"/>
      <c r="Q4" s="907"/>
      <c r="R4" s="907"/>
    </row>
    <row r="5" spans="1:29" ht="36.75">
      <c r="A5" s="2666"/>
      <c r="B5" s="329" t="s">
        <v>3002</v>
      </c>
      <c r="C5" s="2692" t="s">
        <v>3003</v>
      </c>
      <c r="D5" s="2689"/>
      <c r="E5" s="2693"/>
      <c r="F5" s="329" t="s">
        <v>3004</v>
      </c>
      <c r="G5" s="2694" t="s">
        <v>3005</v>
      </c>
      <c r="H5" s="907"/>
      <c r="I5" s="907"/>
      <c r="J5" s="907"/>
      <c r="K5" s="907"/>
      <c r="L5" s="907"/>
      <c r="M5" s="907"/>
      <c r="N5" s="907"/>
      <c r="O5" s="907"/>
      <c r="P5" s="907"/>
      <c r="Q5" s="907"/>
      <c r="R5" s="907"/>
    </row>
    <row r="6" spans="1:29" ht="36">
      <c r="A6" s="2666"/>
      <c r="B6" s="329" t="s">
        <v>3006</v>
      </c>
      <c r="C6" s="2694" t="s">
        <v>3001</v>
      </c>
      <c r="D6" s="2689"/>
      <c r="E6" s="2693"/>
      <c r="F6" s="329" t="s">
        <v>3007</v>
      </c>
      <c r="G6" s="2694" t="s">
        <v>3008</v>
      </c>
      <c r="H6" s="907"/>
      <c r="I6" s="907"/>
      <c r="J6" s="907"/>
      <c r="K6" s="907"/>
      <c r="L6" s="907"/>
      <c r="M6" s="907"/>
      <c r="N6" s="907"/>
      <c r="O6" s="907"/>
      <c r="P6" s="907"/>
      <c r="Q6" s="907"/>
      <c r="R6" s="907"/>
    </row>
    <row r="7" spans="1:29" ht="24.75" thickBot="1">
      <c r="A7" s="2666"/>
      <c r="B7" s="329" t="s">
        <v>3004</v>
      </c>
      <c r="C7" s="2694" t="s">
        <v>3005</v>
      </c>
      <c r="D7" s="2695"/>
      <c r="E7" s="2696"/>
      <c r="F7" s="2697" t="s">
        <v>3009</v>
      </c>
      <c r="G7" s="2698" t="s">
        <v>3010</v>
      </c>
      <c r="H7" s="907"/>
      <c r="I7" s="907"/>
      <c r="J7" s="907"/>
      <c r="K7" s="907"/>
      <c r="L7" s="907"/>
      <c r="M7" s="907"/>
      <c r="N7" s="907"/>
      <c r="O7" s="907"/>
      <c r="P7" s="907"/>
      <c r="Q7" s="907"/>
      <c r="R7" s="907"/>
    </row>
    <row r="8" spans="1:29">
      <c r="A8" s="2666"/>
      <c r="B8" s="329" t="s">
        <v>3007</v>
      </c>
      <c r="C8" s="2694" t="s">
        <v>3008</v>
      </c>
      <c r="D8" s="2695"/>
      <c r="E8" s="2695"/>
      <c r="F8" s="2699"/>
      <c r="G8" s="2699"/>
      <c r="H8" s="907"/>
      <c r="I8" s="907"/>
      <c r="J8" s="907"/>
      <c r="K8" s="907"/>
      <c r="L8" s="907"/>
      <c r="M8" s="907"/>
      <c r="N8" s="907"/>
      <c r="O8" s="907"/>
      <c r="P8" s="907"/>
      <c r="Q8" s="907"/>
      <c r="R8" s="907"/>
    </row>
    <row r="9" spans="1:29" ht="24">
      <c r="A9" s="2666"/>
      <c r="B9" s="329" t="s">
        <v>3011</v>
      </c>
      <c r="C9" s="2692" t="s">
        <v>3012</v>
      </c>
      <c r="D9" s="2689"/>
      <c r="E9" s="2695"/>
      <c r="F9" s="2699"/>
      <c r="G9" s="2699"/>
      <c r="H9" s="907"/>
      <c r="I9" s="907"/>
      <c r="J9" s="907"/>
      <c r="K9" s="907"/>
      <c r="L9" s="907"/>
      <c r="M9" s="907"/>
      <c r="N9" s="907"/>
      <c r="O9" s="907"/>
      <c r="P9" s="907"/>
      <c r="Q9" s="907"/>
      <c r="R9" s="907"/>
    </row>
    <row r="10" spans="1:29" s="2705" customFormat="1" ht="15" thickBot="1">
      <c r="A10" s="2667"/>
      <c r="B10" s="2700" t="s">
        <v>3013</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3031</v>
      </c>
      <c r="B13" s="2708"/>
      <c r="C13" s="2708"/>
      <c r="D13" s="2706"/>
      <c r="E13" s="2708"/>
      <c r="F13" s="2708"/>
      <c r="G13" s="2708"/>
    </row>
    <row r="14" spans="1:29" ht="15" thickBot="1">
      <c r="A14" s="2718"/>
      <c r="B14" s="2718"/>
      <c r="C14" s="2719" t="s">
        <v>3014</v>
      </c>
      <c r="D14" s="2689"/>
      <c r="E14" s="2720"/>
      <c r="F14" s="2720"/>
      <c r="G14" s="2684" t="s">
        <v>3015</v>
      </c>
    </row>
    <row r="15" spans="1:29" ht="51">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8.25">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8.25">
      <c r="A17" s="2670"/>
      <c r="B17" s="2724" t="s">
        <v>3002</v>
      </c>
      <c r="C17" s="2725" t="str">
        <f>C5</f>
        <v>估价对象位于XX商圈，周边办公楼项目较多，入驻率高，办公集聚程度较好</v>
      </c>
      <c r="D17" s="2695"/>
      <c r="E17" s="2671"/>
      <c r="F17" s="2726" t="s">
        <v>3019</v>
      </c>
      <c r="G17" s="2728"/>
    </row>
    <row r="18" spans="1:18" ht="38.25">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5.5">
      <c r="A19" s="2670"/>
      <c r="B19" s="2726" t="s">
        <v>3020</v>
      </c>
      <c r="C19" s="2728"/>
      <c r="D19" s="2689"/>
      <c r="E19" s="2671"/>
      <c r="F19" s="329" t="s">
        <v>3004</v>
      </c>
      <c r="G19" s="2727" t="str">
        <f>G5</f>
        <v>估价对象所在区域公共配套设施齐备情况</v>
      </c>
    </row>
    <row r="20" spans="1:18" ht="25.5">
      <c r="A20" s="2670"/>
      <c r="B20" s="2726" t="s">
        <v>3021</v>
      </c>
      <c r="C20" s="2725" t="str">
        <f>C9</f>
        <v>区域自然环境：；人文环境；综合评价环境状况一般</v>
      </c>
      <c r="D20" s="2695"/>
      <c r="E20" s="2671"/>
      <c r="F20" s="329" t="s">
        <v>3007</v>
      </c>
      <c r="G20" s="2727" t="str">
        <f>G6</f>
        <v>估价对象所在区域基础设施水平</v>
      </c>
    </row>
    <row r="21" spans="1:18" ht="25.5">
      <c r="A21" s="2670"/>
      <c r="B21" s="329" t="s">
        <v>3004</v>
      </c>
      <c r="C21" s="2727" t="str">
        <f>C7</f>
        <v>估价对象所在区域公共配套设施齐备情况</v>
      </c>
      <c r="D21" s="2689"/>
      <c r="E21" s="2671"/>
      <c r="F21" s="2726" t="s">
        <v>3022</v>
      </c>
      <c r="G21" s="2729"/>
    </row>
    <row r="22" spans="1:18" ht="13.5" customHeight="1">
      <c r="A22" s="2670"/>
      <c r="B22" s="329" t="s">
        <v>3007</v>
      </c>
      <c r="C22" s="2727" t="str">
        <f>C8</f>
        <v>估价对象所在区域基础设施水平</v>
      </c>
      <c r="D22" s="2689"/>
      <c r="E22" s="2671"/>
      <c r="F22" s="2726" t="s">
        <v>3013</v>
      </c>
      <c r="G22" s="2728"/>
    </row>
    <row r="23" spans="1:18" s="907" customFormat="1" ht="15" thickBot="1">
      <c r="A23" s="2670"/>
      <c r="B23" s="2726" t="s">
        <v>3022</v>
      </c>
      <c r="C23" s="2729"/>
      <c r="D23" s="1927"/>
      <c r="E23" s="2672"/>
      <c r="F23" s="2730" t="s">
        <v>3023</v>
      </c>
      <c r="G23" s="2731"/>
      <c r="H23" s="2715"/>
      <c r="I23" s="2716"/>
      <c r="J23" s="2715"/>
      <c r="K23" s="2715"/>
      <c r="L23" s="2716"/>
      <c r="M23" s="2715"/>
      <c r="N23" s="2715"/>
      <c r="O23" s="2716"/>
      <c r="P23" s="2715"/>
      <c r="Q23" s="2715"/>
      <c r="R23" s="2717"/>
    </row>
    <row r="24" spans="1:18" s="907" customFormat="1" ht="15" thickBot="1">
      <c r="A24" s="2673"/>
      <c r="B24" s="2730" t="s">
        <v>3024</v>
      </c>
      <c r="C24" s="2732">
        <f>C10</f>
        <v>0</v>
      </c>
      <c r="D24" s="1927"/>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12608.400000000001</v>
      </c>
      <c r="C1" s="2913"/>
      <c r="D1" s="2913"/>
      <c r="E1" s="2913"/>
      <c r="F1" s="2913"/>
      <c r="G1" s="2914"/>
      <c r="H1" s="2915"/>
      <c r="I1" s="2915"/>
      <c r="J1" s="2915"/>
      <c r="K1" s="2915"/>
    </row>
    <row r="2" spans="1:11" ht="16.5">
      <c r="A2" s="2736" t="s">
        <v>1319</v>
      </c>
      <c r="B2" s="2736">
        <f>SUM(C14:C23)</f>
        <v>19918.64</v>
      </c>
      <c r="C2" s="2913"/>
      <c r="D2" s="2913"/>
      <c r="E2" s="2913"/>
      <c r="F2" s="2913"/>
      <c r="G2" s="2914"/>
      <c r="H2" s="2915"/>
      <c r="I2" s="2915"/>
      <c r="J2" s="2915"/>
      <c r="K2" s="2915"/>
    </row>
    <row r="3" spans="1:11" ht="16.5">
      <c r="A3" s="2736" t="s">
        <v>1328</v>
      </c>
      <c r="B3" s="2738">
        <f>项目基本情况!D3</f>
        <v>44434</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24534</v>
      </c>
      <c r="C5" s="2736">
        <f ca="1">ROUND(B5*10000/$B$1,0)</f>
        <v>19458</v>
      </c>
      <c r="D5" s="2736">
        <f ca="1">ROUND(B5*10000/$B$2,0)</f>
        <v>12317</v>
      </c>
      <c r="E5" s="2913"/>
      <c r="F5" s="2914"/>
      <c r="G5" s="2914"/>
      <c r="H5" s="2915"/>
      <c r="I5" s="2915"/>
      <c r="J5" s="2915"/>
      <c r="K5" s="2915"/>
    </row>
    <row r="6" spans="1:11" ht="16.5">
      <c r="A6" s="2736" t="s">
        <v>1322</v>
      </c>
      <c r="B6" s="2736">
        <f ca="1">SUM(G14:G23)</f>
        <v>24534</v>
      </c>
      <c r="C6" s="2736">
        <f ca="1">ROUND(B6*10000/$B$1,0)</f>
        <v>19458</v>
      </c>
      <c r="D6" s="2736">
        <f ca="1">ROUND(B6*10000/$B$2,0)</f>
        <v>12317</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12608.400000000001</v>
      </c>
      <c r="C14" s="2742">
        <f>结果表!C118</f>
        <v>19918.64</v>
      </c>
      <c r="D14" s="2742">
        <f ca="1">结果表!H118</f>
        <v>24534</v>
      </c>
      <c r="E14" s="2742">
        <f ca="1">ROUND(D14*10000/B14,0)</f>
        <v>19458</v>
      </c>
      <c r="F14" s="2742">
        <f ca="1">ROUND(D14*10000/C14,0)</f>
        <v>12317</v>
      </c>
      <c r="G14" s="2742">
        <f ca="1">结果表!D122</f>
        <v>24534</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21" sqref="E21"/>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1946</v>
      </c>
      <c r="B1" s="1933"/>
      <c r="C1" s="1934"/>
      <c r="D1" s="1933"/>
      <c r="E1" s="1933"/>
      <c r="F1" s="1935" t="s">
        <v>1947</v>
      </c>
      <c r="G1" s="1746"/>
      <c r="H1" s="1936" t="str">
        <f>IF(G1="现房","——","估价对象范围")</f>
        <v>估价对象范围</v>
      </c>
      <c r="I1" s="1937"/>
    </row>
    <row r="2" spans="1:12" ht="21.75" customHeight="1" thickBot="1">
      <c r="A2" s="3193" t="str">
        <f>项目基本情况!S2</f>
        <v>北京市房山区昊天北大街9号院1号楼房地产</v>
      </c>
      <c r="B2" s="3194"/>
      <c r="C2" s="3194"/>
      <c r="D2" s="3194"/>
      <c r="E2" s="3194"/>
      <c r="F2" s="3194"/>
      <c r="G2" s="3194"/>
      <c r="H2" s="3194"/>
      <c r="I2" s="3195"/>
    </row>
    <row r="3" spans="1:12" ht="12.75">
      <c r="A3" s="3197" t="s">
        <v>1948</v>
      </c>
      <c r="B3" s="3198"/>
      <c r="C3" s="3198"/>
      <c r="D3" s="3198"/>
      <c r="E3" s="3198"/>
      <c r="F3" s="3198"/>
      <c r="G3" s="3198"/>
      <c r="H3" s="3198"/>
      <c r="I3" s="3198"/>
    </row>
    <row r="4" spans="1:12" ht="14.25">
      <c r="A4" s="1940" t="s">
        <v>1949</v>
      </c>
      <c r="B4" s="1941" t="s">
        <v>1950</v>
      </c>
      <c r="C4" s="1942" t="s">
        <v>3112</v>
      </c>
      <c r="D4" s="1942" t="s">
        <v>3091</v>
      </c>
      <c r="E4" s="3199" t="s">
        <v>1951</v>
      </c>
      <c r="F4" s="3200"/>
      <c r="G4" s="3200"/>
      <c r="H4" s="3200"/>
      <c r="I4" s="320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3" t="s">
        <v>1952</v>
      </c>
      <c r="B5" s="3160">
        <v>25</v>
      </c>
      <c r="C5" s="3176"/>
      <c r="D5" s="3196"/>
      <c r="E5" s="136" t="s">
        <v>1953</v>
      </c>
      <c r="F5" s="1943"/>
      <c r="G5" s="1943"/>
      <c r="H5" s="1943"/>
      <c r="I5" s="1557"/>
    </row>
    <row r="6" spans="1:12" ht="12.75">
      <c r="A6" s="3173"/>
      <c r="B6" s="3160"/>
      <c r="C6" s="3177"/>
      <c r="D6" s="3196"/>
      <c r="E6" s="136" t="s">
        <v>1954</v>
      </c>
      <c r="F6" s="1943"/>
      <c r="G6" s="1943"/>
      <c r="H6" s="1943"/>
      <c r="I6" s="1557"/>
    </row>
    <row r="7" spans="1:12" ht="12.75">
      <c r="A7" s="3173"/>
      <c r="B7" s="3160"/>
      <c r="C7" s="3178"/>
      <c r="D7" s="3196"/>
      <c r="E7" s="136" t="s">
        <v>1955</v>
      </c>
      <c r="F7" s="1943"/>
      <c r="G7" s="1943"/>
      <c r="H7" s="1943"/>
      <c r="I7" s="1557"/>
    </row>
    <row r="8" spans="1:12" ht="12.75">
      <c r="A8" s="3173" t="s">
        <v>1956</v>
      </c>
      <c r="B8" s="3160">
        <v>15</v>
      </c>
      <c r="C8" s="3176"/>
      <c r="D8" s="3196"/>
      <c r="E8" s="136" t="s">
        <v>1957</v>
      </c>
      <c r="F8" s="1943"/>
      <c r="G8" s="1943"/>
      <c r="H8" s="1943"/>
      <c r="I8" s="1557"/>
    </row>
    <row r="9" spans="1:12" ht="12.75">
      <c r="A9" s="3173"/>
      <c r="B9" s="3160"/>
      <c r="C9" s="3178"/>
      <c r="D9" s="3196"/>
      <c r="E9" s="136" t="s">
        <v>1958</v>
      </c>
      <c r="F9" s="1943"/>
      <c r="G9" s="1943"/>
      <c r="H9" s="1943"/>
      <c r="I9" s="1557"/>
    </row>
    <row r="10" spans="1:12" ht="12.75">
      <c r="A10" s="3173" t="s">
        <v>1959</v>
      </c>
      <c r="B10" s="3160">
        <v>15</v>
      </c>
      <c r="C10" s="3176"/>
      <c r="D10" s="3196"/>
      <c r="E10" s="136" t="s">
        <v>1960</v>
      </c>
      <c r="F10" s="1943"/>
      <c r="G10" s="1943"/>
      <c r="H10" s="1943"/>
      <c r="I10" s="1557"/>
    </row>
    <row r="11" spans="1:12" ht="12.75">
      <c r="A11" s="3173"/>
      <c r="B11" s="3160"/>
      <c r="C11" s="3178"/>
      <c r="D11" s="3196"/>
      <c r="E11" s="136" t="s">
        <v>1961</v>
      </c>
      <c r="F11" s="1943"/>
      <c r="G11" s="1943"/>
      <c r="H11" s="1943"/>
      <c r="I11" s="1557"/>
    </row>
    <row r="12" spans="1:12" ht="12.75">
      <c r="A12" s="3173" t="s">
        <v>1962</v>
      </c>
      <c r="B12" s="3160">
        <v>15</v>
      </c>
      <c r="C12" s="3176"/>
      <c r="D12" s="3196"/>
      <c r="E12" s="136" t="s">
        <v>1963</v>
      </c>
      <c r="F12" s="1943"/>
      <c r="G12" s="1943"/>
      <c r="H12" s="1943"/>
      <c r="I12" s="1557"/>
    </row>
    <row r="13" spans="1:12" ht="12.75">
      <c r="A13" s="3173"/>
      <c r="B13" s="3160"/>
      <c r="C13" s="3178"/>
      <c r="D13" s="3196"/>
      <c r="E13" s="136" t="s">
        <v>1964</v>
      </c>
      <c r="F13" s="1943"/>
      <c r="G13" s="1943"/>
      <c r="H13" s="1943"/>
      <c r="I13" s="1557"/>
    </row>
    <row r="14" spans="1:12" ht="12.75">
      <c r="A14" s="3173" t="s">
        <v>1965</v>
      </c>
      <c r="B14" s="3160">
        <v>30</v>
      </c>
      <c r="C14" s="3176">
        <v>6</v>
      </c>
      <c r="D14" s="3196">
        <v>4</v>
      </c>
      <c r="E14" s="136" t="s">
        <v>1966</v>
      </c>
      <c r="F14" s="1943"/>
      <c r="G14" s="1943"/>
      <c r="H14" s="1943"/>
      <c r="I14" s="1557"/>
    </row>
    <row r="15" spans="1:12" ht="12.75">
      <c r="A15" s="3173"/>
      <c r="B15" s="3160"/>
      <c r="C15" s="3177"/>
      <c r="D15" s="3196"/>
      <c r="E15" s="136" t="s">
        <v>1967</v>
      </c>
      <c r="F15" s="1943"/>
      <c r="G15" s="1943"/>
      <c r="H15" s="1943"/>
      <c r="I15" s="1557"/>
    </row>
    <row r="16" spans="1:12" ht="12.75">
      <c r="A16" s="3173"/>
      <c r="B16" s="3160"/>
      <c r="C16" s="3178"/>
      <c r="D16" s="3196"/>
      <c r="E16" s="136" t="s">
        <v>1968</v>
      </c>
      <c r="F16" s="1943"/>
      <c r="G16" s="1943"/>
      <c r="H16" s="1943"/>
      <c r="I16" s="1557"/>
    </row>
    <row r="17" spans="1:36" ht="15">
      <c r="A17" s="1944" t="s">
        <v>1969</v>
      </c>
      <c r="B17" s="60"/>
      <c r="C17" s="137">
        <f>SUM(C5:C16)</f>
        <v>6</v>
      </c>
      <c r="D17" s="137">
        <f>SUM(D5:D16)</f>
        <v>4</v>
      </c>
      <c r="E17" s="134"/>
      <c r="F17" s="134"/>
      <c r="G17" s="134"/>
      <c r="H17" s="134"/>
      <c r="I17" s="134"/>
      <c r="K17" s="308"/>
      <c r="L17" s="308" t="s">
        <v>1970</v>
      </c>
      <c r="M17" s="308" t="s">
        <v>1971</v>
      </c>
    </row>
    <row r="18" spans="1:36" ht="31.9" customHeight="1" thickBot="1">
      <c r="A18" s="1945" t="s">
        <v>1972</v>
      </c>
      <c r="B18" s="1946"/>
      <c r="C18" s="138">
        <f>ROUND(C17/SUM(C17:D17),2)</f>
        <v>0.6</v>
      </c>
      <c r="D18" s="138">
        <f>1-C18</f>
        <v>0.4</v>
      </c>
      <c r="E18" s="3183" t="s">
        <v>2871</v>
      </c>
      <c r="F18" s="3184"/>
      <c r="G18" s="3184"/>
      <c r="H18" s="3184"/>
      <c r="I18" s="3184"/>
      <c r="K18" s="308" t="s">
        <v>1973</v>
      </c>
      <c r="L18" s="308">
        <f>IF(C1="",'数据-汇总表'!E3,SUMIF(项目类型,C1,'数据-汇总表'!E17:E26)+SUMIF(项目类型,C1,'数据-汇总表'!I17:I26))</f>
        <v>12608.400000000001</v>
      </c>
      <c r="M18" s="308">
        <f>IF(C1="",'数据-汇总表'!E3,SUMIF(项目类型,C1,'数据-汇总表'!E17:E26))</f>
        <v>12608.400000000001</v>
      </c>
    </row>
    <row r="19" spans="1:36" ht="15">
      <c r="A19" s="1947" t="s">
        <v>1974</v>
      </c>
      <c r="B19" s="1948" t="s">
        <v>1975</v>
      </c>
      <c r="C19" s="139">
        <f ca="1">SUMIF(INDIRECT("'"&amp;C4&amp;"'"&amp;"!A:A"),结果表!B19,INDIRECT("'"&amp;C4&amp;"'"&amp;"!B:B"))</f>
        <v>28672</v>
      </c>
      <c r="D19" s="140">
        <f ca="1">SUMIF(INDIRECT("'"&amp;D4&amp;"'"&amp;"!A:A"),结果表!B19,INDIRECT("'"&amp;D4&amp;"'"&amp;"!B:B"))</f>
        <v>18327</v>
      </c>
      <c r="E19" s="1947" t="s">
        <v>1976</v>
      </c>
      <c r="F19" s="1948" t="s">
        <v>1975</v>
      </c>
      <c r="G19" s="141">
        <f ca="1">ROUND(C19*$C$18+D19*$D$18,0)</f>
        <v>24534</v>
      </c>
      <c r="H19" s="1949" t="s">
        <v>1977</v>
      </c>
      <c r="I19" s="134"/>
      <c r="K19" s="308" t="s">
        <v>1978</v>
      </c>
      <c r="L19" s="308">
        <f>IF(C1="",'数据-汇总表'!D3,SUMIF(项目类型,C1,'数据-汇总表'!D17:D26)+SUMIF(项目类型,C1,'数据-汇总表'!H17:H27))</f>
        <v>19918.64</v>
      </c>
      <c r="M19" s="308">
        <f>IF(C1="",'数据-汇总表'!D3,SUMIF(项目类型,C1,'数据-汇总表'!D17:D26))</f>
        <v>19918.64</v>
      </c>
    </row>
    <row r="20" spans="1:36" ht="15">
      <c r="A20" s="1950"/>
      <c r="B20" s="1157" t="s">
        <v>1979</v>
      </c>
      <c r="C20" s="142">
        <f ca="1">SUMIF(INDIRECT("'"&amp;C4&amp;"'"&amp;"!A:A"),结果表!B20,INDIRECT("'"&amp;C4&amp;"'"&amp;"!B:B"))</f>
        <v>22740</v>
      </c>
      <c r="D20" s="143">
        <f ca="1">SUMIF(INDIRECT("'"&amp;D4&amp;"'"&amp;"!A:A"),结果表!B20,INDIRECT("'"&amp;D4&amp;"'"&amp;"!B:B"))</f>
        <v>14536</v>
      </c>
      <c r="E20" s="1950"/>
      <c r="F20" s="1157" t="s">
        <v>1979</v>
      </c>
      <c r="G20" s="144">
        <f ca="1">ROUND(C20*$C$18+D20*$D$18,0)</f>
        <v>19458</v>
      </c>
      <c r="H20" s="917" t="s">
        <v>1980</v>
      </c>
      <c r="I20" s="134"/>
    </row>
    <row r="21" spans="1:36" ht="15" customHeight="1" thickBot="1">
      <c r="A21" s="937"/>
      <c r="B21" s="1951" t="s">
        <v>1981</v>
      </c>
      <c r="C21" s="728">
        <f ca="1">ROUND(C19*10000/L19,0)</f>
        <v>14395</v>
      </c>
      <c r="D21" s="729">
        <f ca="1">ROUND(D19*10000/L19,0)</f>
        <v>9201</v>
      </c>
      <c r="E21" s="937"/>
      <c r="F21" s="1951" t="s">
        <v>1981</v>
      </c>
      <c r="G21" s="145">
        <f ca="1">ROUND(G19*10000/L19,0)</f>
        <v>12317</v>
      </c>
      <c r="H21" s="1952" t="s">
        <v>1980</v>
      </c>
      <c r="I21" s="134"/>
    </row>
    <row r="22" spans="1:36" ht="15" thickBot="1">
      <c r="A22" s="1874" t="s">
        <v>1982</v>
      </c>
      <c r="B22" s="1953"/>
      <c r="C22" s="1954"/>
      <c r="D22" s="730">
        <f ca="1">IF(C19&lt;D19,D19/C19-1,C19/D19-1)</f>
        <v>0.56446772521416499</v>
      </c>
      <c r="E22" s="134"/>
      <c r="F22" s="134"/>
      <c r="G22" s="134"/>
      <c r="H22" s="134"/>
      <c r="I22" s="134"/>
    </row>
    <row r="23" spans="1:36" ht="13.5" thickBot="1">
      <c r="A23" s="1933"/>
      <c r="B23" s="1933"/>
      <c r="C23" s="1933"/>
      <c r="D23" s="1933"/>
      <c r="E23" s="134"/>
      <c r="F23" s="134"/>
      <c r="G23" s="134"/>
      <c r="H23" s="134"/>
      <c r="I23" s="134"/>
    </row>
    <row r="24" spans="1:36" ht="14.25">
      <c r="A24" s="3167" t="s">
        <v>1983</v>
      </c>
      <c r="B24" s="1948" t="s">
        <v>1975</v>
      </c>
      <c r="C24" s="141">
        <f>IF(B30=0,0,D30)</f>
        <v>0</v>
      </c>
      <c r="D24" s="1955"/>
      <c r="E24" s="134"/>
      <c r="F24" s="134"/>
      <c r="G24" s="134"/>
      <c r="H24" s="134"/>
      <c r="I24" s="134"/>
    </row>
    <row r="25" spans="1:36" ht="14.25">
      <c r="A25" s="3168"/>
      <c r="B25" s="1157" t="s">
        <v>1979</v>
      </c>
      <c r="C25" s="146">
        <f>IF(B30=0,0,C30)</f>
        <v>0</v>
      </c>
      <c r="D25" s="1956"/>
      <c r="E25" s="134"/>
      <c r="F25" s="134"/>
      <c r="G25" s="134"/>
      <c r="H25" s="134"/>
      <c r="I25" s="134"/>
    </row>
    <row r="26" spans="1:36" ht="13.5" customHeight="1">
      <c r="A26" s="1957" t="s">
        <v>1984</v>
      </c>
      <c r="B26" s="147" t="s">
        <v>1985</v>
      </c>
      <c r="C26" s="147" t="s">
        <v>1986</v>
      </c>
      <c r="D26" s="148" t="s">
        <v>1987</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1988</v>
      </c>
      <c r="B30" s="147"/>
      <c r="C30" s="147"/>
      <c r="D30" s="147"/>
      <c r="E30" s="2521" t="s">
        <v>2872</v>
      </c>
      <c r="F30" s="134"/>
      <c r="G30" s="134"/>
      <c r="H30" s="134"/>
      <c r="I30" s="134"/>
    </row>
    <row r="31" spans="1:36" s="2527" customFormat="1" ht="26.45" customHeight="1" thickTop="1" thickBot="1">
      <c r="A31" s="2522"/>
      <c r="B31" s="2523"/>
      <c r="C31" s="2523"/>
      <c r="D31" s="2523"/>
      <c r="E31" s="2523"/>
      <c r="F31" s="2523"/>
      <c r="G31" s="2523"/>
      <c r="H31" s="2523"/>
      <c r="I31" s="2524" t="s">
        <v>2873</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1989</v>
      </c>
      <c r="B32" s="1960"/>
      <c r="C32" s="149">
        <f ca="1">IF(D32="总价",G19-C24,G20-C25)</f>
        <v>24534</v>
      </c>
      <c r="D32" s="1961" t="s">
        <v>3113</v>
      </c>
      <c r="E32" s="134"/>
      <c r="F32" s="134"/>
      <c r="G32" s="134"/>
      <c r="H32" s="134"/>
      <c r="I32" s="134"/>
    </row>
    <row r="33" spans="1:15" ht="15">
      <c r="A33" s="894" t="s">
        <v>1990</v>
      </c>
      <c r="B33" s="1962"/>
      <c r="C33" s="1963" t="s">
        <v>3114</v>
      </c>
      <c r="D33" s="1964" t="s">
        <v>3112</v>
      </c>
      <c r="E33" s="1965" t="s">
        <v>1991</v>
      </c>
      <c r="F33" s="1966" t="str">
        <f>IF(D32="楼面单价","取值（单价）","取值（总价）")</f>
        <v>取值（总价）</v>
      </c>
      <c r="G33" s="134"/>
      <c r="H33" s="134"/>
      <c r="I33" s="134"/>
    </row>
    <row r="34" spans="1:15" ht="15">
      <c r="A34" s="1967"/>
      <c r="B34" s="1968" t="s">
        <v>1992</v>
      </c>
      <c r="C34" s="153">
        <f ca="1">IF(C33="自定义",F34,C32-C35)</f>
        <v>21664</v>
      </c>
      <c r="D34" s="970">
        <f ca="1">IF(C33="自定义",ROUND(C34/C32,3),IF(C33="收益比率",SUMIF(INDIRECT("'"&amp;D33&amp;"'"&amp;"!b:b"),"土地收益比率",INDIRECT("'"&amp;D33&amp;"'"&amp;"!c:c")),SUMIF(INDIRECT("'"&amp;D33&amp;"'"&amp;"!b:b"),"土地成本比率",INDIRECT("'"&amp;D33&amp;"'"&amp;"!c:c"))))</f>
        <v>0.88300000000000001</v>
      </c>
      <c r="E34" s="1969" t="s">
        <v>1993</v>
      </c>
      <c r="F34" s="1498"/>
      <c r="G34" s="134"/>
      <c r="H34" s="134"/>
      <c r="I34" s="134"/>
    </row>
    <row r="35" spans="1:15" ht="15.75" thickBot="1">
      <c r="A35" s="1970"/>
      <c r="B35" s="1971" t="s">
        <v>1994</v>
      </c>
      <c r="C35" s="1332">
        <f ca="1">IF(C33="自定义",F35,ROUND(C32*D35,0))</f>
        <v>2870</v>
      </c>
      <c r="D35" s="1333">
        <f ca="1">IF(C33="自定义",ROUND(C35/C32,3),IF(C33="收益比率",SUMIF(INDIRECT("'"&amp;D33&amp;"'"&amp;"!b:b"),"建筑物收益比率",INDIRECT("'"&amp;D33&amp;"'"&amp;"!c:c")),SUMIF(INDIRECT("'"&amp;D33&amp;"'"&amp;"!b:b"),"建筑物成本比率",INDIRECT("'"&amp;D33&amp;"'"&amp;"!c:c"))))</f>
        <v>0.11700000000000001</v>
      </c>
      <c r="E35" s="1972" t="s">
        <v>1995</v>
      </c>
      <c r="F35" s="159"/>
      <c r="G35" s="134"/>
      <c r="H35" s="134"/>
      <c r="I35" s="134"/>
    </row>
    <row r="36" spans="1:15" ht="15.75" thickBot="1">
      <c r="A36" s="3187" t="s">
        <v>1996</v>
      </c>
      <c r="B36" s="1973" t="s">
        <v>1997</v>
      </c>
      <c r="C36" s="150"/>
      <c r="D36" s="1974"/>
      <c r="E36" s="1975"/>
      <c r="F36" s="1976"/>
      <c r="G36" s="134"/>
      <c r="H36" s="134"/>
      <c r="I36" s="134"/>
    </row>
    <row r="37" spans="1:15" ht="15.75" thickBot="1">
      <c r="A37" s="3188"/>
      <c r="B37" s="1860" t="s">
        <v>1998</v>
      </c>
      <c r="C37" s="152"/>
      <c r="D37" s="1301"/>
      <c r="E37" s="1301"/>
      <c r="F37" s="1976"/>
      <c r="G37" s="134"/>
      <c r="H37" s="134"/>
      <c r="I37" s="134"/>
    </row>
    <row r="38" spans="1:15" ht="15.75" thickBot="1">
      <c r="A38" s="3189"/>
      <c r="B38" s="1977" t="s">
        <v>1999</v>
      </c>
      <c r="C38" s="683"/>
      <c r="D38" s="1978" t="s">
        <v>2000</v>
      </c>
      <c r="E38" s="1301"/>
      <c r="F38" s="1976"/>
      <c r="G38" s="134"/>
      <c r="H38" s="134"/>
      <c r="I38" s="134"/>
    </row>
    <row r="39" spans="1:15" ht="15">
      <c r="A39" s="1950" t="s">
        <v>2001</v>
      </c>
      <c r="B39" s="1979" t="s">
        <v>2002</v>
      </c>
      <c r="C39" s="1980" t="s">
        <v>2003</v>
      </c>
      <c r="D39" s="1980" t="s">
        <v>2004</v>
      </c>
      <c r="E39" s="1981" t="s">
        <v>2005</v>
      </c>
      <c r="F39" s="1976"/>
      <c r="G39" s="134"/>
      <c r="H39" s="134"/>
      <c r="I39" s="134"/>
    </row>
    <row r="40" spans="1:15" ht="14.25">
      <c r="A40" s="1982" t="s">
        <v>2006</v>
      </c>
      <c r="B40" s="154"/>
      <c r="C40" s="155"/>
      <c r="D40" s="155"/>
      <c r="E40" s="156"/>
      <c r="F40" s="1976"/>
      <c r="G40" s="134"/>
      <c r="H40" s="134"/>
      <c r="I40" s="134"/>
    </row>
    <row r="41" spans="1:15" ht="14.25">
      <c r="A41" s="1982" t="s">
        <v>2007</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2008</v>
      </c>
      <c r="B44" s="1987"/>
      <c r="C44" s="1987"/>
      <c r="D44" s="1988"/>
      <c r="E44" s="1988"/>
      <c r="F44" s="1989"/>
      <c r="G44" s="1989"/>
      <c r="H44" s="1989"/>
      <c r="I44" s="1989"/>
      <c r="J44" s="1990" t="s">
        <v>2009</v>
      </c>
      <c r="K44" s="1991"/>
      <c r="L44" s="1991"/>
      <c r="M44" s="1991"/>
      <c r="N44" s="1991"/>
      <c r="O44" s="1991"/>
    </row>
    <row r="45" spans="1:15" ht="14.25" customHeight="1" thickBot="1">
      <c r="A45" s="3164" t="s">
        <v>2010</v>
      </c>
      <c r="B45" s="3165"/>
      <c r="C45" s="3166"/>
      <c r="D45" s="160">
        <f ca="1">ROUND(H101*F45,0)</f>
        <v>24534</v>
      </c>
      <c r="E45" s="161" t="s">
        <v>2011</v>
      </c>
      <c r="F45" s="162">
        <v>1</v>
      </c>
      <c r="G45" s="163" t="s">
        <v>2012</v>
      </c>
      <c r="H45" s="134"/>
      <c r="I45" s="134"/>
      <c r="J45" s="3245" t="s">
        <v>2013</v>
      </c>
      <c r="K45" s="3245"/>
      <c r="L45" s="3245"/>
      <c r="M45" s="3245"/>
      <c r="N45" s="3245"/>
      <c r="O45" s="3245"/>
    </row>
    <row r="46" spans="1:15" ht="14.25" customHeight="1">
      <c r="A46" s="3161" t="s">
        <v>2014</v>
      </c>
      <c r="B46" s="3162"/>
      <c r="C46" s="3162"/>
      <c r="D46" s="3162"/>
      <c r="E46" s="3162"/>
      <c r="F46" s="3162"/>
      <c r="G46" s="3163"/>
      <c r="H46" s="1992"/>
      <c r="I46" s="164"/>
      <c r="J46" s="2747">
        <v>1</v>
      </c>
      <c r="K46" s="3226" t="s">
        <v>2015</v>
      </c>
      <c r="L46" s="3226"/>
      <c r="M46" s="3246"/>
      <c r="N46" s="3246"/>
      <c r="O46" s="3246"/>
    </row>
    <row r="47" spans="1:15" ht="12" customHeight="1">
      <c r="A47" s="165" t="s">
        <v>2016</v>
      </c>
      <c r="B47" s="166"/>
      <c r="C47" s="167"/>
      <c r="D47" s="1247" t="s">
        <v>2017</v>
      </c>
      <c r="E47" s="308" t="s">
        <v>2018</v>
      </c>
      <c r="F47" s="168" t="s">
        <v>2019</v>
      </c>
      <c r="G47" s="2770" t="s">
        <v>2020</v>
      </c>
      <c r="H47" s="2771"/>
      <c r="I47" s="164"/>
      <c r="J47" s="2747">
        <v>2</v>
      </c>
      <c r="K47" s="3226" t="s">
        <v>2021</v>
      </c>
      <c r="L47" s="3226"/>
      <c r="M47" s="3247">
        <f>'数据-取费表'!B2</f>
        <v>44434</v>
      </c>
      <c r="N47" s="3247"/>
      <c r="O47" s="3247"/>
    </row>
    <row r="48" spans="1:15" ht="25.5">
      <c r="A48" s="3192" t="s">
        <v>2022</v>
      </c>
      <c r="B48" s="3175"/>
      <c r="C48" s="3175"/>
      <c r="D48" s="2547" t="b">
        <f>IF(H48="情况1",0,IF(H48="情况2",D52,IF(H48="情况3",D53,IF(H48="情况4",D54))))</f>
        <v>0</v>
      </c>
      <c r="E48" s="2557" t="str">
        <f>IF(H48="情况4","(销售额-原购置价)×税（费）率","销售额×税（费）率")</f>
        <v>销售额×税（费）率</v>
      </c>
      <c r="F48" s="2772">
        <f>IF(H48="情况1","免征",'数据-取费表'!B41)</f>
        <v>5.5000000000000007E-2</v>
      </c>
      <c r="G48" s="2773" t="s">
        <v>2023</v>
      </c>
      <c r="H48" s="2774"/>
      <c r="I48" s="1992"/>
      <c r="J48" s="2747">
        <v>3</v>
      </c>
      <c r="K48" s="3226" t="s">
        <v>2024</v>
      </c>
      <c r="L48" s="3226"/>
      <c r="M48" s="3248">
        <f ca="1">H101</f>
        <v>24534</v>
      </c>
      <c r="N48" s="3248"/>
      <c r="O48" s="3248"/>
    </row>
    <row r="49" spans="1:35" ht="25.5" customHeight="1">
      <c r="A49" s="2556" t="s">
        <v>2025</v>
      </c>
      <c r="B49" s="3159" t="s">
        <v>2026</v>
      </c>
      <c r="C49" s="3159"/>
      <c r="D49" s="1775">
        <v>0</v>
      </c>
      <c r="E49" s="330" t="s">
        <v>2027</v>
      </c>
      <c r="F49" s="2648" t="s">
        <v>34</v>
      </c>
      <c r="G49" s="3232"/>
      <c r="H49" s="2528" t="s">
        <v>2874</v>
      </c>
      <c r="I49" s="2529"/>
      <c r="J49" s="2747">
        <v>4</v>
      </c>
      <c r="K49" s="3226" t="str">
        <f>IF(项目基本情况!E8="房地产抵押价值","房地产抵押价值","抵押担保权已注销时的房地产抵押价值")</f>
        <v>房地产抵押价值</v>
      </c>
      <c r="L49" s="3226"/>
      <c r="M49" s="3248">
        <f ca="1">IF(项目基本情况!E8="房地产抵押价值",H107,H109)</f>
        <v>24534</v>
      </c>
      <c r="N49" s="3248"/>
      <c r="O49" s="3248"/>
    </row>
    <row r="50" spans="1:35" ht="25.5" customHeight="1">
      <c r="A50" s="2775"/>
      <c r="B50" s="3159" t="s">
        <v>2028</v>
      </c>
      <c r="C50" s="3159"/>
      <c r="D50" s="2776"/>
      <c r="E50" s="338"/>
      <c r="F50" s="2648"/>
      <c r="G50" s="3233"/>
      <c r="H50" s="2530" t="s">
        <v>2875</v>
      </c>
      <c r="I50" s="2529"/>
      <c r="J50" s="3245" t="s">
        <v>2029</v>
      </c>
      <c r="K50" s="3245"/>
      <c r="L50" s="3245"/>
      <c r="M50" s="3245"/>
      <c r="N50" s="3245"/>
      <c r="O50" s="3245"/>
    </row>
    <row r="51" spans="1:35" ht="20.45" customHeight="1">
      <c r="A51" s="2777"/>
      <c r="B51" s="3159" t="s">
        <v>2030</v>
      </c>
      <c r="C51" s="3159"/>
      <c r="D51" s="1247"/>
      <c r="E51" s="333"/>
      <c r="F51" s="2648"/>
      <c r="G51" s="3234"/>
      <c r="H51" s="2530" t="s">
        <v>2876</v>
      </c>
      <c r="I51" s="2529"/>
      <c r="J51" s="2748" t="s">
        <v>2031</v>
      </c>
      <c r="K51" s="3226" t="s">
        <v>2032</v>
      </c>
      <c r="L51" s="3226"/>
      <c r="M51" s="2748" t="s">
        <v>2033</v>
      </c>
      <c r="N51" s="2748" t="s">
        <v>2034</v>
      </c>
      <c r="O51" s="2748" t="s">
        <v>2035</v>
      </c>
    </row>
    <row r="52" spans="1:35" ht="24" customHeight="1">
      <c r="A52" s="2558" t="s">
        <v>2036</v>
      </c>
      <c r="B52" s="3159" t="s">
        <v>2037</v>
      </c>
      <c r="C52" s="3159"/>
      <c r="D52" s="1247">
        <f ca="1">ROUND(D45*'数据-取费表'!B41/(1+'数据-取费表'!C42),0)</f>
        <v>1285</v>
      </c>
      <c r="E52" s="2557" t="s">
        <v>2038</v>
      </c>
      <c r="F52" s="2778">
        <f>'数据-取费表'!B41</f>
        <v>5.5000000000000007E-2</v>
      </c>
      <c r="G52" s="2779"/>
      <c r="H52" s="2768"/>
      <c r="I52" s="1993"/>
      <c r="J52" s="2747">
        <v>1</v>
      </c>
      <c r="K52" s="3227" t="s">
        <v>2039</v>
      </c>
      <c r="L52" s="3227"/>
      <c r="M52" s="2749" t="b">
        <f>D48</f>
        <v>0</v>
      </c>
      <c r="N52" s="2747" t="str">
        <f>E48</f>
        <v>销售额×税（费）率</v>
      </c>
      <c r="O52" s="2750">
        <f>F48</f>
        <v>5.5000000000000007E-2</v>
      </c>
    </row>
    <row r="53" spans="1:35" ht="12" customHeight="1">
      <c r="A53" s="2558" t="s">
        <v>2040</v>
      </c>
      <c r="B53" s="3185" t="s">
        <v>3035</v>
      </c>
      <c r="C53" s="3186"/>
      <c r="D53" s="1247">
        <f ca="1">ROUND(D45*'数据-取费表'!B41/(1+'数据-取费表'!C42),0)</f>
        <v>1285</v>
      </c>
      <c r="E53" s="2557" t="s">
        <v>2038</v>
      </c>
      <c r="F53" s="2778">
        <f>'数据-取费表'!B41</f>
        <v>5.5000000000000007E-2</v>
      </c>
      <c r="G53" s="2779"/>
      <c r="H53" s="2768"/>
      <c r="I53" s="1993"/>
      <c r="J53" s="2747">
        <v>2</v>
      </c>
      <c r="K53" s="3227" t="s">
        <v>2041</v>
      </c>
      <c r="L53" s="3227"/>
      <c r="M53" s="2749">
        <f t="shared" ref="M53:O54" ca="1" si="0">D55</f>
        <v>12</v>
      </c>
      <c r="N53" s="2747" t="str">
        <f t="shared" si="0"/>
        <v>销售额×税（费）率</v>
      </c>
      <c r="O53" s="2750" t="str">
        <f t="shared" si="0"/>
        <v>免征</v>
      </c>
    </row>
    <row r="54" spans="1:35" ht="12" customHeight="1">
      <c r="A54" s="2558" t="s">
        <v>2042</v>
      </c>
      <c r="B54" s="3185" t="s">
        <v>3036</v>
      </c>
      <c r="C54" s="3186"/>
      <c r="D54" s="1247">
        <f ca="1">C68</f>
        <v>1285</v>
      </c>
      <c r="E54" s="333" t="s">
        <v>2043</v>
      </c>
      <c r="F54" s="2778">
        <f>'数据-取费表'!B41</f>
        <v>5.5000000000000007E-2</v>
      </c>
      <c r="G54" s="2779"/>
      <c r="H54" s="2780"/>
      <c r="I54" s="1993"/>
      <c r="J54" s="2747">
        <v>3</v>
      </c>
      <c r="K54" s="3227" t="s">
        <v>2044</v>
      </c>
      <c r="L54" s="3227"/>
      <c r="M54" s="2749">
        <f t="shared" ca="1" si="0"/>
        <v>13908</v>
      </c>
      <c r="N54" s="2747" t="str">
        <f t="shared" si="0"/>
        <v>增值额×税（费）率</v>
      </c>
      <c r="O54" s="2751" t="str">
        <f t="shared" si="0"/>
        <v>免征</v>
      </c>
    </row>
    <row r="55" spans="1:35" ht="24" customHeight="1">
      <c r="A55" s="3174" t="s">
        <v>2045</v>
      </c>
      <c r="B55" s="3175"/>
      <c r="C55" s="3175"/>
      <c r="D55" s="2547">
        <f ca="1">IF(H55="个人住宅",0,ROUND(D45*I55,0))</f>
        <v>12</v>
      </c>
      <c r="E55" s="2557" t="s">
        <v>2046</v>
      </c>
      <c r="F55" s="2778" t="str">
        <f>IF(H55="正常",I55,"免征")</f>
        <v>免征</v>
      </c>
      <c r="G55" s="2779"/>
      <c r="H55" s="2774"/>
      <c r="I55" s="170">
        <f>'数据-取费表'!B49</f>
        <v>5.0000000000000001E-4</v>
      </c>
      <c r="J55" s="2747">
        <f>IF(H59="非个人房产","",4)</f>
        <v>4</v>
      </c>
      <c r="K55" s="3227" t="str">
        <f>IF(H59="非个人房产","——","个人所得税")</f>
        <v>个人所得税</v>
      </c>
      <c r="L55" s="3227"/>
      <c r="M55" s="2752">
        <f ca="1">D59</f>
        <v>234</v>
      </c>
      <c r="N55" s="2228" t="str">
        <f>E59</f>
        <v>差额计税</v>
      </c>
      <c r="O55" s="2753">
        <f>F59</f>
        <v>0.01</v>
      </c>
    </row>
    <row r="56" spans="1:35" ht="24.75">
      <c r="A56" s="3174" t="s">
        <v>2047</v>
      </c>
      <c r="B56" s="3175"/>
      <c r="C56" s="3175"/>
      <c r="D56" s="2547">
        <f ca="1">IF(H56="个人住宅",D57,D58)</f>
        <v>13908</v>
      </c>
      <c r="E56" s="2557" t="s">
        <v>2048</v>
      </c>
      <c r="F56" s="2778" t="str">
        <f>IF(H56="正常",F58,"免征")</f>
        <v>免征</v>
      </c>
      <c r="G56" s="2781" t="s">
        <v>2049</v>
      </c>
      <c r="H56" s="2782"/>
      <c r="I56" s="1994"/>
      <c r="J56" s="2747" t="str">
        <f>IF(项目基本情况!K6="上海银行",IF(J55="",4,J55+1),"")</f>
        <v/>
      </c>
      <c r="K56" s="3250" t="str">
        <f>IF(项目基本情况!K6="上海银行","其他处置费用","")</f>
        <v/>
      </c>
      <c r="L56" s="3251"/>
      <c r="M56" s="2749" t="str">
        <f>IF(项目基本情况!K6="上海银行",M69,"")</f>
        <v/>
      </c>
      <c r="N56" s="3250" t="str">
        <f>IF(项目基本情况!K6="上海银行","包含处置中涉及的律师、诉讼、拍卖、评估等费用","")</f>
        <v/>
      </c>
      <c r="O56" s="3253"/>
    </row>
    <row r="57" spans="1:35" ht="12.75">
      <c r="A57" s="2558" t="s">
        <v>2025</v>
      </c>
      <c r="B57" s="3185" t="s">
        <v>2050</v>
      </c>
      <c r="C57" s="3186"/>
      <c r="D57" s="1775">
        <v>0</v>
      </c>
      <c r="E57" s="330" t="s">
        <v>2027</v>
      </c>
      <c r="F57" s="308"/>
      <c r="G57" s="2779"/>
      <c r="H57" s="2783"/>
      <c r="I57" s="1994"/>
      <c r="J57" s="3227">
        <f>IF(AND(J55="",J56=""),4,IF(项目基本情况!K6="上海银行",结果表!J56+1,结果表!J55+1))</f>
        <v>5</v>
      </c>
      <c r="K57" s="3227" t="s">
        <v>2051</v>
      </c>
      <c r="L57" s="2754" t="s">
        <v>2052</v>
      </c>
      <c r="M57" s="2755"/>
      <c r="N57" s="2756">
        <f ca="1">SUMIF(M52:M56,"&lt;9e307")</f>
        <v>14154</v>
      </c>
      <c r="O57" s="2757"/>
      <c r="P57" s="2917">
        <f ca="1">N57/M49</f>
        <v>0.57691367082416234</v>
      </c>
    </row>
    <row r="58" spans="1:35" ht="24.75">
      <c r="A58" s="2558" t="s">
        <v>2036</v>
      </c>
      <c r="B58" s="3185" t="s">
        <v>2053</v>
      </c>
      <c r="C58" s="3159"/>
      <c r="D58" s="2547">
        <f ca="1">IF(H58="转让取得",C81,C97)</f>
        <v>13908</v>
      </c>
      <c r="E58" s="2557" t="s">
        <v>2048</v>
      </c>
      <c r="F58" s="308" t="s">
        <v>34</v>
      </c>
      <c r="G58" s="2779"/>
      <c r="H58" s="2782"/>
      <c r="I58" s="1994"/>
      <c r="J58" s="3227"/>
      <c r="K58" s="3227"/>
      <c r="L58" s="2754" t="s">
        <v>2054</v>
      </c>
      <c r="M58" s="2758"/>
      <c r="N58" s="2759" t="str">
        <f ca="1">NUMBERSTRING(INT(N57*10000),2)&amp;"元整"</f>
        <v>壹亿肆仟壹佰伍拾肆万元整</v>
      </c>
      <c r="O58" s="2760"/>
    </row>
    <row r="59" spans="1:35" ht="24.75" thickBot="1">
      <c r="A59" s="3230" t="s">
        <v>2055</v>
      </c>
      <c r="B59" s="3231"/>
      <c r="C59" s="3231"/>
      <c r="D59" s="2784">
        <f ca="1">IF(H59="非个人房产","——",IF(H59="个人住宅（满五唯一有凭证）",0,IF(H59="个人其他（无凭证）",ROUND(D45*F59,0),ROUND(C67*F59,0))))</f>
        <v>234</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2049</v>
      </c>
      <c r="H59" s="2532"/>
      <c r="I59" s="2531" t="s">
        <v>2877</v>
      </c>
      <c r="J59" s="3228">
        <f>J57+1</f>
        <v>6</v>
      </c>
      <c r="K59" s="3227" t="s">
        <v>2056</v>
      </c>
      <c r="L59" s="2747" t="s">
        <v>2052</v>
      </c>
      <c r="M59" s="2761"/>
      <c r="N59" s="2762">
        <f ca="1">M49-N57</f>
        <v>10380</v>
      </c>
      <c r="O59" s="2763"/>
    </row>
    <row r="60" spans="1:35" ht="12" customHeight="1">
      <c r="A60" s="1995"/>
      <c r="B60" s="1933"/>
      <c r="C60" s="1933"/>
      <c r="D60" s="1933"/>
      <c r="E60" s="1763"/>
      <c r="F60" s="1994"/>
      <c r="G60" s="1994"/>
      <c r="H60" s="1996"/>
      <c r="I60" s="134"/>
      <c r="J60" s="3229"/>
      <c r="K60" s="3227"/>
      <c r="L60" s="2754" t="s">
        <v>2054</v>
      </c>
      <c r="M60" s="2758"/>
      <c r="N60" s="2759" t="str">
        <f ca="1">NUMBERSTRING(INT(N59*10000),2)&amp;"元整"</f>
        <v>壹亿零叁佰捌拾万元整</v>
      </c>
      <c r="O60" s="2760"/>
    </row>
    <row r="61" spans="1:35" ht="13.5" thickBot="1">
      <c r="A61" s="3172" t="s">
        <v>2057</v>
      </c>
      <c r="B61" s="3172"/>
      <c r="C61" s="3172"/>
      <c r="D61" s="3172"/>
      <c r="E61" s="3172"/>
      <c r="F61" s="1994"/>
      <c r="G61" s="1994"/>
      <c r="H61" s="1996"/>
      <c r="I61" s="134"/>
      <c r="J61" s="2747">
        <f>J59+1</f>
        <v>7</v>
      </c>
      <c r="K61" s="3227" t="s">
        <v>2058</v>
      </c>
      <c r="L61" s="3227"/>
      <c r="M61" s="2764"/>
      <c r="N61" s="2765">
        <f ca="1">ROUND(N59*10000/'数据-汇总表'!E3,0)</f>
        <v>8233</v>
      </c>
      <c r="O61" s="2766"/>
    </row>
    <row r="62" spans="1:35" ht="12.75">
      <c r="A62" s="3190" t="s">
        <v>2059</v>
      </c>
      <c r="B62" s="3191"/>
      <c r="C62" s="2209"/>
      <c r="D62" s="2209" t="s">
        <v>2060</v>
      </c>
      <c r="E62" s="171" t="s">
        <v>2061</v>
      </c>
      <c r="F62" s="1994"/>
      <c r="G62" s="1994"/>
      <c r="H62" s="1996"/>
      <c r="I62" s="134"/>
    </row>
    <row r="63" spans="1:35" ht="12.75">
      <c r="A63" s="178" t="s">
        <v>775</v>
      </c>
      <c r="B63" s="172" t="s">
        <v>2062</v>
      </c>
      <c r="C63" s="2788">
        <f ca="1">ROUND((C64+C65)/(1+'数据-取费表'!C42),0)</f>
        <v>23366</v>
      </c>
      <c r="D63" s="172"/>
      <c r="E63" s="173"/>
      <c r="F63" s="1994"/>
      <c r="G63" s="1994"/>
      <c r="H63" s="1996"/>
      <c r="I63" s="134"/>
      <c r="J63" s="3252" t="s">
        <v>2063</v>
      </c>
      <c r="K63" s="1501" t="s">
        <v>2064</v>
      </c>
      <c r="L63" s="1501">
        <f ca="1">IF(M49&gt;10000,M49*0.5%,IF(AND(M49&gt;1000,M49&lt;=10000),M49*1%,IF(AND(M49&gt;100,M49&lt;=1000),M49*3%,IF(AND(M49&gt;10,M49&lt;=100),M49*5%,M49*8%))))</f>
        <v>122.67</v>
      </c>
      <c r="M63" s="308">
        <f ca="1">ROUND(L63,1)</f>
        <v>122.7</v>
      </c>
      <c r="N63" s="2767"/>
      <c r="Z63" s="1938"/>
      <c r="AI63" s="1939"/>
    </row>
    <row r="64" spans="1:35" ht="14.25" customHeight="1">
      <c r="A64" s="174" t="s">
        <v>770</v>
      </c>
      <c r="B64" s="175" t="s">
        <v>2065</v>
      </c>
      <c r="C64" s="2789">
        <f ca="1">D45</f>
        <v>24534</v>
      </c>
      <c r="D64" s="175" t="s">
        <v>32</v>
      </c>
      <c r="E64" s="177"/>
      <c r="F64" s="1994"/>
      <c r="G64" s="1994"/>
      <c r="H64" s="1996"/>
      <c r="I64" s="134"/>
      <c r="J64" s="3252"/>
      <c r="K64" s="1501" t="s">
        <v>2066</v>
      </c>
      <c r="L64" s="1501">
        <f ca="1">IF(M49&gt;2000,M49*0.5%,IF(AND(M49&gt;1000,M49&lt;=2000),M49*0.6%,IF(AND(M49&gt;500,M49&lt;=1000),M49*0.7%,IF(AND(M49&gt;200,M49&lt;=500),M49*0.8%,IF(AND(M49&gt;100,M49&lt;=200),M49*0.9%,IF(AND(M49&gt;50,M49&lt;=100),M49*1%,IF(AND(M49&gt;20,M49&lt;=50),M49*1.5%,IF(AND(M49&gt;10,M49&lt;=20),M49*2%,IF(AND(M49&gt;1,M49&lt;=10),M49*2.5%)))))))))</f>
        <v>122.67</v>
      </c>
      <c r="M64" s="308">
        <f t="shared" ref="M64:M65" ca="1" si="1">ROUND(L64,1)</f>
        <v>122.7</v>
      </c>
      <c r="N64" s="2768" t="s">
        <v>2067</v>
      </c>
      <c r="Z64" s="1938"/>
      <c r="AI64" s="1939"/>
    </row>
    <row r="65" spans="1:35" ht="14.25" customHeight="1">
      <c r="A65" s="174" t="s">
        <v>771</v>
      </c>
      <c r="B65" s="175" t="s">
        <v>2068</v>
      </c>
      <c r="C65" s="2790"/>
      <c r="D65" s="175"/>
      <c r="E65" s="177"/>
      <c r="F65" s="1994"/>
      <c r="G65" s="1994"/>
      <c r="H65" s="1996"/>
      <c r="I65" s="134"/>
      <c r="J65" s="3252"/>
      <c r="K65" s="1501" t="s">
        <v>2069</v>
      </c>
      <c r="L65" s="1501">
        <f ca="1">IF(M49&gt;1000,M49*0.1%,IF(AND(M49&gt;500,M49&lt;=1000),M49*0.5%,IF(AND(M49&gt;50,M49&lt;=500),M49*1%,IF(AND(M49&gt;1,M49&lt;=50),M49*1.5%))))</f>
        <v>24.533999999999999</v>
      </c>
      <c r="M65" s="308">
        <f t="shared" ca="1" si="1"/>
        <v>24.5</v>
      </c>
      <c r="N65" s="2768" t="s">
        <v>2067</v>
      </c>
      <c r="Z65" s="1938"/>
      <c r="AI65" s="1939"/>
    </row>
    <row r="66" spans="1:35" ht="14.25" customHeight="1">
      <c r="A66" s="178" t="s">
        <v>772</v>
      </c>
      <c r="B66" s="179" t="s">
        <v>2070</v>
      </c>
      <c r="C66" s="2791"/>
      <c r="D66" s="179" t="s">
        <v>32</v>
      </c>
      <c r="E66" s="1509" t="s">
        <v>1337</v>
      </c>
      <c r="F66" s="1994"/>
      <c r="G66" s="1994"/>
      <c r="H66" s="1996"/>
      <c r="I66" s="134"/>
      <c r="J66" s="3252"/>
      <c r="K66" s="1501" t="s">
        <v>2071</v>
      </c>
      <c r="L66" s="1501">
        <f ca="1">M49*0.5%</f>
        <v>122.67</v>
      </c>
      <c r="M66" s="308">
        <f ca="1">IF(L66&gt;0.5,0.5,ROUND(L66,0))</f>
        <v>0.5</v>
      </c>
      <c r="N66" s="2768" t="s">
        <v>2072</v>
      </c>
      <c r="Z66" s="1938"/>
      <c r="AI66" s="1939"/>
    </row>
    <row r="67" spans="1:35" ht="14.25" customHeight="1">
      <c r="A67" s="178" t="s">
        <v>773</v>
      </c>
      <c r="B67" s="179" t="s">
        <v>2073</v>
      </c>
      <c r="C67" s="2792">
        <f ca="1">C63-C66</f>
        <v>23366</v>
      </c>
      <c r="D67" s="175" t="s">
        <v>32</v>
      </c>
      <c r="E67" s="177"/>
      <c r="F67" s="1994"/>
      <c r="G67" s="1994"/>
      <c r="H67" s="1996"/>
      <c r="I67" s="134"/>
      <c r="J67" s="3252"/>
      <c r="K67" s="1501" t="s">
        <v>2074</v>
      </c>
      <c r="L67" s="1501">
        <f ca="1">IF(M49&gt;=10000,(8.25+(M49-10000)*0.01%),IF(AND(M49&gt;=8000,M49&lt;10000),(7.85+(M49-8000)*0.02%),IF(AND(M49&gt;=5000,M49&lt;8000),(6.65+(M49-5000)*0.04%),IF(AND(M49&gt;=2000,M49&lt;5000),(4.25+(PM49-2000)*0.08%),IF(AND(M49&gt;=1000,M49&lt;2000),(2.75+(M49-1000)*0.15%),IF(AND(M49&gt;=100,M49&lt;1000),(0.5+(M49-100)*0.25%),IF(AND(M49&gt;0,M49&lt;100),M49*0.5%)))))))</f>
        <v>9.7034000000000002</v>
      </c>
      <c r="M67" s="308">
        <f ca="1">ROUND(L67*0.9,1)</f>
        <v>8.6999999999999993</v>
      </c>
      <c r="N67" s="2767"/>
      <c r="Z67" s="1938"/>
      <c r="AI67" s="1939"/>
    </row>
    <row r="68" spans="1:35" ht="14.25" customHeight="1" thickBot="1">
      <c r="A68" s="181" t="s">
        <v>774</v>
      </c>
      <c r="B68" s="182" t="s">
        <v>2075</v>
      </c>
      <c r="C68" s="2793">
        <f ca="1">IF(C67&lt;=0,0,ROUND(C67*D68,0))</f>
        <v>1285</v>
      </c>
      <c r="D68" s="2794">
        <f>'数据-取费表'!B41</f>
        <v>5.5000000000000007E-2</v>
      </c>
      <c r="E68" s="184"/>
      <c r="F68" s="1994"/>
      <c r="G68" s="1994"/>
      <c r="H68" s="1996"/>
      <c r="I68" s="134"/>
      <c r="J68" s="3252"/>
      <c r="K68" s="1501" t="s">
        <v>2076</v>
      </c>
      <c r="L68" s="1501">
        <f ca="1">IF(M49&gt;10000,M49*0.5%,IF(AND(M49&gt;5000,M49&lt;=10000),M49*1%,IF(AND(M49&gt;1000,M49&lt;=5000),M49*2%,IF(AND(M49&gt;200,M49&lt;=1000),M49*3%,M49*5%))))</f>
        <v>122.67</v>
      </c>
      <c r="M68" s="308">
        <f ca="1">ROUND(L68,1)</f>
        <v>122.7</v>
      </c>
      <c r="N68" s="2767"/>
      <c r="Z68" s="1938"/>
      <c r="AI68" s="1939"/>
    </row>
    <row r="69" spans="1:35" s="1958" customFormat="1" ht="16.5" customHeight="1">
      <c r="A69" s="1997"/>
      <c r="B69" s="1998"/>
      <c r="C69" s="1999"/>
      <c r="D69" s="2000"/>
      <c r="E69" s="2001"/>
      <c r="F69" s="1763"/>
      <c r="G69" s="1763"/>
      <c r="H69" s="1762"/>
      <c r="I69" s="1933"/>
      <c r="J69" s="3252"/>
      <c r="K69" s="1501" t="s">
        <v>2077</v>
      </c>
      <c r="L69" s="1501"/>
      <c r="M69" s="308">
        <f ca="1">ROUND(SUM(M63:M68),0)</f>
        <v>402</v>
      </c>
      <c r="N69" s="2769">
        <f ca="1">M69/M49</f>
        <v>1.6385424309122036E-2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1" t="s">
        <v>2078</v>
      </c>
      <c r="B70" s="3212"/>
      <c r="C70" s="3212"/>
      <c r="D70" s="3212"/>
      <c r="E70" s="3212"/>
      <c r="F70" s="3212"/>
      <c r="G70" s="3212"/>
      <c r="H70" s="3212"/>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0" t="s">
        <v>2059</v>
      </c>
      <c r="B71" s="3191"/>
      <c r="C71" s="2209"/>
      <c r="D71" s="2209" t="s">
        <v>2060</v>
      </c>
      <c r="E71" s="185" t="s">
        <v>2061</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2079</v>
      </c>
      <c r="C72" s="2792">
        <f ca="1">ROUND(D45/(1+'数据-取费表'!C42),0)</f>
        <v>23366</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2080</v>
      </c>
      <c r="C73" s="2792">
        <f ca="1">C74+C78</f>
        <v>117</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2081</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2082</v>
      </c>
      <c r="C75" s="2795"/>
      <c r="D75" s="175" t="s">
        <v>32</v>
      </c>
      <c r="E75" s="190" t="s">
        <v>2083</v>
      </c>
      <c r="F75" s="2796"/>
      <c r="G75" s="190" t="s">
        <v>2084</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2085</v>
      </c>
      <c r="C76" s="175">
        <f>IF(F75="购房发票",ROUND(C75*H75*D76,0),0)</f>
        <v>0</v>
      </c>
      <c r="D76" s="2798">
        <v>0.05</v>
      </c>
      <c r="E76" s="3185" t="s">
        <v>2086</v>
      </c>
      <c r="F76" s="3159"/>
      <c r="G76" s="3159"/>
      <c r="H76" s="321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2087</v>
      </c>
      <c r="C77" s="175">
        <f>ROUND(IF(G77="个人住宅",0,IF(G77="2016年5月1日前购买",C75*D77,C75*D77/(1+'数据-取费表'!C42))),0)</f>
        <v>0</v>
      </c>
      <c r="D77" s="2799">
        <f>'数据-取费表'!B48+'数据-取费表'!B49</f>
        <v>3.0499999999999999E-2</v>
      </c>
      <c r="E77" s="2547" t="s">
        <v>2088</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2089</v>
      </c>
      <c r="C78" s="2800">
        <f ca="1">ROUND(D45*D78/(1+'数据-取费表'!C42),0)</f>
        <v>117</v>
      </c>
      <c r="D78" s="2801">
        <f>'数据-取费表'!B43</f>
        <v>5.000000000000001E-3</v>
      </c>
      <c r="E78" s="3169" t="s">
        <v>2090</v>
      </c>
      <c r="F78" s="3170"/>
      <c r="G78" s="3170"/>
      <c r="H78" s="317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2091</v>
      </c>
      <c r="C79" s="2792">
        <f ca="1">C72-C73</f>
        <v>23249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2092</v>
      </c>
      <c r="C80" s="2802">
        <f ca="1">IF(C79&lt;=0,0,C79/C73)</f>
        <v>198.7094017094017</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2093</v>
      </c>
      <c r="C81" s="2803">
        <f ca="1">ROUND(IF(C79&lt;=0,0,IF(C80&gt;=200%,C79*60%-C73*35%,IF(C80&gt;=100%,C79*50%-C73*15%,IF(C80&gt;=50%,C79*40%-C73*5%,IF(C80&lt;50%,C79*30%,0))))),0)</f>
        <v>13908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1" t="s">
        <v>2094</v>
      </c>
      <c r="B83" s="3212"/>
      <c r="C83" s="3212"/>
      <c r="D83" s="3212"/>
      <c r="E83" s="3212"/>
      <c r="F83" s="3212"/>
      <c r="G83" s="3212"/>
      <c r="H83" s="321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0" t="s">
        <v>2059</v>
      </c>
      <c r="B84" s="3191"/>
      <c r="C84" s="2209"/>
      <c r="D84" s="2209" t="s">
        <v>2060</v>
      </c>
      <c r="E84" s="185" t="s">
        <v>2061</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2079</v>
      </c>
      <c r="C85" s="2792">
        <f ca="1">ROUND(D45/(1+'数据-取费表'!C42),0)</f>
        <v>23366</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2080</v>
      </c>
      <c r="C86" s="2792">
        <f ca="1">IF(H88="仅含出让金",C87+C90+C91+C92+C93+C94,C87+C91+C92+C93+C94)</f>
        <v>117</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2095</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2096</v>
      </c>
      <c r="C88" s="2806"/>
      <c r="D88" s="2801"/>
      <c r="E88" s="199" t="s">
        <v>2097</v>
      </c>
      <c r="F88" s="2550"/>
      <c r="G88" s="200" t="s">
        <v>2098</v>
      </c>
      <c r="H88" s="2010"/>
      <c r="I88" s="2007"/>
      <c r="J88" s="2745"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2087</v>
      </c>
      <c r="C89" s="2800">
        <f>ROUND(C88*D89,0)</f>
        <v>0</v>
      </c>
      <c r="D89" s="2801">
        <f>'数据-取费表'!B48+'数据-取费表'!B49</f>
        <v>3.0499999999999999E-2</v>
      </c>
      <c r="E89" s="199" t="s">
        <v>2099</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2100</v>
      </c>
      <c r="C90" s="2806"/>
      <c r="D90" s="2801"/>
      <c r="E90" s="199" t="str">
        <f>IF(H88="-","土地取得成本中已包含该笔费用"," ")</f>
        <v xml:space="preserve"> </v>
      </c>
      <c r="F90" s="2550"/>
      <c r="G90" s="3254" t="s">
        <v>2869</v>
      </c>
      <c r="H90" s="3255"/>
      <c r="I90" s="2007"/>
      <c r="J90" s="2745"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2101</v>
      </c>
      <c r="B91" s="175" t="s">
        <v>2102</v>
      </c>
      <c r="C91" s="2800">
        <f>IF(H91="——",成本法!C33,I91)</f>
        <v>0</v>
      </c>
      <c r="D91" s="2801"/>
      <c r="E91" s="3169" t="s">
        <v>2103</v>
      </c>
      <c r="F91" s="3170"/>
      <c r="G91" s="317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2104</v>
      </c>
      <c r="B92" s="175" t="s">
        <v>2105</v>
      </c>
      <c r="C92" s="2800">
        <f>ROUND((C87+C90+C91)*D92,0)</f>
        <v>0</v>
      </c>
      <c r="D92" s="2807"/>
      <c r="E92" s="3169" t="s">
        <v>2106</v>
      </c>
      <c r="F92" s="3170"/>
      <c r="G92" s="3170"/>
      <c r="H92" s="3179"/>
      <c r="I92" s="2007"/>
      <c r="J92" s="2746"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2107</v>
      </c>
      <c r="B93" s="175" t="s">
        <v>2089</v>
      </c>
      <c r="C93" s="2800">
        <f ca="1">ROUND(D45*D93/(1+'数据-取费表'!C42),0)</f>
        <v>117</v>
      </c>
      <c r="D93" s="2801">
        <f>'数据-取费表'!B43</f>
        <v>5.000000000000001E-3</v>
      </c>
      <c r="E93" s="3169" t="s">
        <v>2090</v>
      </c>
      <c r="F93" s="3170"/>
      <c r="G93" s="3170"/>
      <c r="H93" s="317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2108</v>
      </c>
      <c r="B94" s="175" t="s">
        <v>2109</v>
      </c>
      <c r="C94" s="2806">
        <f>ROUND((C87+C90+C91)*D94,0)</f>
        <v>0</v>
      </c>
      <c r="D94" s="2801">
        <v>0.2</v>
      </c>
      <c r="E94" s="3180" t="s">
        <v>2110</v>
      </c>
      <c r="F94" s="3181"/>
      <c r="G94" s="3181"/>
      <c r="H94" s="318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2091</v>
      </c>
      <c r="C95" s="2792">
        <f ca="1">ROUND(C85-C86,0)</f>
        <v>23249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2092</v>
      </c>
      <c r="C96" s="2802">
        <f ca="1">IF(C95&lt;=0,0,C95/C86)</f>
        <v>198.7094017094017</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2093</v>
      </c>
      <c r="C97" s="2803">
        <f ca="1">ROUND(IF(C95&lt;=0,0,IF(C96&gt;=200%,C95*60%-C86*35%,IF(C96&gt;=100%,C95*50%-C86*15%,IF(C96&gt;=50%,C95*40%-C86*5%,IF(C96&lt;50%,C95*30%,0))))),0)</f>
        <v>13908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2111</v>
      </c>
      <c r="B99" s="1933"/>
      <c r="C99" s="1933"/>
      <c r="D99" s="1933"/>
      <c r="E99" s="1763"/>
      <c r="F99" s="1763"/>
      <c r="G99" s="1763"/>
      <c r="H99" s="1762"/>
      <c r="I99" s="134"/>
    </row>
    <row r="100" spans="1:35" ht="18.75" customHeight="1">
      <c r="A100" s="3153" t="s">
        <v>2112</v>
      </c>
      <c r="B100" s="3154"/>
      <c r="C100" s="3154"/>
      <c r="D100" s="3171"/>
      <c r="E100" s="3154" t="s">
        <v>2113</v>
      </c>
      <c r="F100" s="3154"/>
      <c r="G100" s="3154"/>
      <c r="H100" s="3171"/>
      <c r="I100" s="134"/>
    </row>
    <row r="101" spans="1:35" ht="18.75" customHeight="1">
      <c r="A101" s="3235" t="s">
        <v>2114</v>
      </c>
      <c r="B101" s="3236"/>
      <c r="C101" s="2809" t="str">
        <f>C4</f>
        <v>成本法</v>
      </c>
      <c r="D101" s="2810" t="str">
        <f>D4</f>
        <v>收益法</v>
      </c>
      <c r="E101" s="3249" t="s">
        <v>2115</v>
      </c>
      <c r="F101" s="3203"/>
      <c r="G101" s="2013" t="s">
        <v>2116</v>
      </c>
      <c r="H101" s="2819">
        <f ca="1">H118</f>
        <v>24534</v>
      </c>
      <c r="I101" s="134"/>
    </row>
    <row r="102" spans="1:35" ht="18.75" customHeight="1">
      <c r="A102" s="3205" t="s">
        <v>2117</v>
      </c>
      <c r="B102" s="2808" t="s">
        <v>2116</v>
      </c>
      <c r="C102" s="2809">
        <f ca="1">C19</f>
        <v>28672</v>
      </c>
      <c r="D102" s="2810">
        <f ca="1">D19</f>
        <v>18327</v>
      </c>
      <c r="E102" s="3249"/>
      <c r="F102" s="3203"/>
      <c r="G102" s="2013" t="s">
        <v>2118</v>
      </c>
      <c r="H102" s="2779">
        <f ca="1">I118</f>
        <v>19458</v>
      </c>
      <c r="I102" s="134"/>
    </row>
    <row r="103" spans="1:35" ht="42.75" customHeight="1">
      <c r="A103" s="3205"/>
      <c r="B103" s="2808" t="s">
        <v>2118</v>
      </c>
      <c r="C103" s="2811">
        <f ca="1">C20</f>
        <v>22740</v>
      </c>
      <c r="D103" s="2812">
        <f ca="1">D20</f>
        <v>14536</v>
      </c>
      <c r="E103" s="3243" t="s">
        <v>2119</v>
      </c>
      <c r="F103" s="3244"/>
      <c r="G103" s="2014" t="s">
        <v>2120</v>
      </c>
      <c r="H103" s="2819">
        <f>IF(D36="正常操作",H104+H105+H106,H105+H106)</f>
        <v>0</v>
      </c>
      <c r="I103" s="134"/>
    </row>
    <row r="104" spans="1:35" ht="18.75" customHeight="1">
      <c r="A104" s="3205" t="s">
        <v>2121</v>
      </c>
      <c r="B104" s="2813" t="s">
        <v>2116</v>
      </c>
      <c r="C104" s="2814">
        <f ca="1">H118</f>
        <v>24534</v>
      </c>
      <c r="D104" s="2815"/>
      <c r="E104" s="1860" t="s">
        <v>2122</v>
      </c>
      <c r="F104" s="1851"/>
      <c r="G104" s="2014" t="s">
        <v>2120</v>
      </c>
      <c r="H104" s="2820">
        <f>IF(D36="同一抵押权人同一抵押物续贷",C36&amp;"（续贷，未扣减，详见特别提示）",C36)</f>
        <v>0</v>
      </c>
      <c r="I104" s="134"/>
    </row>
    <row r="105" spans="1:35" ht="18.75" customHeight="1" thickBot="1">
      <c r="A105" s="3206"/>
      <c r="B105" s="2816" t="s">
        <v>2118</v>
      </c>
      <c r="C105" s="2817">
        <f ca="1">I118</f>
        <v>19458</v>
      </c>
      <c r="D105" s="2818"/>
      <c r="E105" s="1860" t="s">
        <v>2123</v>
      </c>
      <c r="F105" s="1851"/>
      <c r="G105" s="2014" t="s">
        <v>2120</v>
      </c>
      <c r="H105" s="2821">
        <f>C37</f>
        <v>0</v>
      </c>
      <c r="I105" s="134"/>
    </row>
    <row r="106" spans="1:35" ht="18.75" customHeight="1">
      <c r="A106" s="1933" t="s">
        <v>2124</v>
      </c>
      <c r="B106" s="1933"/>
      <c r="C106" s="1933"/>
      <c r="D106" s="1933"/>
      <c r="E106" s="2015" t="s">
        <v>2125</v>
      </c>
      <c r="F106" s="1851"/>
      <c r="G106" s="2014" t="s">
        <v>2120</v>
      </c>
      <c r="H106" s="2821">
        <f>C38</f>
        <v>0</v>
      </c>
      <c r="I106" s="134"/>
    </row>
    <row r="107" spans="1:35" ht="18.75" customHeight="1">
      <c r="A107" s="134"/>
      <c r="B107" s="134"/>
      <c r="C107" s="134"/>
      <c r="D107" s="134"/>
      <c r="E107" s="3202" t="str">
        <f>IF(项目基本情况!E8="已注销","——","3.房地产抵押价值")</f>
        <v>3.房地产抵押价值</v>
      </c>
      <c r="F107" s="3203"/>
      <c r="G107" s="2013" t="s">
        <v>2116</v>
      </c>
      <c r="H107" s="2819">
        <f ca="1">IF(E107="——","——",H101-H103)</f>
        <v>24534</v>
      </c>
      <c r="I107" s="134"/>
    </row>
    <row r="108" spans="1:35" ht="18.75" customHeight="1">
      <c r="A108" s="134"/>
      <c r="B108" s="134"/>
      <c r="C108" s="134"/>
      <c r="D108" s="134"/>
      <c r="E108" s="3202"/>
      <c r="F108" s="3203"/>
      <c r="G108" s="2013" t="s">
        <v>2118</v>
      </c>
      <c r="H108" s="2779">
        <f ca="1">ROUND(H107*10000/'数据-汇总表'!E3,0)</f>
        <v>19458</v>
      </c>
      <c r="I108" s="134"/>
    </row>
    <row r="109" spans="1:35" ht="18.75" customHeight="1">
      <c r="A109" s="134"/>
      <c r="B109" s="134"/>
      <c r="C109" s="134"/>
      <c r="D109" s="134"/>
      <c r="E109" s="3202" t="str">
        <f>IF(项目基本情况!E8="已注销及未注销","4.抵押担保权已注销时的房地产抵押价值",IF(项目基本情况!E8="已注销","3.抵押担保权已注销时的房地产抵押价值","——"))</f>
        <v>——</v>
      </c>
      <c r="F109" s="3203"/>
      <c r="G109" s="2013" t="s">
        <v>2116</v>
      </c>
      <c r="H109" s="2822" t="str">
        <f>IF(E109="——","——",H101-H105-H106)</f>
        <v>——</v>
      </c>
      <c r="I109" s="134"/>
    </row>
    <row r="110" spans="1:35" ht="18.75" customHeight="1">
      <c r="A110" s="134"/>
      <c r="B110" s="134"/>
      <c r="C110" s="134"/>
      <c r="D110" s="134"/>
      <c r="E110" s="3202"/>
      <c r="F110" s="3203"/>
      <c r="G110" s="2013" t="s">
        <v>2118</v>
      </c>
      <c r="H110" s="2779" t="str">
        <f>IF(H109="——","——",ROUND(H109*10000/'数据-汇总表'!E3,0))</f>
        <v>——</v>
      </c>
      <c r="I110" s="134"/>
    </row>
    <row r="111" spans="1:35" ht="18.75" customHeight="1">
      <c r="A111" s="134"/>
      <c r="B111" s="134"/>
      <c r="C111" s="134"/>
      <c r="D111" s="134"/>
      <c r="E111" s="3237" t="str">
        <f>IF(项目基本情况!E9="抵押净值",IF(OR(项目基本情况!E8="已注销",项目基本情况!E8="房地产抵押价值"),"4.抵押净值","5.抵押净值"),"——")</f>
        <v>——</v>
      </c>
      <c r="F111" s="3204"/>
      <c r="G111" s="2013" t="s">
        <v>2116</v>
      </c>
      <c r="H111" s="2819" t="str">
        <f>IF(E111="——","——",N59)</f>
        <v>——</v>
      </c>
      <c r="I111" s="134"/>
    </row>
    <row r="112" spans="1:35" ht="18.75" customHeight="1" thickBot="1">
      <c r="A112" s="134"/>
      <c r="B112" s="134"/>
      <c r="C112" s="134"/>
      <c r="D112" s="134"/>
      <c r="E112" s="3238"/>
      <c r="F112" s="3239"/>
      <c r="G112" s="2016" t="s">
        <v>2118</v>
      </c>
      <c r="H112" s="2823" t="str">
        <f>IF(E111="——","——",N61)</f>
        <v>——</v>
      </c>
      <c r="I112" s="134"/>
    </row>
    <row r="113" spans="1:27" ht="18.75" customHeight="1">
      <c r="A113" s="134"/>
      <c r="B113" s="134"/>
      <c r="C113" s="134"/>
      <c r="D113" s="134"/>
      <c r="E113" s="3207" t="s">
        <v>2124</v>
      </c>
      <c r="F113" s="3207"/>
      <c r="G113" s="3207"/>
      <c r="H113" s="3207"/>
      <c r="I113" s="134"/>
    </row>
    <row r="114" spans="1:27" ht="3.75" customHeight="1">
      <c r="A114" s="1933"/>
      <c r="B114" s="1933"/>
      <c r="C114" s="1933"/>
      <c r="D114" s="1933"/>
      <c r="E114" s="1995"/>
      <c r="F114" s="1995"/>
      <c r="G114" s="1995"/>
      <c r="H114" s="1995"/>
      <c r="I114" s="1933"/>
    </row>
    <row r="115" spans="1:27" ht="18.75" customHeight="1">
      <c r="A115" s="3220" t="s">
        <v>2126</v>
      </c>
      <c r="B115" s="3221"/>
      <c r="C115" s="3221"/>
      <c r="D115" s="3221"/>
      <c r="E115" s="3221"/>
      <c r="F115" s="3221"/>
      <c r="G115" s="3221"/>
      <c r="H115" s="3221"/>
      <c r="I115" s="3222"/>
    </row>
    <row r="116" spans="1:27" ht="27" customHeight="1">
      <c r="A116" s="3173" t="s">
        <v>2127</v>
      </c>
      <c r="B116" s="3208" t="s">
        <v>2128</v>
      </c>
      <c r="C116" s="3208" t="s">
        <v>2129</v>
      </c>
      <c r="D116" s="3224" t="s">
        <v>2130</v>
      </c>
      <c r="E116" s="3225"/>
      <c r="F116" s="3216" t="s">
        <v>2131</v>
      </c>
      <c r="G116" s="3216"/>
      <c r="H116" s="3173" t="s">
        <v>2132</v>
      </c>
      <c r="I116" s="3173"/>
    </row>
    <row r="117" spans="1:27" ht="18.75" customHeight="1">
      <c r="A117" s="3173"/>
      <c r="B117" s="3209"/>
      <c r="C117" s="3209"/>
      <c r="D117" s="2552" t="s">
        <v>2133</v>
      </c>
      <c r="E117" s="2552" t="s">
        <v>2134</v>
      </c>
      <c r="F117" s="2552" t="s">
        <v>2133</v>
      </c>
      <c r="G117" s="2552" t="s">
        <v>2135</v>
      </c>
      <c r="H117" s="2552" t="s">
        <v>2133</v>
      </c>
      <c r="I117" s="2552" t="s">
        <v>2135</v>
      </c>
    </row>
    <row r="118" spans="1:27" ht="24.75" customHeight="1">
      <c r="A118" s="2824" t="str">
        <f>项目基本情况!S2</f>
        <v>北京市房山区昊天北大街9号院1号楼房地产</v>
      </c>
      <c r="B118" s="2552">
        <f>M18</f>
        <v>12608.400000000001</v>
      </c>
      <c r="C118" s="2552">
        <f>M19</f>
        <v>19918.64</v>
      </c>
      <c r="D118" s="2552">
        <f ca="1">ROUND(IF(D32="总价",C34,E118*B118/10000),0)</f>
        <v>21664</v>
      </c>
      <c r="E118" s="2552">
        <f ca="1">ROUND(IF(C33="自定义",IF(D32="楼面单价",C34,D118*10000/B118),I118-G118),0)</f>
        <v>17182</v>
      </c>
      <c r="F118" s="2552">
        <f ca="1">ROUND(IF(D32="总价",C35,G118*B118/10000),0)</f>
        <v>2870</v>
      </c>
      <c r="G118" s="2552">
        <f ca="1">ROUND(IF(D32="楼面单价",C35,F118*10000/B118),0)</f>
        <v>2276</v>
      </c>
      <c r="H118" s="2552">
        <f ca="1">ROUND(IF(D32="总价",C32,I118*B118/10000),0)</f>
        <v>24534</v>
      </c>
      <c r="I118" s="2552">
        <f ca="1">ROUND(IF(D32="楼面单价",C32,H118*10000/B118),0)</f>
        <v>19458</v>
      </c>
      <c r="K118" s="734">
        <f ca="1">D118/(C118/666.67)</f>
        <v>725.08659627364113</v>
      </c>
    </row>
    <row r="119" spans="1:27" ht="18.75" customHeight="1">
      <c r="A119" s="3173" t="s">
        <v>2136</v>
      </c>
      <c r="B119" s="3173"/>
      <c r="C119" s="3173"/>
      <c r="D119" s="3213" t="str">
        <f ca="1">NUMBERSTRING(INT(D118*10000),2)&amp;"元整"</f>
        <v>贰亿壹仟陆佰陆拾肆万元整</v>
      </c>
      <c r="E119" s="3215"/>
      <c r="F119" s="3213" t="str">
        <f ca="1">NUMBERSTRING(INT(F118*10000),2)&amp;"元整"</f>
        <v>贰仟捌佰柒拾万元整</v>
      </c>
      <c r="G119" s="3215"/>
      <c r="H119" s="3213" t="str">
        <f ca="1">NUMBERSTRING(INT(H118*10000),2)&amp;"元整"</f>
        <v>贰亿肆仟伍佰叁拾肆万元整</v>
      </c>
      <c r="I119" s="3215"/>
    </row>
    <row r="120" spans="1:27" ht="18.75" customHeight="1">
      <c r="A120" s="3240" t="str">
        <f>IF(项目基本情况!B9="房地产市场价值","",MID(E103,3,LEN(E103)-2))</f>
        <v>估价师知悉的法定优先受偿款</v>
      </c>
      <c r="B120" s="3241"/>
      <c r="C120" s="3242"/>
      <c r="D120" s="3240">
        <f>H103</f>
        <v>0</v>
      </c>
      <c r="E120" s="3241"/>
      <c r="F120" s="3241"/>
      <c r="G120" s="3241"/>
      <c r="H120" s="3241"/>
      <c r="I120" s="324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7" t="s">
        <v>2136</v>
      </c>
      <c r="B121" s="3218"/>
      <c r="C121" s="3219"/>
      <c r="D121" s="3213" t="str">
        <f>IF(D120=0,"零元整",NUMBERSTRING(INT(D120*10000),2)&amp;"元整")</f>
        <v>零元整</v>
      </c>
      <c r="E121" s="3214"/>
      <c r="F121" s="3214"/>
      <c r="G121" s="3214"/>
      <c r="H121" s="3214"/>
      <c r="I121" s="3215"/>
      <c r="AA121" s="734"/>
    </row>
    <row r="122" spans="1:27" ht="18.75" customHeight="1">
      <c r="A122" s="3204" t="str">
        <f>IF(项目基本情况!B9="房地产市场价值","",MID(E107,3,LEN(E107)-2))</f>
        <v>房地产抵押价值</v>
      </c>
      <c r="B122" s="3204"/>
      <c r="C122" s="3204"/>
      <c r="D122" s="3240">
        <f ca="1">H107</f>
        <v>24534</v>
      </c>
      <c r="E122" s="3241"/>
      <c r="F122" s="3241"/>
      <c r="G122" s="3241"/>
      <c r="H122" s="3241"/>
      <c r="I122" s="3242"/>
      <c r="AA122" s="734"/>
    </row>
    <row r="123" spans="1:27" ht="18.75" customHeight="1">
      <c r="A123" s="3173" t="s">
        <v>2136</v>
      </c>
      <c r="B123" s="3173"/>
      <c r="C123" s="3173"/>
      <c r="D123" s="3213" t="str">
        <f ca="1">NUMBERSTRING(INT(D122*10000),2)&amp;"元整"</f>
        <v>贰亿肆仟伍佰叁拾肆万元整</v>
      </c>
      <c r="E123" s="3214"/>
      <c r="F123" s="3214"/>
      <c r="G123" s="3214"/>
      <c r="H123" s="3214"/>
      <c r="I123" s="3215"/>
      <c r="AA123" s="734"/>
    </row>
    <row r="124" spans="1:27" ht="18.75" customHeight="1">
      <c r="A124" s="3204" t="str">
        <f>IF(项目基本情况!B9="房地产市场价值","",MID(E109,3,LEN(E109)-2))</f>
        <v/>
      </c>
      <c r="B124" s="3204"/>
      <c r="C124" s="3204"/>
      <c r="D124" s="3240" t="str">
        <f>H109</f>
        <v>——</v>
      </c>
      <c r="E124" s="3241"/>
      <c r="F124" s="3241"/>
      <c r="G124" s="3241"/>
      <c r="H124" s="3241"/>
      <c r="I124" s="3242"/>
      <c r="AA124" s="734"/>
    </row>
    <row r="125" spans="1:27" ht="18.75" customHeight="1">
      <c r="A125" s="3173" t="s">
        <v>2136</v>
      </c>
      <c r="B125" s="3173"/>
      <c r="C125" s="3173"/>
      <c r="D125" s="3213" t="e">
        <f>NUMBERSTRING(INT(D124*10000),2)&amp;"元整"</f>
        <v>#VALUE!</v>
      </c>
      <c r="E125" s="3214"/>
      <c r="F125" s="3214"/>
      <c r="G125" s="3214"/>
      <c r="H125" s="3214"/>
      <c r="I125" s="3215"/>
      <c r="AA125" s="734"/>
    </row>
    <row r="126" spans="1:27" ht="18.75" customHeight="1">
      <c r="A126" s="3204" t="str">
        <f>IF(项目基本情况!B9="房地产市场价值","",MID(E111,3,LEN(E111)-2))</f>
        <v/>
      </c>
      <c r="B126" s="3204"/>
      <c r="C126" s="3204"/>
      <c r="D126" s="3240" t="str">
        <f>H111</f>
        <v>——</v>
      </c>
      <c r="E126" s="3241"/>
      <c r="F126" s="3241"/>
      <c r="G126" s="3241"/>
      <c r="H126" s="3241"/>
      <c r="I126" s="3242"/>
      <c r="AA126" s="734"/>
    </row>
    <row r="127" spans="1:27" ht="18.75" customHeight="1">
      <c r="A127" s="3173" t="s">
        <v>2136</v>
      </c>
      <c r="B127" s="3173"/>
      <c r="C127" s="3173"/>
      <c r="D127" s="3213" t="e">
        <f>NUMBERSTRING(INT(D126*10000),2)&amp;"元整"</f>
        <v>#VALUE!</v>
      </c>
      <c r="E127" s="3214"/>
      <c r="F127" s="3214"/>
      <c r="G127" s="3214"/>
      <c r="H127" s="3214"/>
      <c r="I127" s="3215"/>
      <c r="AA127" s="734"/>
    </row>
    <row r="128" spans="1:27" ht="21.75" customHeight="1">
      <c r="A128" s="3223" t="s">
        <v>2137</v>
      </c>
      <c r="B128" s="3223"/>
      <c r="C128" s="3223"/>
      <c r="D128" s="3223"/>
      <c r="E128" s="3223"/>
      <c r="F128" s="3223"/>
      <c r="G128" s="3223"/>
      <c r="H128" s="3223"/>
      <c r="I128" s="3223"/>
      <c r="AA128" s="734"/>
    </row>
    <row r="129" spans="1:35" ht="21.75" customHeight="1">
      <c r="A129" s="2017" t="s">
        <v>2138</v>
      </c>
      <c r="B129" s="2018"/>
      <c r="C129" s="2019" t="s">
        <v>2139</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2140</v>
      </c>
      <c r="G135" s="2034"/>
      <c r="H135" s="2034"/>
      <c r="I135" s="2035" t="s">
        <v>2141</v>
      </c>
    </row>
    <row r="136" spans="1:35" ht="21.75" customHeight="1">
      <c r="A136" s="734"/>
      <c r="B136" s="2036"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2143</v>
      </c>
    </row>
    <row r="139" spans="1:35" ht="21.75" customHeight="1">
      <c r="A139" s="734"/>
      <c r="B139" s="2036" t="s">
        <v>2144</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2143</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7" t="str">
        <f>项目基本情况!B1</f>
        <v>北京市房山区昊天北大街9号院1号楼房地产抵押价值预评估</v>
      </c>
      <c r="C37" s="3067"/>
      <c r="D37" s="3067"/>
      <c r="E37" s="3067"/>
      <c r="F37" s="3067"/>
      <c r="G37" s="3067"/>
      <c r="H37" s="3067"/>
      <c r="I37" s="3067"/>
    </row>
    <row r="38" spans="1:9">
      <c r="A38" s="953"/>
      <c r="B38" s="953"/>
    </row>
    <row r="39" spans="1:9">
      <c r="A39" s="951" t="s">
        <v>818</v>
      </c>
      <c r="B39" s="951" t="s">
        <v>820</v>
      </c>
    </row>
    <row r="40" spans="1:9">
      <c r="A40" s="951"/>
      <c r="B40" s="1659" t="str">
        <f>项目基本情况!B5</f>
        <v>北京多维物业管理有限公司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F5" sqref="F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4" t="s">
        <v>27</v>
      </c>
      <c r="C1" s="204"/>
      <c r="D1" s="204"/>
      <c r="E1" s="204"/>
      <c r="F1" s="204"/>
      <c r="G1" s="1288">
        <f>MATCH(B1,'数据-取费表'!A6:A16,0)+5</f>
        <v>6</v>
      </c>
    </row>
    <row r="2" spans="1:9" s="206" customFormat="1" ht="18" customHeight="1">
      <c r="A2" s="207" t="s">
        <v>2146</v>
      </c>
      <c r="B2" s="208">
        <f ca="1">IF(D2="——",C52,C52-E2)</f>
        <v>28672</v>
      </c>
      <c r="C2" s="205" t="s">
        <v>2147</v>
      </c>
      <c r="D2" s="2039" t="s">
        <v>3128</v>
      </c>
      <c r="E2" s="1331">
        <f ca="1">SUMIF(INDIRECT("'"&amp;G2&amp;"'"&amp;"!A:A"),"承租人权益价值",INDIRECT("'"&amp;G2&amp;"'"&amp;"!c:c"))</f>
        <v>2624</v>
      </c>
      <c r="F2" s="2040" t="s">
        <v>2147</v>
      </c>
      <c r="G2" s="2041" t="s">
        <v>3091</v>
      </c>
    </row>
    <row r="3" spans="1:9" s="206" customFormat="1" ht="18" customHeight="1" thickBot="1">
      <c r="A3" s="209" t="s">
        <v>2148</v>
      </c>
      <c r="B3" s="210">
        <f ca="1">ROUND(B2*10000/(IF(B1="",'数据-汇总表'!E3,INDIRECT("'数据-取费表'!k"&amp;$G$1))),0)</f>
        <v>22740</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20980</v>
      </c>
      <c r="D5" s="217" t="s">
        <v>2153</v>
      </c>
      <c r="E5" s="218" t="s">
        <v>2154</v>
      </c>
      <c r="F5" s="218" t="s">
        <v>2155</v>
      </c>
      <c r="G5" s="219"/>
    </row>
    <row r="6" spans="1:9" s="220" customFormat="1" ht="13.5" customHeight="1">
      <c r="A6" s="886" t="s">
        <v>2156</v>
      </c>
      <c r="B6" s="221" t="s">
        <v>2157</v>
      </c>
      <c r="C6" s="222">
        <f>基准地价修正!B2</f>
        <v>20126</v>
      </c>
      <c r="D6" s="223"/>
      <c r="E6" s="224"/>
      <c r="F6" s="224"/>
      <c r="G6" s="225"/>
    </row>
    <row r="7" spans="1:9" s="220" customFormat="1" ht="13.5" customHeight="1">
      <c r="A7" s="886" t="s">
        <v>2158</v>
      </c>
      <c r="B7" s="221" t="s">
        <v>2159</v>
      </c>
      <c r="C7" s="226">
        <f>ROUND(C6*F7,0)</f>
        <v>614</v>
      </c>
      <c r="D7" s="226"/>
      <c r="E7" s="224"/>
      <c r="F7" s="227">
        <f>IF(项目基本情况!B8="出让",0,'数据-取费表'!B48+'数据-取费表'!B49)</f>
        <v>3.0499999999999999E-2</v>
      </c>
      <c r="G7" s="225"/>
    </row>
    <row r="8" spans="1:9" s="229" customFormat="1">
      <c r="A8" s="886" t="s">
        <v>2160</v>
      </c>
      <c r="B8" s="221" t="s">
        <v>2161</v>
      </c>
      <c r="C8" s="226">
        <f ca="1">IF(G8="已包含在土地购买价格中","0",IF(B1="",'数据-取费表'!B29,IF(G9="全部缴纳",C9+C10,H9)))</f>
        <v>240</v>
      </c>
      <c r="D8" s="228"/>
      <c r="E8" s="226"/>
      <c r="F8" s="227"/>
      <c r="G8" s="2042" t="s">
        <v>3109</v>
      </c>
    </row>
    <row r="9" spans="1:9" s="220" customFormat="1" ht="13.5" customHeight="1">
      <c r="A9" s="887" t="s">
        <v>800</v>
      </c>
      <c r="B9" s="230" t="s">
        <v>2162</v>
      </c>
      <c r="C9" s="231">
        <f ca="1">ROUND(D9*E9/10000,0)</f>
        <v>0</v>
      </c>
      <c r="D9" s="954">
        <f ca="1">IF(B1="",'数据-汇总表'!E5,IF(INDIRECT("'数据-取费表'!c"&amp;$G$1)="住宅",INDIRECT("'数据-取费表'!k"&amp;$G$1),0))</f>
        <v>0</v>
      </c>
      <c r="E9" s="231">
        <f>'数据-取费表'!B27</f>
        <v>0</v>
      </c>
      <c r="F9" s="227"/>
      <c r="G9" s="2043" t="s">
        <v>3110</v>
      </c>
      <c r="H9" s="1299"/>
      <c r="I9" s="2044" t="s">
        <v>2163</v>
      </c>
    </row>
    <row r="10" spans="1:9" s="220" customFormat="1" ht="13.5" customHeight="1">
      <c r="A10" s="887" t="s">
        <v>801</v>
      </c>
      <c r="B10" s="230" t="s">
        <v>2164</v>
      </c>
      <c r="C10" s="231">
        <f ca="1">ROUND(D10*E10/10000,0)</f>
        <v>240</v>
      </c>
      <c r="D10" s="954">
        <f ca="1">IF(B1="",'数据-汇总表'!E6,IF(INDIRECT("'数据-取费表'!c"&amp;$G$1)="住宅",INDIRECT("'数据-取费表'!s"&amp;$G$1),INDIRECT("'数据-取费表'!k"&amp;$G$1)+INDIRECT("'数据-取费表'!s"&amp;$G$1)))</f>
        <v>12608.400000000001</v>
      </c>
      <c r="E10" s="231">
        <f>'数据-取费表'!B28</f>
        <v>190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7" s="220" customFormat="1" ht="13.5" hidden="1" customHeight="1">
      <c r="A17" s="233" t="s">
        <v>13</v>
      </c>
      <c r="B17" s="221" t="s">
        <v>2172</v>
      </c>
      <c r="C17" s="235"/>
      <c r="D17" s="957"/>
      <c r="E17" s="235"/>
      <c r="F17" s="235"/>
      <c r="G17" s="225" t="s">
        <v>2171</v>
      </c>
    </row>
    <row r="18" spans="1:7" s="220" customFormat="1" ht="13.5" hidden="1" customHeight="1">
      <c r="A18" s="233" t="s">
        <v>14</v>
      </c>
      <c r="B18" s="221" t="s">
        <v>2173</v>
      </c>
      <c r="C18" s="226">
        <v>0</v>
      </c>
      <c r="D18" s="956"/>
      <c r="E18" s="224"/>
      <c r="F18" s="227">
        <v>3.0499999999999999E-2</v>
      </c>
      <c r="G18" s="225" t="s">
        <v>2174</v>
      </c>
    </row>
    <row r="19" spans="1:7" s="229" customFormat="1" ht="13.5" customHeight="1">
      <c r="A19" s="261" t="s">
        <v>2175</v>
      </c>
      <c r="B19" s="216" t="s">
        <v>2176</v>
      </c>
      <c r="C19" s="217" t="str">
        <f>IF(G19="已包含在土地取得成本中","0",ROUND(D19*E19/10000,0))</f>
        <v>0</v>
      </c>
      <c r="D19" s="958">
        <f ca="1">D9+D10</f>
        <v>12608.400000000001</v>
      </c>
      <c r="E19" s="217">
        <f>'数据-取费表'!B31</f>
        <v>200</v>
      </c>
      <c r="F19" s="237"/>
      <c r="G19" s="2042" t="s">
        <v>3111</v>
      </c>
    </row>
    <row r="20" spans="1:7" s="220" customFormat="1" ht="13.5" customHeight="1">
      <c r="A20" s="261" t="s">
        <v>2177</v>
      </c>
      <c r="B20" s="216" t="s">
        <v>2178</v>
      </c>
      <c r="C20" s="238">
        <f ca="1">ROUND((C5+C19)*F20,0)</f>
        <v>420</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64">
        <f ca="1">ROUND(SUM(C23:C25),0)</f>
        <v>922</v>
      </c>
      <c r="D22" s="241">
        <f ca="1">C26</f>
        <v>4.0000000000000002E-4</v>
      </c>
      <c r="E22" s="242" t="s">
        <v>2182</v>
      </c>
      <c r="F22" s="243">
        <f ca="1">'数据-取费表'!B40</f>
        <v>4.3499999999999997E-2</v>
      </c>
      <c r="G22" s="240" t="str">
        <f>IF('数据-取费表'!B22&lt;=1,"单利计息","复利计息")</f>
        <v>单利计息</v>
      </c>
    </row>
    <row r="23" spans="1:7" s="220" customFormat="1" ht="13.5" customHeight="1">
      <c r="A23" s="888" t="s">
        <v>2186</v>
      </c>
      <c r="B23" s="221" t="s">
        <v>2187</v>
      </c>
      <c r="C23" s="1265">
        <f ca="1">ROUND(IF('数据-取费表'!B22&lt;=1,C5*F22*'数据-取费表'!B23,C5*(POWER((1+F22),'数据-取费表'!B23)-1)),0)</f>
        <v>913</v>
      </c>
      <c r="D23" s="244"/>
      <c r="E23" s="244"/>
      <c r="F23" s="245"/>
      <c r="G23" s="246" t="s">
        <v>2188</v>
      </c>
    </row>
    <row r="24" spans="1:7"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7" s="220" customFormat="1" ht="24">
      <c r="A25" s="888" t="s">
        <v>2192</v>
      </c>
      <c r="B25" s="221" t="s">
        <v>2193</v>
      </c>
      <c r="C25" s="1265">
        <f ca="1">ROUND(IF('数据-取费表'!B22&lt;=1,C20*F22*'数据-取费表'!B23/2,C20*(POWER((1+F22),'数据-取费表'!B23/2)-1)),0)</f>
        <v>9</v>
      </c>
      <c r="D25" s="244"/>
      <c r="E25" s="247"/>
      <c r="F25" s="245"/>
      <c r="G25" s="248" t="s">
        <v>2194</v>
      </c>
    </row>
    <row r="26" spans="1:7" s="220" customFormat="1">
      <c r="A26" s="888" t="s">
        <v>795</v>
      </c>
      <c r="B26" s="221" t="s">
        <v>2195</v>
      </c>
      <c r="C26" s="244">
        <f ca="1">ROUND(IF('数据-取费表'!B22&lt;=1,F21*F22*'数据-取费表'!B23/2,F21*(POWER((1+F22),'数据-取费表'!B23/2)-1)),4)</f>
        <v>4.0000000000000002E-4</v>
      </c>
      <c r="D26" s="244"/>
      <c r="E26" s="247"/>
      <c r="F26" s="245"/>
      <c r="G26" s="249"/>
    </row>
    <row r="27" spans="1:7" s="220" customFormat="1" ht="24.75">
      <c r="A27" s="261" t="s">
        <v>2196</v>
      </c>
      <c r="B27" s="250" t="s">
        <v>2197</v>
      </c>
      <c r="C27" s="251">
        <f ca="1">C28</f>
        <v>3210</v>
      </c>
      <c r="D27" s="241">
        <f ca="1">C29</f>
        <v>3.0000000000000001E-3</v>
      </c>
      <c r="E27" s="242" t="s">
        <v>2198</v>
      </c>
      <c r="F27" s="252">
        <f ca="1">IF(B1="",'数据-取费表'!Q16,INDIRECT("'数据-取费表'!q"&amp;$G$1))</f>
        <v>0.15</v>
      </c>
      <c r="G27" s="253" t="s">
        <v>2199</v>
      </c>
    </row>
    <row r="28" spans="1:7" s="220" customFormat="1" ht="13.5" customHeight="1">
      <c r="A28" s="888" t="s">
        <v>791</v>
      </c>
      <c r="B28" s="254" t="s">
        <v>2200</v>
      </c>
      <c r="C28" s="255">
        <f ca="1">ROUND((C5+C19+C20)*F27*'数据-取费表'!B21/'数据-取费表'!B20,0)</f>
        <v>3210</v>
      </c>
      <c r="D28" s="241"/>
      <c r="E28" s="242"/>
      <c r="F28" s="252"/>
      <c r="G28" s="253"/>
    </row>
    <row r="29" spans="1:7" s="220" customFormat="1" ht="13.5" customHeight="1">
      <c r="A29" s="888" t="s">
        <v>792</v>
      </c>
      <c r="B29" s="254" t="s">
        <v>2201</v>
      </c>
      <c r="C29" s="244">
        <f ca="1">ROUND(C21*F27*'数据-取费表'!B21/'数据-取费表'!B20,4)</f>
        <v>3.0000000000000001E-3</v>
      </c>
      <c r="D29" s="241"/>
      <c r="E29" s="242"/>
      <c r="F29" s="252"/>
      <c r="G29" s="253"/>
    </row>
    <row r="30" spans="1:7"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7" ht="16.5" customHeight="1">
      <c r="A31" s="215">
        <v>1</v>
      </c>
      <c r="B31" s="216" t="s">
        <v>2205</v>
      </c>
      <c r="C31" s="217">
        <f ca="1">ROUND((C5+C19+C20+C22+C27)/(1-C21-D22-D27-C30),0)</f>
        <v>27626</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3546</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3152</v>
      </c>
      <c r="D34" s="223"/>
      <c r="E34" s="226"/>
      <c r="F34" s="263">
        <f ca="1">IF('数据-取费表'!B24=0,1,IF(B1="",'数据-取费表'!N16,INDIRECT("'数据-取费表'!n"&amp;$G$1)))</f>
        <v>1</v>
      </c>
      <c r="G34" s="225" t="s">
        <v>2210</v>
      </c>
    </row>
    <row r="35" spans="1:7" ht="13.5" customHeight="1">
      <c r="A35" s="888" t="s">
        <v>796</v>
      </c>
      <c r="B35" s="221" t="s">
        <v>2211</v>
      </c>
      <c r="C35" s="226">
        <f ca="1">ROUND(C34*F35,0)</f>
        <v>95</v>
      </c>
      <c r="D35" s="226"/>
      <c r="E35" s="226"/>
      <c r="F35" s="265">
        <f>'数据-取费表'!B33</f>
        <v>0.03</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8" t="s">
        <v>798</v>
      </c>
      <c r="B37" s="221" t="s">
        <v>2215</v>
      </c>
      <c r="C37" s="255">
        <f ca="1">ROUND(E37*D37*F34/10000,0)</f>
        <v>252</v>
      </c>
      <c r="D37" s="223">
        <f ca="1">D19</f>
        <v>12608.400000000001</v>
      </c>
      <c r="E37" s="255">
        <f>'数据-取费表'!B35</f>
        <v>200</v>
      </c>
      <c r="F37" s="265"/>
      <c r="G37" s="267" t="s">
        <v>2216</v>
      </c>
    </row>
    <row r="38" spans="1:7" ht="13.5" customHeight="1">
      <c r="A38" s="888" t="s">
        <v>799</v>
      </c>
      <c r="B38" s="221" t="s">
        <v>2217</v>
      </c>
      <c r="C38" s="226">
        <f ca="1">ROUND(C34*F38,0)</f>
        <v>47</v>
      </c>
      <c r="D38" s="226"/>
      <c r="E38" s="226"/>
      <c r="F38" s="265">
        <f>'数据-取费表'!B36</f>
        <v>1.4999999999999999E-2</v>
      </c>
      <c r="G38" s="225" t="s">
        <v>2212</v>
      </c>
    </row>
    <row r="39" spans="1:7" s="220" customFormat="1" ht="13.5" customHeight="1">
      <c r="A39" s="261" t="s">
        <v>2218</v>
      </c>
      <c r="B39" s="216" t="s">
        <v>2219</v>
      </c>
      <c r="C39" s="238">
        <f ca="1">ROUND(C33*F20,0)</f>
        <v>71</v>
      </c>
      <c r="D39" s="238"/>
      <c r="E39" s="238"/>
      <c r="F39" s="2535">
        <f>F20</f>
        <v>0.02</v>
      </c>
      <c r="G39" s="240" t="s">
        <v>2220</v>
      </c>
    </row>
    <row r="40" spans="1:7" s="220" customFormat="1" ht="13.5" customHeight="1">
      <c r="A40" s="261" t="s">
        <v>2221</v>
      </c>
      <c r="B40" s="216" t="s">
        <v>2222</v>
      </c>
      <c r="C40" s="1495">
        <f>F21</f>
        <v>0.02</v>
      </c>
      <c r="D40" s="242" t="s">
        <v>2223</v>
      </c>
      <c r="E40" s="238"/>
      <c r="F40" s="2535">
        <f>F21</f>
        <v>0.02</v>
      </c>
      <c r="G40" s="240" t="s">
        <v>2224</v>
      </c>
    </row>
    <row r="41" spans="1:7" s="220" customFormat="1" ht="13.5" customHeight="1">
      <c r="A41" s="261" t="s">
        <v>2225</v>
      </c>
      <c r="B41" s="216" t="s">
        <v>2226</v>
      </c>
      <c r="C41" s="238">
        <f ca="1">ROUND(SUM(C42:C43),0)</f>
        <v>79</v>
      </c>
      <c r="D41" s="241">
        <f ca="1">C44</f>
        <v>4.0000000000000002E-4</v>
      </c>
      <c r="E41" s="242" t="s">
        <v>2223</v>
      </c>
      <c r="F41" s="2536">
        <f ca="1">F22</f>
        <v>4.3499999999999997E-2</v>
      </c>
      <c r="G41" s="240" t="str">
        <f>IF('数据-取费表'!B22&lt;=1,"单利计息","复利计息")</f>
        <v>单利计息</v>
      </c>
    </row>
    <row r="42" spans="1:7" ht="13.5" customHeight="1">
      <c r="A42" s="888" t="s">
        <v>791</v>
      </c>
      <c r="B42" s="221" t="s">
        <v>2227</v>
      </c>
      <c r="C42" s="244">
        <f ca="1">ROUND(IF('数据-取费表'!B22&lt;=1,C33*F22*'数据-取费表'!B21/2,C33*(POWER((1+F22),'数据-取费表'!B21/2)-1)),0)</f>
        <v>77</v>
      </c>
      <c r="D42" s="244"/>
      <c r="E42" s="244"/>
      <c r="F42" s="245"/>
      <c r="G42" s="3256" t="s">
        <v>2228</v>
      </c>
    </row>
    <row r="43" spans="1:7" ht="13.5" customHeight="1">
      <c r="A43" s="888" t="s">
        <v>792</v>
      </c>
      <c r="B43" s="221" t="s">
        <v>2229</v>
      </c>
      <c r="C43" s="244">
        <f ca="1">ROUND(IF('数据-取费表'!B22&lt;=1,C39*F22*'数据-取费表'!B21/2,C39*(POWER((1+F22),'数据-取费表'!B21/2)-1)),0)</f>
        <v>2</v>
      </c>
      <c r="D43" s="244"/>
      <c r="E43" s="244"/>
      <c r="F43" s="245"/>
      <c r="G43" s="3257"/>
    </row>
    <row r="44" spans="1:7" ht="13.5" customHeight="1">
      <c r="A44" s="888" t="s">
        <v>793</v>
      </c>
      <c r="B44" s="221" t="s">
        <v>2230</v>
      </c>
      <c r="C44" s="244">
        <f ca="1">ROUND(IF('数据-取费表'!B22&lt;=1,C40*F22*'数据-取费表'!B21/2,C40*(POWER((1+F22),'数据-取费表'!B21/2)-1)),4)</f>
        <v>4.0000000000000002E-4</v>
      </c>
      <c r="D44" s="244"/>
      <c r="E44" s="244"/>
      <c r="F44" s="245"/>
      <c r="G44" s="3258"/>
    </row>
    <row r="45" spans="1:7" s="220" customFormat="1" ht="13.5" customHeight="1">
      <c r="A45" s="261" t="s">
        <v>2231</v>
      </c>
      <c r="B45" s="250" t="s">
        <v>2197</v>
      </c>
      <c r="C45" s="251">
        <f ca="1">C46</f>
        <v>543</v>
      </c>
      <c r="D45" s="241">
        <f ca="1">C47</f>
        <v>3.0000000000000001E-3</v>
      </c>
      <c r="E45" s="242" t="s">
        <v>2223</v>
      </c>
      <c r="F45" s="2537">
        <f ca="1">F27</f>
        <v>0.15</v>
      </c>
      <c r="G45" s="253" t="s">
        <v>2232</v>
      </c>
    </row>
    <row r="46" spans="1:7" s="220" customFormat="1" ht="13.5" customHeight="1">
      <c r="A46" s="888" t="s">
        <v>791</v>
      </c>
      <c r="B46" s="254" t="s">
        <v>2233</v>
      </c>
      <c r="C46" s="255">
        <f ca="1">ROUND((C33+C39)*F27,0)</f>
        <v>543</v>
      </c>
      <c r="D46" s="269"/>
      <c r="E46" s="242"/>
      <c r="F46" s="252"/>
      <c r="G46" s="253"/>
    </row>
    <row r="47" spans="1:7" s="220" customFormat="1" ht="13.5" customHeight="1">
      <c r="A47" s="888" t="s">
        <v>792</v>
      </c>
      <c r="B47" s="254" t="s">
        <v>2234</v>
      </c>
      <c r="C47" s="244">
        <f ca="1">ROUND(C40*F27,4)</f>
        <v>3.0000000000000001E-3</v>
      </c>
      <c r="D47" s="269"/>
      <c r="E47" s="242"/>
      <c r="F47" s="252"/>
      <c r="G47" s="253"/>
    </row>
    <row r="48" spans="1:7" s="220" customFormat="1" ht="13.5" customHeight="1">
      <c r="A48" s="261" t="s">
        <v>2196</v>
      </c>
      <c r="B48" s="216" t="s">
        <v>2235</v>
      </c>
      <c r="C48" s="1495">
        <f>ROUND(F30/(1+'数据-取费表'!C42),4)</f>
        <v>5.2400000000000002E-2</v>
      </c>
      <c r="D48" s="242" t="s">
        <v>2223</v>
      </c>
      <c r="E48" s="238"/>
      <c r="F48" s="2536">
        <f>F30</f>
        <v>5.5000000000000007E-2</v>
      </c>
      <c r="G48" s="240" t="s">
        <v>2236</v>
      </c>
    </row>
    <row r="49" spans="1:7" ht="16.5" customHeight="1">
      <c r="A49" s="261" t="s">
        <v>2202</v>
      </c>
      <c r="B49" s="216" t="s">
        <v>2237</v>
      </c>
      <c r="C49" s="238">
        <f ca="1">ROUND((C33+C39+C41+C45)/(1-C40-D41-D45-C48),0)</f>
        <v>4587</v>
      </c>
      <c r="D49" s="238"/>
      <c r="E49" s="238"/>
      <c r="F49" s="270"/>
      <c r="G49" s="240" t="s">
        <v>2238</v>
      </c>
    </row>
    <row r="50" spans="1:7" s="264" customFormat="1" ht="24">
      <c r="A50" s="261" t="s">
        <v>2239</v>
      </c>
      <c r="B50" s="216" t="s">
        <v>2240</v>
      </c>
      <c r="C50" s="238"/>
      <c r="D50" s="238"/>
      <c r="E50" s="238"/>
      <c r="F50" s="270">
        <f>IF('数据-取费表'!B24=0,'数据-取费表'!N16,1)</f>
        <v>0.8</v>
      </c>
      <c r="G50" s="253" t="s">
        <v>2241</v>
      </c>
    </row>
    <row r="51" spans="1:7" ht="16.5" customHeight="1">
      <c r="A51" s="261" t="s">
        <v>2242</v>
      </c>
      <c r="B51" s="216" t="s">
        <v>2243</v>
      </c>
      <c r="C51" s="238">
        <f ca="1">ROUND(C49*F50,0)</f>
        <v>3670</v>
      </c>
      <c r="D51" s="238"/>
      <c r="E51" s="238"/>
      <c r="F51" s="270"/>
      <c r="G51" s="240" t="s">
        <v>2244</v>
      </c>
    </row>
    <row r="52" spans="1:7" s="214" customFormat="1" ht="16.5" thickBot="1">
      <c r="A52" s="271" t="s">
        <v>2245</v>
      </c>
      <c r="B52" s="272"/>
      <c r="C52" s="273">
        <f ca="1">C31+C51</f>
        <v>31296</v>
      </c>
      <c r="D52" s="272"/>
      <c r="E52" s="272"/>
      <c r="F52" s="272"/>
      <c r="G52" s="274"/>
    </row>
    <row r="55" spans="1:7" ht="15">
      <c r="B55" s="276" t="s">
        <v>2246</v>
      </c>
      <c r="C55" s="277"/>
    </row>
    <row r="56" spans="1:7">
      <c r="B56" s="279" t="s">
        <v>1477</v>
      </c>
      <c r="C56" s="281">
        <f ca="1">1-C57</f>
        <v>0.88300000000000001</v>
      </c>
    </row>
    <row r="57" spans="1:7">
      <c r="B57" s="279" t="s">
        <v>1478</v>
      </c>
      <c r="C57" s="280">
        <f ca="1">ROUND(C51/C52,3)</f>
        <v>0.11700000000000001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4"/>
      <c r="C1" s="2045" t="s">
        <v>2247</v>
      </c>
      <c r="D1" s="204"/>
      <c r="E1" s="204"/>
      <c r="F1" s="204"/>
      <c r="G1" s="1288">
        <f>MATCH(B1,'数据-取费表'!A6:A16,0)+5</f>
        <v>7</v>
      </c>
      <c r="H1" s="1192" t="str">
        <f>IF(ISERROR(FIND("住宅",B1)),"非住宅","住宅")</f>
        <v>非住宅</v>
      </c>
    </row>
    <row r="2" spans="1:8" s="206" customFormat="1" ht="18" customHeight="1">
      <c r="A2" s="207" t="s">
        <v>2146</v>
      </c>
      <c r="B2" s="208">
        <f ca="1">ROUND(IF(D2="——",C52/10000,C52/10000-E2),0)</f>
        <v>4316</v>
      </c>
      <c r="C2" s="205" t="s">
        <v>2147</v>
      </c>
      <c r="D2" s="2039" t="s">
        <v>70</v>
      </c>
      <c r="E2" s="1331" t="e">
        <f ca="1">SUMIF(INDIRECT("'"&amp;G2&amp;"'"&amp;"!A:A"),"承租人权益价值",INDIRECT("'"&amp;G2&amp;"'"&amp;"!c:c"))</f>
        <v>#REF!</v>
      </c>
      <c r="F2" s="2040" t="s">
        <v>2147</v>
      </c>
      <c r="G2" s="2041"/>
    </row>
    <row r="3" spans="1:8" s="206" customFormat="1" ht="18" customHeight="1" thickBot="1">
      <c r="A3" s="209" t="s">
        <v>2148</v>
      </c>
      <c r="B3" s="210">
        <f ca="1">ROUND(B2*10000/(IF(B1="",'数据-汇总表'!E3,INDIRECT("'数据-取费表'!k"&amp;$G$1))),0)</f>
        <v>3423</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2395596</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2395596</v>
      </c>
      <c r="D8" s="228"/>
      <c r="E8" s="226"/>
      <c r="F8" s="227"/>
      <c r="G8" s="2042"/>
    </row>
    <row r="9" spans="1:8" s="220" customFormat="1" ht="13.5" customHeight="1">
      <c r="A9" s="887" t="s">
        <v>800</v>
      </c>
      <c r="B9" s="230" t="s">
        <v>2162</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2164</v>
      </c>
      <c r="C10" s="231">
        <f ca="1">ROUND(D10*E10,0)</f>
        <v>2395596</v>
      </c>
      <c r="D10" s="954">
        <f ca="1">IF(B1="",'数据-汇总表'!E6,IF(INDIRECT("'数据-取费表'!c"&amp;$G$1)="住宅",INDIRECT("'数据-取费表'!s"&amp;$G$1),INDIRECT("'数据-取费表'!k"&amp;$G$1)+INDIRECT("'数据-取费表'!s"&amp;$G$1)))</f>
        <v>12608.400000000001</v>
      </c>
      <c r="E10" s="231">
        <f>'数据-取费表'!B28</f>
        <v>190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2521680</v>
      </c>
      <c r="D19" s="958">
        <f ca="1">D9+D10</f>
        <v>12608.400000000001</v>
      </c>
      <c r="E19" s="217">
        <f>'数据-取费表'!B31</f>
        <v>200</v>
      </c>
      <c r="F19" s="237"/>
      <c r="G19" s="2042"/>
    </row>
    <row r="20" spans="1:7" s="220" customFormat="1" ht="13.5" customHeight="1">
      <c r="A20" s="261" t="s">
        <v>2258</v>
      </c>
      <c r="B20" s="216" t="s">
        <v>2259</v>
      </c>
      <c r="C20" s="238">
        <f ca="1">ROUND((C5+C19)*F20,0)</f>
        <v>98346</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9">
        <f ca="1">ROUND(SUM(C23:C25),0)</f>
        <v>216040</v>
      </c>
      <c r="D22" s="241">
        <f ca="1">C26</f>
        <v>4.0000000000000002E-4</v>
      </c>
      <c r="E22" s="242" t="s">
        <v>2263</v>
      </c>
      <c r="F22" s="243">
        <f ca="1">'数据-取费表'!B40</f>
        <v>4.3499999999999997E-2</v>
      </c>
      <c r="G22" s="240" t="str">
        <f>IF('数据-取费表'!B22&lt;=1,"单利计息","复利计息")</f>
        <v>单利计息</v>
      </c>
    </row>
    <row r="23" spans="1:7" s="220" customFormat="1" ht="13.5" customHeight="1">
      <c r="A23" s="888" t="s">
        <v>2156</v>
      </c>
      <c r="B23" s="221" t="s">
        <v>2267</v>
      </c>
      <c r="C23" s="1290">
        <f ca="1">ROUND(IF('数据-取费表'!B22&lt;=1,C5*F22*'数据-取费表'!B22,C5*(POWER((1+F22),'数据-取费表'!B22)-1)),0)</f>
        <v>104208</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109693</v>
      </c>
      <c r="D24" s="244"/>
      <c r="E24" s="244"/>
      <c r="F24" s="245"/>
      <c r="G24" s="246" t="s">
        <v>2270</v>
      </c>
    </row>
    <row r="25" spans="1:7" s="220" customFormat="1" ht="24">
      <c r="A25" s="888" t="s">
        <v>2160</v>
      </c>
      <c r="B25" s="221" t="s">
        <v>2271</v>
      </c>
      <c r="C25" s="1290">
        <f ca="1">ROUND(IF('数据-取费表'!B22&lt;=1,C20*F22*'数据-取费表'!B22/2,C20*(POWER((1+F22),'数据-取费表'!B22/2)-1)),0)</f>
        <v>2139</v>
      </c>
      <c r="D25" s="244"/>
      <c r="E25" s="247"/>
      <c r="F25" s="245"/>
      <c r="G25" s="248" t="s">
        <v>2272</v>
      </c>
    </row>
    <row r="26" spans="1:7" s="220" customFormat="1">
      <c r="A26" s="888" t="s">
        <v>795</v>
      </c>
      <c r="B26" s="221" t="s">
        <v>2195</v>
      </c>
      <c r="C26" s="244">
        <f ca="1">ROUND(IF('数据-取费表'!B22&lt;=1,F21*F22*'数据-取费表'!B22/2,F21*(POWER((1+F22),'数据-取费表'!B22/2)-1)),4)</f>
        <v>4.0000000000000002E-4</v>
      </c>
      <c r="D26" s="244"/>
      <c r="E26" s="247"/>
      <c r="F26" s="245"/>
      <c r="G26" s="249"/>
    </row>
    <row r="27" spans="1:7" s="220" customFormat="1" ht="24.75">
      <c r="A27" s="261" t="s">
        <v>2196</v>
      </c>
      <c r="B27" s="250" t="s">
        <v>2197</v>
      </c>
      <c r="C27" s="251">
        <f ca="1">C28</f>
        <v>752343</v>
      </c>
      <c r="D27" s="241">
        <f ca="1">C29</f>
        <v>3.0000000000000001E-3</v>
      </c>
      <c r="E27" s="242" t="s">
        <v>2198</v>
      </c>
      <c r="F27" s="252">
        <f ca="1">IF(B1="",'数据-取费表'!Q16,INDIRECT("'数据-取费表'!q"&amp;$G$1))</f>
        <v>0.15</v>
      </c>
      <c r="G27" s="253" t="s">
        <v>2199</v>
      </c>
    </row>
    <row r="28" spans="1:7" s="220" customFormat="1" ht="13.5" customHeight="1">
      <c r="A28" s="888" t="s">
        <v>791</v>
      </c>
      <c r="B28" s="254" t="s">
        <v>2200</v>
      </c>
      <c r="C28" s="255">
        <f ca="1">ROUND((C5+C19+C20)*F27,0)</f>
        <v>752343</v>
      </c>
      <c r="D28" s="241"/>
      <c r="E28" s="242"/>
      <c r="F28" s="252"/>
      <c r="G28" s="253"/>
    </row>
    <row r="29" spans="1:7" s="220" customFormat="1" ht="13.5" customHeight="1">
      <c r="A29" s="888" t="s">
        <v>792</v>
      </c>
      <c r="B29" s="254" t="s">
        <v>2201</v>
      </c>
      <c r="C29" s="244">
        <f ca="1">ROUND(C21*F27,4)</f>
        <v>3.0000000000000001E-3</v>
      </c>
      <c r="D29" s="241"/>
      <c r="E29" s="242"/>
      <c r="F29" s="252"/>
      <c r="G29" s="253"/>
    </row>
    <row r="30" spans="1:7"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7" ht="16.5" customHeight="1">
      <c r="A31" s="215">
        <v>1</v>
      </c>
      <c r="B31" s="216" t="s">
        <v>2205</v>
      </c>
      <c r="C31" s="217">
        <f ca="1">ROUND((C5+C19+C20+C22+C27)/(1-C21-D22-D27-C30),0)</f>
        <v>6474794</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35461125</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31521000</v>
      </c>
      <c r="D34" s="223"/>
      <c r="E34" s="226"/>
      <c r="F34" s="263"/>
      <c r="G34" s="225"/>
    </row>
    <row r="35" spans="1:7" ht="13.5" customHeight="1">
      <c r="A35" s="888" t="s">
        <v>796</v>
      </c>
      <c r="B35" s="221" t="s">
        <v>2211</v>
      </c>
      <c r="C35" s="226">
        <f ca="1">ROUND(C34*F35,0)</f>
        <v>945630</v>
      </c>
      <c r="D35" s="226"/>
      <c r="E35" s="226"/>
      <c r="F35" s="265">
        <f>'数据-取费表'!B33</f>
        <v>0.03</v>
      </c>
      <c r="G35" s="225" t="s">
        <v>2212</v>
      </c>
    </row>
    <row r="36" spans="1:7" ht="24">
      <c r="A36" s="888"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8" t="s">
        <v>798</v>
      </c>
      <c r="B37" s="221" t="s">
        <v>2215</v>
      </c>
      <c r="C37" s="255">
        <f ca="1">ROUND(E37*D37,0)</f>
        <v>2521680</v>
      </c>
      <c r="D37" s="223">
        <f ca="1">D19</f>
        <v>12608.400000000001</v>
      </c>
      <c r="E37" s="255">
        <f>'数据-取费表'!B35</f>
        <v>200</v>
      </c>
      <c r="F37" s="265"/>
      <c r="G37" s="267"/>
    </row>
    <row r="38" spans="1:7" ht="13.5" customHeight="1">
      <c r="A38" s="888" t="s">
        <v>799</v>
      </c>
      <c r="B38" s="221" t="s">
        <v>2217</v>
      </c>
      <c r="C38" s="226">
        <f ca="1">ROUND(C34*F38,0)</f>
        <v>472815</v>
      </c>
      <c r="D38" s="226"/>
      <c r="E38" s="226"/>
      <c r="F38" s="265">
        <f>'数据-取费表'!B36</f>
        <v>1.4999999999999999E-2</v>
      </c>
      <c r="G38" s="225" t="s">
        <v>2212</v>
      </c>
    </row>
    <row r="39" spans="1:7" s="220" customFormat="1" ht="13.5" customHeight="1">
      <c r="A39" s="261" t="s">
        <v>2218</v>
      </c>
      <c r="B39" s="216" t="s">
        <v>2219</v>
      </c>
      <c r="C39" s="238">
        <f ca="1">ROUND(C33*F20,0)</f>
        <v>709223</v>
      </c>
      <c r="D39" s="238"/>
      <c r="E39" s="238"/>
      <c r="F39" s="2535">
        <f>F20</f>
        <v>0.02</v>
      </c>
      <c r="G39" s="240" t="s">
        <v>2220</v>
      </c>
    </row>
    <row r="40" spans="1:7" s="220" customFormat="1" ht="13.5" customHeight="1">
      <c r="A40" s="261" t="s">
        <v>2221</v>
      </c>
      <c r="B40" s="216" t="s">
        <v>2222</v>
      </c>
      <c r="C40" s="1495">
        <f>F21</f>
        <v>0.02</v>
      </c>
      <c r="D40" s="242" t="s">
        <v>2223</v>
      </c>
      <c r="E40" s="238"/>
      <c r="F40" s="2535">
        <f>F21</f>
        <v>0.02</v>
      </c>
      <c r="G40" s="240" t="s">
        <v>2224</v>
      </c>
    </row>
    <row r="41" spans="1:7" s="220" customFormat="1" ht="13.5" customHeight="1">
      <c r="A41" s="261" t="s">
        <v>2225</v>
      </c>
      <c r="B41" s="216" t="s">
        <v>2226</v>
      </c>
      <c r="C41" s="238">
        <f ca="1">ROUND(SUM(C42:C43),0)</f>
        <v>786705</v>
      </c>
      <c r="D41" s="241">
        <f ca="1">C44</f>
        <v>4.0000000000000002E-4</v>
      </c>
      <c r="E41" s="242" t="s">
        <v>2223</v>
      </c>
      <c r="F41" s="2536">
        <f ca="1">F22</f>
        <v>4.3499999999999997E-2</v>
      </c>
      <c r="G41" s="240" t="str">
        <f>IF('数据-取费表'!B22&lt;=1,"单利计息","复利计息")</f>
        <v>单利计息</v>
      </c>
    </row>
    <row r="42" spans="1:7" ht="13.5" customHeight="1">
      <c r="A42" s="888" t="s">
        <v>791</v>
      </c>
      <c r="B42" s="221" t="s">
        <v>2227</v>
      </c>
      <c r="C42" s="244">
        <f ca="1">ROUND(IF('数据-取费表'!B22&lt;=1,C33*F22*'数据-取费表'!B20/2,C33*(POWER((1+F22),'数据-取费表'!B20/2)-1)),0)</f>
        <v>771279</v>
      </c>
      <c r="D42" s="244"/>
      <c r="E42" s="244"/>
      <c r="F42" s="245"/>
      <c r="G42" s="3256" t="s">
        <v>2275</v>
      </c>
    </row>
    <row r="43" spans="1:7" ht="13.5" customHeight="1">
      <c r="A43" s="888" t="s">
        <v>792</v>
      </c>
      <c r="B43" s="221" t="s">
        <v>2229</v>
      </c>
      <c r="C43" s="244">
        <f ca="1">ROUND(IF('数据-取费表'!B22&lt;=1,C39*F22*'数据-取费表'!B20/2,C39*(POWER((1+F22),'数据-取费表'!B20/2)-1)),0)</f>
        <v>15426</v>
      </c>
      <c r="D43" s="244"/>
      <c r="E43" s="244"/>
      <c r="F43" s="245"/>
      <c r="G43" s="3257"/>
    </row>
    <row r="44" spans="1:7" ht="13.5" customHeight="1">
      <c r="A44" s="888" t="s">
        <v>793</v>
      </c>
      <c r="B44" s="221" t="s">
        <v>2230</v>
      </c>
      <c r="C44" s="244">
        <f ca="1">ROUND(IF('数据-取费表'!B22&lt;=1,C40*F22*'数据-取费表'!B20/2,C40*(POWER((1+F22),'数据-取费表'!B20/2)-1)),4)</f>
        <v>4.0000000000000002E-4</v>
      </c>
      <c r="D44" s="244"/>
      <c r="E44" s="244"/>
      <c r="F44" s="245"/>
      <c r="G44" s="3258"/>
    </row>
    <row r="45" spans="1:7" s="220" customFormat="1" ht="13.5" customHeight="1">
      <c r="A45" s="261" t="s">
        <v>2231</v>
      </c>
      <c r="B45" s="250" t="s">
        <v>2197</v>
      </c>
      <c r="C45" s="251">
        <f ca="1">C46</f>
        <v>5425552</v>
      </c>
      <c r="D45" s="241">
        <f ca="1">C47</f>
        <v>3.0000000000000001E-3</v>
      </c>
      <c r="E45" s="242" t="s">
        <v>2223</v>
      </c>
      <c r="F45" s="2537">
        <f ca="1">F27</f>
        <v>0.15</v>
      </c>
      <c r="G45" s="253" t="s">
        <v>2232</v>
      </c>
    </row>
    <row r="46" spans="1:7" s="220" customFormat="1" ht="13.5" customHeight="1">
      <c r="A46" s="888" t="s">
        <v>791</v>
      </c>
      <c r="B46" s="254" t="s">
        <v>2233</v>
      </c>
      <c r="C46" s="255">
        <f ca="1">ROUND((C33+C39)*F27,0)</f>
        <v>5425552</v>
      </c>
      <c r="D46" s="269"/>
      <c r="E46" s="242"/>
      <c r="F46" s="252"/>
      <c r="G46" s="253"/>
    </row>
    <row r="47" spans="1:7" s="220" customFormat="1" ht="13.5" customHeight="1">
      <c r="A47" s="888" t="s">
        <v>792</v>
      </c>
      <c r="B47" s="254" t="s">
        <v>2234</v>
      </c>
      <c r="C47" s="244">
        <f ca="1">ROUND(C40*F27,4)</f>
        <v>3.0000000000000001E-3</v>
      </c>
      <c r="D47" s="269"/>
      <c r="E47" s="242"/>
      <c r="F47" s="252"/>
      <c r="G47" s="253"/>
    </row>
    <row r="48" spans="1:7" s="220" customFormat="1" ht="13.5" customHeight="1">
      <c r="A48" s="261" t="s">
        <v>2196</v>
      </c>
      <c r="B48" s="216" t="s">
        <v>2235</v>
      </c>
      <c r="C48" s="268">
        <f>ROUND(F30/(1+'数据-取费表'!C42),4)</f>
        <v>5.2400000000000002E-2</v>
      </c>
      <c r="D48" s="242" t="s">
        <v>2223</v>
      </c>
      <c r="E48" s="238"/>
      <c r="F48" s="2536">
        <f>F30</f>
        <v>5.5000000000000007E-2</v>
      </c>
      <c r="G48" s="240" t="s">
        <v>2236</v>
      </c>
    </row>
    <row r="49" spans="1:7" ht="16.5" customHeight="1">
      <c r="A49" s="261" t="s">
        <v>2202</v>
      </c>
      <c r="B49" s="216" t="s">
        <v>2276</v>
      </c>
      <c r="C49" s="238">
        <f ca="1">ROUND((C33+C39+C41+C45)/(1-C40-D41-D45-C48),0)</f>
        <v>45858694</v>
      </c>
      <c r="D49" s="238"/>
      <c r="E49" s="238"/>
      <c r="F49" s="270"/>
      <c r="G49" s="240" t="s">
        <v>2238</v>
      </c>
    </row>
    <row r="50" spans="1:7" s="264" customFormat="1">
      <c r="A50" s="261" t="s">
        <v>2239</v>
      </c>
      <c r="B50" s="216" t="s">
        <v>2240</v>
      </c>
      <c r="C50" s="238"/>
      <c r="D50" s="238"/>
      <c r="E50" s="238"/>
      <c r="F50" s="270">
        <f>IF('数据-取费表'!B24=0,'数据-取费表'!N16,1)</f>
        <v>0.8</v>
      </c>
      <c r="G50" s="253"/>
    </row>
    <row r="51" spans="1:7" ht="16.5" customHeight="1">
      <c r="A51" s="261" t="s">
        <v>2242</v>
      </c>
      <c r="B51" s="216" t="s">
        <v>2277</v>
      </c>
      <c r="C51" s="238">
        <f ca="1">ROUND(C49*F50,0)</f>
        <v>36686955</v>
      </c>
      <c r="D51" s="238"/>
      <c r="E51" s="238"/>
      <c r="F51" s="270"/>
      <c r="G51" s="240" t="s">
        <v>2244</v>
      </c>
    </row>
    <row r="52" spans="1:7" s="214" customFormat="1" ht="16.5" thickBot="1">
      <c r="A52" s="271" t="s">
        <v>2245</v>
      </c>
      <c r="B52" s="272"/>
      <c r="C52" s="273">
        <f ca="1">C31+C51</f>
        <v>43161749</v>
      </c>
      <c r="D52" s="272"/>
      <c r="E52" s="272"/>
      <c r="F52" s="272"/>
      <c r="G52" s="274"/>
    </row>
    <row r="55" spans="1:7" ht="15">
      <c r="B55" s="276" t="s">
        <v>2246</v>
      </c>
      <c r="C55" s="277"/>
    </row>
    <row r="56" spans="1:7">
      <c r="B56" s="279" t="s">
        <v>1477</v>
      </c>
      <c r="C56" s="281">
        <f ca="1">1-C57</f>
        <v>0.15000000000000002</v>
      </c>
    </row>
    <row r="57" spans="1:7">
      <c r="B57" s="279" t="s">
        <v>1478</v>
      </c>
      <c r="C57" s="280">
        <f ca="1">ROUND(C51/C52,3)</f>
        <v>0.85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5"/>
      <c r="F1" s="3035"/>
      <c r="G1" s="2898"/>
      <c r="H1" s="3035"/>
      <c r="I1" s="3035"/>
      <c r="J1" s="3035"/>
      <c r="K1" s="3036">
        <f>MATCH(C1,'数据-取费表'!A6:A16,0)+5</f>
        <v>7</v>
      </c>
    </row>
    <row r="2" spans="1:33" ht="18" customHeight="1">
      <c r="A2" s="207" t="s">
        <v>2146</v>
      </c>
      <c r="B2" s="210">
        <f ca="1">C32</f>
        <v>0</v>
      </c>
      <c r="C2" s="282" t="s">
        <v>2279</v>
      </c>
      <c r="D2" s="282"/>
      <c r="E2" s="3035"/>
      <c r="F2" s="3035"/>
      <c r="G2" s="3035"/>
      <c r="H2" s="3035"/>
      <c r="I2" s="3035"/>
      <c r="J2" s="3035"/>
      <c r="K2" s="3035"/>
    </row>
    <row r="3" spans="1:33" ht="18" customHeight="1" thickBot="1">
      <c r="A3" s="209" t="s">
        <v>2148</v>
      </c>
      <c r="B3" s="210">
        <f ca="1">ROUND(B2*10000/IF(C1="",'数据-汇总表'!E3,INDIRECT("'数据-取费表'!K"&amp;$K$1)),0)</f>
        <v>0</v>
      </c>
      <c r="C3" s="282" t="s">
        <v>2280</v>
      </c>
      <c r="D3" s="282"/>
      <c r="E3" s="3035"/>
      <c r="F3" s="3035"/>
      <c r="G3" s="3035"/>
      <c r="H3" s="3035"/>
      <c r="I3" s="3035"/>
      <c r="J3" s="3035"/>
      <c r="K3" s="3035"/>
    </row>
    <row r="4" spans="1:33" s="893" customFormat="1" ht="16.5" customHeight="1">
      <c r="A4" s="890" t="s">
        <v>2281</v>
      </c>
      <c r="B4" s="891"/>
      <c r="C4" s="933">
        <f>SUM(C8:K8)</f>
        <v>0</v>
      </c>
      <c r="D4" s="891"/>
      <c r="E4" s="891"/>
      <c r="F4" s="891"/>
      <c r="G4" s="891"/>
      <c r="H4" s="891"/>
      <c r="I4" s="891"/>
      <c r="J4" s="891"/>
      <c r="K4" s="892"/>
    </row>
    <row r="5" spans="1:33" s="897" customFormat="1" ht="24.75">
      <c r="A5" s="894" t="s">
        <v>2282</v>
      </c>
      <c r="B5" s="895" t="s">
        <v>2283</v>
      </c>
      <c r="C5" s="2046" t="s">
        <v>2284</v>
      </c>
      <c r="D5" s="2046" t="s">
        <v>2285</v>
      </c>
      <c r="E5" s="2046" t="s">
        <v>2286</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12608.400000000001</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12608.400000000001</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c r="H18" s="1349"/>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240</v>
      </c>
      <c r="D20" s="955">
        <f ca="1">IF(C1="",'数据-汇总表'!E6,IF(INDIRECT("'数据-取费表'!c"&amp;$K$1)="住宅",INDIRECT("'数据-取费表'!s"&amp;$K$1),INDIRECT("'数据-取费表'!k"&amp;$K$1)+INDIRECT("'数据-取费表'!s"&amp;$K$1)))</f>
        <v>12608.400000000001</v>
      </c>
      <c r="E20" s="24">
        <f>'数据-取费表'!B28</f>
        <v>190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2328</v>
      </c>
      <c r="B28" s="2051" t="s">
        <v>2329</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2" t="s">
        <v>2333</v>
      </c>
      <c r="B31" s="942" t="s">
        <v>2334</v>
      </c>
      <c r="C31" s="943">
        <f>ROUND(C4*F31/(1+'数据-取费表'!C42),0)</f>
        <v>0</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I24" sqref="I2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12608.400000000001</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C26</f>
        <v>20126</v>
      </c>
      <c r="C2" s="2185" t="s">
        <v>2632</v>
      </c>
      <c r="D2" s="2186" t="s">
        <v>2633</v>
      </c>
      <c r="E2" s="2187" t="s">
        <v>27</v>
      </c>
      <c r="F2" s="2186" t="s">
        <v>2634</v>
      </c>
      <c r="G2" s="2188" t="str">
        <f>IF(E2="商业",项目基本情况!B37,IF(E2="办公",项目基本情况!C37,IF(E2="住宅",项目基本情况!D37,项目基本情况!E37)))</f>
        <v>七级</v>
      </c>
      <c r="H2" s="2186" t="s">
        <v>2635</v>
      </c>
      <c r="I2" s="2188" t="str">
        <f>IF(E2="商业",项目基本情况!B38,IF(E2="办公",项目基本情况!C38,IF(E2="住宅",项目基本情况!D38,项目基本情况!E38)))</f>
        <v>Ⅶ-房1</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2.9569999999999999</v>
      </c>
      <c r="T2" s="1374">
        <f>ROUND($C$5*$C$18*$C$19*$C$20*S2*$C$24,0)</f>
        <v>23138</v>
      </c>
      <c r="U2" s="1375"/>
      <c r="V2" s="1374">
        <f>ROUND(T2*U2/10000,0)</f>
        <v>0</v>
      </c>
      <c r="W2" s="1378"/>
      <c r="X2" s="1378"/>
      <c r="Y2" s="1378"/>
      <c r="Z2" s="1378"/>
      <c r="AA2" s="1378"/>
      <c r="AB2" s="1378"/>
      <c r="AC2" s="1379"/>
      <c r="AD2" s="1380"/>
      <c r="AE2" s="1380"/>
      <c r="AF2" s="1380"/>
      <c r="AG2" s="1380"/>
      <c r="AH2" s="1380"/>
      <c r="AI2" s="1380"/>
      <c r="AJ2" s="1381"/>
    </row>
    <row r="3" spans="1:36" ht="25.5">
      <c r="A3" s="209" t="s">
        <v>2637</v>
      </c>
      <c r="B3" s="210">
        <f>ROUND(B2*10000/D1,0)</f>
        <v>15962</v>
      </c>
      <c r="C3" s="2185" t="s">
        <v>2638</v>
      </c>
      <c r="D3" s="2186" t="s">
        <v>2639</v>
      </c>
      <c r="E3" s="2191" t="s">
        <v>3095</v>
      </c>
      <c r="F3" s="2192" t="s">
        <v>2640</v>
      </c>
      <c r="G3" s="855">
        <f>IF(F3="宗地容积率",'数据-汇总表'!I4,IF(F3="估价对象容积率",'数据-汇总表'!I6,'数据-汇总表'!I7))</f>
        <v>0.63</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2.1225000000000001</v>
      </c>
      <c r="T3" s="1374">
        <f t="shared" ref="T3:T16" si="0">ROUND($C$5*$C$18*$C$19*$C$20*S3*$C$24,0)</f>
        <v>16608</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62"/>
      <c r="B4" s="3263"/>
      <c r="C4" s="3263"/>
      <c r="D4" s="3264"/>
      <c r="E4" s="3264"/>
      <c r="F4" s="3264"/>
      <c r="G4" s="3264"/>
      <c r="H4" s="3264"/>
      <c r="I4" s="3264"/>
      <c r="J4" s="3265"/>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1.7123999999999999</v>
      </c>
      <c r="T4" s="1374">
        <f t="shared" si="0"/>
        <v>13399</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7134</v>
      </c>
      <c r="D5" s="1523">
        <f>ROUND(C6+C16,0)</f>
        <v>7134</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1.3740000000000001</v>
      </c>
      <c r="T5" s="1374">
        <f t="shared" si="0"/>
        <v>10751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7170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1.17</v>
      </c>
      <c r="T6" s="1374">
        <f t="shared" si="0"/>
        <v>9155</v>
      </c>
      <c r="U6" s="1375"/>
      <c r="V6" s="1374">
        <f t="shared" si="1"/>
        <v>0</v>
      </c>
      <c r="W6" s="1378"/>
      <c r="X6" s="1378"/>
      <c r="Y6" s="1378"/>
      <c r="Z6" s="1378"/>
      <c r="AA6" s="1378"/>
      <c r="AB6" s="1378"/>
      <c r="AC6" s="2199"/>
      <c r="AD6" s="2200"/>
      <c r="AE6" s="2200"/>
      <c r="AF6" s="2200"/>
      <c r="AG6" s="2200"/>
      <c r="AH6" s="2200"/>
      <c r="AI6" s="2200"/>
      <c r="AJ6" s="2201"/>
    </row>
    <row r="7" spans="1:36" ht="24">
      <c r="A7" s="3266" t="str">
        <f>IF(E2="商业",IF(C8="不临58条商业街","",2),"")</f>
        <v/>
      </c>
      <c r="B7" s="2209" t="s">
        <v>2651</v>
      </c>
      <c r="C7" s="858">
        <f>IF(C8="不临58条商业街",1,ROUND(1+(1.6*E8+1.2*E9+0.8*E10+0.4*E11)*C9,4))</f>
        <v>1</v>
      </c>
      <c r="D7" s="2210" t="s">
        <v>2652</v>
      </c>
      <c r="E7" s="882"/>
      <c r="F7" s="2211"/>
      <c r="G7" s="2212"/>
      <c r="H7" s="2212"/>
      <c r="I7" s="2212"/>
      <c r="J7" s="2213"/>
      <c r="K7" s="1568"/>
      <c r="L7" s="2190" t="s">
        <v>2653</v>
      </c>
      <c r="M7" s="995">
        <f>SUMPRODUCT((区片价!B158:B205=I2)*(区片价!C3:F3=E2)*(区片价!C158:F205))</f>
        <v>7170</v>
      </c>
      <c r="N7" s="997">
        <f>SUMPRODUCT((因素修正幅度!B158:B205=I2)*(因素修正幅度!C3:F3=E2)*(因素修正幅度!C158:F205))</f>
        <v>0.13</v>
      </c>
      <c r="O7" s="1280"/>
      <c r="P7" s="1280"/>
      <c r="Q7" s="1280"/>
      <c r="R7" s="1374">
        <v>6</v>
      </c>
      <c r="S7" s="1374">
        <f>ROUND(IF(G3&gt;1,IF(R7&lt;7,SUMPRODUCT((B93:B98=R7)*(C92:N92=G2)*(C93:N98)),SUMIF(C92:N92,G2,C100:N100)),IF(R7&lt;7,SUMPRODUCT((B102:B107=R7)*(C92:N92=G2)*(C102:N107)),SUMIF(C92:N92,G2,C109:N109))),4)</f>
        <v>1.0288999999999999</v>
      </c>
      <c r="T7" s="1374">
        <f t="shared" si="0"/>
        <v>8051</v>
      </c>
      <c r="U7" s="1375"/>
      <c r="V7" s="1374">
        <f t="shared" si="1"/>
        <v>0</v>
      </c>
      <c r="W7" s="1542" t="s">
        <v>2654</v>
      </c>
      <c r="X7" s="1376" t="str">
        <f>G2</f>
        <v>七级</v>
      </c>
      <c r="Y7" s="1376" t="s">
        <v>2655</v>
      </c>
      <c r="Z7" s="1377">
        <f>G3</f>
        <v>0.63</v>
      </c>
      <c r="AA7" s="1378"/>
      <c r="AB7" s="1378"/>
      <c r="AC7" s="1379"/>
      <c r="AD7" s="1380"/>
      <c r="AE7" s="1380"/>
      <c r="AF7" s="1380"/>
      <c r="AG7" s="1380"/>
      <c r="AH7" s="1380"/>
      <c r="AI7" s="1380"/>
      <c r="AJ7" s="1381"/>
    </row>
    <row r="8" spans="1:36" ht="25.5">
      <c r="A8" s="3267"/>
      <c r="B8" s="175" t="s">
        <v>2656</v>
      </c>
      <c r="C8" s="2214" t="s">
        <v>3096</v>
      </c>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59" t="s">
        <v>2659</v>
      </c>
      <c r="X8" s="3260"/>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267"/>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61"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7"/>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6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7"/>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61" t="s">
        <v>2683</v>
      </c>
      <c r="X11" s="1386" t="s">
        <v>2684</v>
      </c>
      <c r="Y11" s="1387">
        <f>$G$3</f>
        <v>0.63</v>
      </c>
      <c r="Z11" s="1387">
        <f t="shared" ref="Z11:AJ11" si="3">$G$3</f>
        <v>0.63</v>
      </c>
      <c r="AA11" s="1387">
        <f t="shared" si="3"/>
        <v>0.63</v>
      </c>
      <c r="AB11" s="1387">
        <f t="shared" si="3"/>
        <v>0.63</v>
      </c>
      <c r="AC11" s="1387">
        <f t="shared" si="3"/>
        <v>0.63</v>
      </c>
      <c r="AD11" s="1387">
        <f t="shared" si="3"/>
        <v>0.63</v>
      </c>
      <c r="AE11" s="1387">
        <f t="shared" si="3"/>
        <v>0.63</v>
      </c>
      <c r="AF11" s="1387">
        <f t="shared" si="3"/>
        <v>0.63</v>
      </c>
      <c r="AG11" s="1387">
        <f t="shared" si="3"/>
        <v>0.63</v>
      </c>
      <c r="AH11" s="1387">
        <f t="shared" si="3"/>
        <v>0.63</v>
      </c>
      <c r="AI11" s="1387">
        <f t="shared" si="3"/>
        <v>0.63</v>
      </c>
      <c r="AJ11" s="1387">
        <f t="shared" si="3"/>
        <v>0.63</v>
      </c>
    </row>
    <row r="12" spans="1:36" ht="25.5" thickBot="1">
      <c r="A12" s="3266"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61"/>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68"/>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261"/>
      <c r="X13" s="1388"/>
      <c r="Y13" s="1385">
        <f>(-0.163*(Y12^2)-0.59*Y12+7617)*(10^(-4))/Y11</f>
        <v>1.2090476190476191</v>
      </c>
      <c r="Z13" s="1385">
        <f t="shared" ref="Z13:AJ13" si="5">(-0.163*(Z12^2)-0.59*Z12+7617)*(10^(-4))/Z11</f>
        <v>1.2090476190476191</v>
      </c>
      <c r="AA13" s="1385">
        <f t="shared" si="5"/>
        <v>1.2090476190476191</v>
      </c>
      <c r="AB13" s="1385">
        <f t="shared" si="5"/>
        <v>1.2090476190476191</v>
      </c>
      <c r="AC13" s="1385">
        <f t="shared" si="5"/>
        <v>1.2090476190476191</v>
      </c>
      <c r="AD13" s="1385">
        <f t="shared" si="5"/>
        <v>1.2090476190476191</v>
      </c>
      <c r="AE13" s="1385">
        <f t="shared" si="5"/>
        <v>1.2090476190476191</v>
      </c>
      <c r="AF13" s="1385">
        <f t="shared" si="5"/>
        <v>1.2090476190476191</v>
      </c>
      <c r="AG13" s="1385">
        <f t="shared" si="5"/>
        <v>1.2090476190476191</v>
      </c>
      <c r="AH13" s="1385">
        <f t="shared" si="5"/>
        <v>1.2090476190476191</v>
      </c>
      <c r="AI13" s="1385">
        <f t="shared" si="5"/>
        <v>1.2090476190476191</v>
      </c>
      <c r="AJ13" s="1385">
        <f t="shared" si="5"/>
        <v>1.2090476190476191</v>
      </c>
    </row>
    <row r="14" spans="1:36" ht="15">
      <c r="A14" s="3268"/>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269"/>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266" t="s">
        <v>2702</v>
      </c>
      <c r="B16" s="2209" t="s">
        <v>2703</v>
      </c>
      <c r="C16" s="2371">
        <f>ROUND(IF(F17="与级别开发程度一致",0,(G17-E17)/C17),0)</f>
        <v>-36</v>
      </c>
      <c r="D16" s="3282" t="s">
        <v>2707</v>
      </c>
      <c r="E16" s="3283"/>
      <c r="F16" s="3282" t="s">
        <v>2704</v>
      </c>
      <c r="G16" s="3283"/>
      <c r="H16" s="2241" t="s">
        <v>3097</v>
      </c>
      <c r="I16" s="2241" t="s">
        <v>3098</v>
      </c>
      <c r="J16" s="2375" t="s">
        <v>3099</v>
      </c>
      <c r="K16" s="2241" t="s">
        <v>3100</v>
      </c>
      <c r="L16" s="2241" t="s">
        <v>3101</v>
      </c>
      <c r="M16" s="2241" t="s">
        <v>3102</v>
      </c>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270"/>
      <c r="B17" s="2382" t="s">
        <v>2706</v>
      </c>
      <c r="C17" s="2383">
        <f>SUMPRODUCT((修正!A2:A5=E2)*(修正!B1:M1=G2)*(修正!B2:M5))</f>
        <v>2.5</v>
      </c>
      <c r="D17" s="193" t="str">
        <f>IF(OR(G2="八级",G2="九级",G2="十级",G2="十一级",G2="十二级"),"五通一平","七通一平")</f>
        <v>七通一平</v>
      </c>
      <c r="E17" s="2372">
        <f>SUMPRODUCT((修正!B1:M1=G2)*(修正!B15:M15))</f>
        <v>300</v>
      </c>
      <c r="F17" s="2373" t="s">
        <v>3103</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2710</v>
      </c>
      <c r="C19" s="863">
        <f>ROUND(IF(H19="按公示增长率计算",SUMPRODUCT((地价!A3:A35=YEAR(G19)&amp;"-"&amp;ROUNDUP(MONTH(G19)/3,0))*(地价!X2:AB2=E2)*(地价!X3:AB35)),IF(H19="地价指数",M20/M19,(1+I19)^O19)),4)</f>
        <v>1.3588</v>
      </c>
      <c r="D19" s="2251" t="s">
        <v>2711</v>
      </c>
      <c r="E19" s="864">
        <v>41640</v>
      </c>
      <c r="F19" s="2251" t="s">
        <v>2712</v>
      </c>
      <c r="G19" s="865">
        <f>'数据-取费表'!B2</f>
        <v>44434</v>
      </c>
      <c r="H19" s="2252" t="s">
        <v>3104</v>
      </c>
      <c r="I19" s="866" t="str">
        <f>IF(H19="季度增幅（自定义）",SUMIF(N21:N24,E2,O21:O24),"")</f>
        <v/>
      </c>
      <c r="J19" s="2249"/>
      <c r="K19" s="1287"/>
      <c r="L19" s="2253" t="s">
        <v>2713</v>
      </c>
      <c r="M19" s="1496">
        <f>ROUND(SUMIF(地价!B2:F2,E2,地价!B35:F35),0)</f>
        <v>258</v>
      </c>
      <c r="N19" s="2254" t="s">
        <v>2714</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2715</v>
      </c>
      <c r="C20" s="868">
        <f>ROUND(POWER(1+G20,J20-I20)*(POWER(1+G20,I20)-1)/(POWER(1+G20,J20)-1),4)</f>
        <v>0.77310000000000001</v>
      </c>
      <c r="D20" s="2258" t="s">
        <v>2716</v>
      </c>
      <c r="E20" s="1505">
        <f>存贷款利率!E18/100</f>
        <v>4.3499999999999997E-2</v>
      </c>
      <c r="F20" s="2258" t="s">
        <v>2708</v>
      </c>
      <c r="G20" s="873">
        <f>SUMIF(M26:P26,E2,M28:P28)</f>
        <v>5.1999999999999998E-2</v>
      </c>
      <c r="H20" s="2258" t="s">
        <v>2717</v>
      </c>
      <c r="I20" s="874">
        <f>SUMIF('数据-取费表'!C6:C15,E2,'数据-取费表'!F6:F15)/COUNTIF('数据-取费表'!C6:C15,E2)</f>
        <v>24.54</v>
      </c>
      <c r="J20" s="875">
        <f>IF(E2="住宅",70,IF(E2="商业",40,50))</f>
        <v>50</v>
      </c>
      <c r="K20" s="1287"/>
      <c r="L20" s="2259" t="s">
        <v>2718</v>
      </c>
      <c r="M20" s="1497">
        <f>ROUND(SUMPRODUCT((地价!A4:A35=YEAR(G19)&amp;"-"&amp;ROUNDUP(MONTH(G19)/3,0))*(地价!B2:F2=E2)*(地价!B4:F35)),0)</f>
        <v>350</v>
      </c>
      <c r="N20" s="2260" t="s">
        <v>2719</v>
      </c>
      <c r="O20" s="2261" t="s">
        <v>2720</v>
      </c>
      <c r="P20" s="2262"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3105</v>
      </c>
      <c r="C21" s="876">
        <f>IF(B21="容积率修正",IF(G3&lt;=10,D22,J22),C23)</f>
        <v>2.0398999999999998</v>
      </c>
      <c r="D21" s="2265"/>
      <c r="E21" s="2265"/>
      <c r="F21" s="2265"/>
      <c r="G21" s="2265"/>
      <c r="H21" s="2265"/>
      <c r="I21" s="2265"/>
      <c r="J21" s="2266"/>
      <c r="K21" s="1287"/>
      <c r="L21" s="3017"/>
      <c r="M21" s="3017"/>
      <c r="N21" s="2267" t="s">
        <v>2722</v>
      </c>
      <c r="O21" s="1335"/>
      <c r="P21" s="1336">
        <f>SUMPRODUCT((地价!A3:A35=YEAR(G19)&amp;"-"&amp;ROUNDUP(MONTH(G19)/3,0))*(地价!AD2:AH2=N21)*(地价!AD3:AH35))</f>
        <v>1.0699999999999999E-2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2723</v>
      </c>
      <c r="B22" s="2268" t="s">
        <v>2724</v>
      </c>
      <c r="C22" s="1536" t="s">
        <v>2725</v>
      </c>
      <c r="D22" s="1536">
        <f>IF(E22=G22,F22,IF(G3&lt;=10,ROUND(F22+(H22-F22)*(G3-E22)/(G22-E22),4),"——"))</f>
        <v>2.0398999999999998</v>
      </c>
      <c r="E22" s="855">
        <f>ROUNDDOWN(G3,1)</f>
        <v>0.6</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855">
        <f>ROUNDUP(G3,1)</f>
        <v>0.7</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536" t="s">
        <v>155</v>
      </c>
      <c r="J22" s="877" t="str">
        <f>IF(G3&gt;10,D113,"——")</f>
        <v>——</v>
      </c>
      <c r="K22" s="1287"/>
      <c r="L22" s="3017"/>
      <c r="M22" s="3017"/>
      <c r="N22" s="2267" t="s">
        <v>2726</v>
      </c>
      <c r="O22" s="1335">
        <v>5.0000000000000001E-3</v>
      </c>
      <c r="P22" s="1336">
        <f>SUMPRODUCT((地价!A3:A35=YEAR(G19)&amp;"-"&amp;ROUNDUP(MONTH(G19)/3,0))*(地价!AD2:AH2=N22)*(地价!AD3:AH35))</f>
        <v>1.0699999999999999E-2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1.0441</v>
      </c>
      <c r="D24" s="2248"/>
      <c r="E24" s="2275"/>
      <c r="F24" s="2275"/>
      <c r="G24" s="2275"/>
      <c r="H24" s="2275"/>
      <c r="I24" s="2275"/>
      <c r="J24" s="2276"/>
      <c r="K24" s="1287"/>
      <c r="L24" s="3017"/>
      <c r="M24" s="3017"/>
      <c r="N24" s="2277" t="s">
        <v>2731</v>
      </c>
      <c r="O24" s="1337"/>
      <c r="P24" s="1338">
        <f>SUMPRODUCT((地价!A3:A35=YEAR(G19)&amp;"-"&amp;ROUNDUP(MONTH(G19)/3,0))*(地价!AD2:AH2=N24)*(地价!AD3:AH35))</f>
        <v>1.24E-2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2732</v>
      </c>
      <c r="C25" s="869"/>
      <c r="D25" s="2212"/>
      <c r="E25" s="2212"/>
      <c r="F25" s="2279"/>
      <c r="G25" s="2212"/>
      <c r="H25" s="2212"/>
      <c r="I25" s="2212"/>
      <c r="J25" s="2213"/>
      <c r="K25" s="1280"/>
      <c r="L25" s="2183"/>
      <c r="M25" s="2183"/>
      <c r="N25" s="3012" t="s">
        <v>2733</v>
      </c>
      <c r="O25" s="3013"/>
      <c r="P25" s="3014">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20126</v>
      </c>
      <c r="D26" s="2281"/>
      <c r="E26" s="2237"/>
      <c r="F26" s="2282"/>
      <c r="G26" s="2237"/>
      <c r="H26" s="2237"/>
      <c r="I26" s="2237"/>
      <c r="J26" s="2283"/>
      <c r="K26" s="1280"/>
      <c r="L26" s="3015" t="s">
        <v>2633</v>
      </c>
      <c r="M26" s="2210" t="s">
        <v>2698</v>
      </c>
      <c r="N26" s="2210" t="s">
        <v>2699</v>
      </c>
      <c r="O26" s="2210" t="s">
        <v>2700</v>
      </c>
      <c r="P26" s="301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15962</v>
      </c>
      <c r="D29" s="2296">
        <f>'数据-汇总表'!F19</f>
        <v>12608.400000000001</v>
      </c>
      <c r="E29" s="879">
        <f>ROUND(C29*D29/10000,0)</f>
        <v>20126</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3991</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79"/>
      <c r="B33" s="2312" t="s">
        <v>2748</v>
      </c>
      <c r="C33" s="180">
        <f>ROUND(D5*C19*C20*C24*F33,0)</f>
        <v>5477</v>
      </c>
      <c r="D33" s="2296"/>
      <c r="E33" s="176">
        <f>ROUND(C33*D33/10000,0)</f>
        <v>0</v>
      </c>
      <c r="F33" s="176">
        <f>SUMIF(修正!A45:A56,G2,修正!B45:B56)</f>
        <v>0.7</v>
      </c>
      <c r="G33" s="176">
        <f t="shared" ref="G33" si="6">ROUND(IF(E2="工业",C33*$M$39,C33*$M$38),0)</f>
        <v>1369</v>
      </c>
      <c r="H33" s="176">
        <f>D33</f>
        <v>0</v>
      </c>
      <c r="I33" s="176">
        <f>ROUND(G33*H33/10000,0)</f>
        <v>0</v>
      </c>
      <c r="J33" s="3284"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80"/>
      <c r="B34" s="2229" t="s">
        <v>2749</v>
      </c>
      <c r="C34" s="180">
        <f>ROUND(D5*C19*C20*C24*F34,0)</f>
        <v>3130</v>
      </c>
      <c r="D34" s="2296"/>
      <c r="E34" s="176">
        <f t="shared" ref="E34:E39" si="7">ROUND(C34*D34/10000,0)</f>
        <v>0</v>
      </c>
      <c r="F34" s="176">
        <f>SUMIF(修正!A45:A56,G2,修正!C45:C56)</f>
        <v>0.4</v>
      </c>
      <c r="G34" s="176">
        <f>ROUND(IF(E2="工业",C34*$M$39,C34*$M$38),0)</f>
        <v>783</v>
      </c>
      <c r="H34" s="176">
        <f t="shared" ref="H34:H39" si="8">D34</f>
        <v>0</v>
      </c>
      <c r="I34" s="176">
        <f t="shared" ref="I34:I39" si="9">ROUND(G34*H34/10000,0)</f>
        <v>0</v>
      </c>
      <c r="J34" s="328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80"/>
      <c r="B35" s="2229" t="s">
        <v>2750</v>
      </c>
      <c r="C35" s="180">
        <f>ROUND(D5*C19*C20*C24*F35,0)</f>
        <v>2191</v>
      </c>
      <c r="D35" s="2296"/>
      <c r="E35" s="176">
        <f t="shared" si="7"/>
        <v>0</v>
      </c>
      <c r="F35" s="176">
        <f>SUMIF(修正!A45:A56,G2,修正!D45:D56)</f>
        <v>0.28000000000000003</v>
      </c>
      <c r="G35" s="176">
        <f>ROUND(IF(E2="工业",C35*$M$39,C35*$M$38),0)</f>
        <v>548</v>
      </c>
      <c r="H35" s="176">
        <f t="shared" si="8"/>
        <v>0</v>
      </c>
      <c r="I35" s="176">
        <f t="shared" si="9"/>
        <v>0</v>
      </c>
      <c r="J35" s="328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81"/>
      <c r="B36" s="2229" t="s">
        <v>2751</v>
      </c>
      <c r="C36" s="180">
        <f>ROUND(D5*C19*C20*C24*F36,0)</f>
        <v>1956</v>
      </c>
      <c r="D36" s="2296"/>
      <c r="E36" s="176">
        <f t="shared" si="7"/>
        <v>0</v>
      </c>
      <c r="F36" s="176">
        <f>SUMIF(修正!A45:A56,G2,修正!E45:E56)</f>
        <v>0.25</v>
      </c>
      <c r="G36" s="176">
        <f>ROUND(IF(E2="工业",C36*$M$39,C36*$M$38),0)</f>
        <v>489</v>
      </c>
      <c r="H36" s="176">
        <f t="shared" si="8"/>
        <v>0</v>
      </c>
      <c r="I36" s="176">
        <f t="shared" si="9"/>
        <v>0</v>
      </c>
      <c r="J36" s="3281"/>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1956</v>
      </c>
      <c r="D37" s="2296"/>
      <c r="E37" s="176">
        <f t="shared" si="7"/>
        <v>0</v>
      </c>
      <c r="F37" s="180">
        <f>SUMIF(修正!A45:A56,G2,修正!F45:F56)</f>
        <v>0.25</v>
      </c>
      <c r="G37" s="176">
        <f>ROUND(IF(E2="工业",C37*$M$39,C37*$M$38),0)</f>
        <v>489</v>
      </c>
      <c r="H37" s="176">
        <f t="shared" si="8"/>
        <v>0</v>
      </c>
      <c r="I37" s="176">
        <f t="shared" si="9"/>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2861</v>
      </c>
      <c r="C41" s="348">
        <f>ROUND(POWER(1+E41,H41-G41)*(POWER(1+E41,G41)-1)/(POWER(1+E41,H41)-1),4)</f>
        <v>0</v>
      </c>
      <c r="D41" s="176" t="s">
        <v>2708</v>
      </c>
      <c r="E41" s="2369">
        <f>G20</f>
        <v>5.1999999999999998E-2</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2759</v>
      </c>
      <c r="B47" s="1535" t="s">
        <v>2760</v>
      </c>
      <c r="C47" s="1535" t="s">
        <v>2761</v>
      </c>
      <c r="D47" s="1535" t="s">
        <v>2762</v>
      </c>
      <c r="E47" s="758" t="s">
        <v>2763</v>
      </c>
      <c r="F47" s="2330" t="s">
        <v>2764</v>
      </c>
      <c r="G47" s="1535" t="s">
        <v>754</v>
      </c>
      <c r="H47" s="2331" t="s">
        <v>2765</v>
      </c>
      <c r="I47" s="1535"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29" t="s">
        <v>2767</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2768</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2769</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2770</v>
      </c>
      <c r="B51" s="2334" t="s">
        <v>2771</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2772</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2773</v>
      </c>
      <c r="B53" s="2335" t="s">
        <v>2774</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2775</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2776</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2777</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2778</v>
      </c>
      <c r="B57" s="2326">
        <f>1+E59</f>
        <v>1.0441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c r="A59" s="2329" t="s">
        <v>2780</v>
      </c>
      <c r="B59" s="2332" t="str">
        <f>估价对象房地状况!C17</f>
        <v>估价对象位于XX商圈，周边办公楼项目较多，入驻率高，办公集聚程度较好</v>
      </c>
      <c r="C59" s="2234" t="s">
        <v>3106</v>
      </c>
      <c r="D59" s="1196">
        <f t="shared" ref="D59:D67" si="15">SUMIF($J$58:$N$58,C59,J59:N59)</f>
        <v>0</v>
      </c>
      <c r="E59" s="760">
        <f>ROUND(SUM(D59:D67),4)</f>
        <v>4.41E-2</v>
      </c>
      <c r="F59" s="2000">
        <f>IF(E2="办公",SUMIF(L1:L12,G2,N1:N12),"——")</f>
        <v>0.13</v>
      </c>
      <c r="G59" s="1194">
        <f>H59</f>
        <v>1.5599999999999999E-2</v>
      </c>
      <c r="H59" s="1198">
        <f t="shared" ref="H59:H67" si="16">IFERROR(ROUNDDOWN($F$59*I59/2,4),"——")</f>
        <v>1.5599999999999999E-2</v>
      </c>
      <c r="I59" s="759">
        <v>0.24</v>
      </c>
      <c r="J59" s="1195">
        <f t="shared" ref="J59:J67" si="17">K59+$G59</f>
        <v>3.1199999999999999E-2</v>
      </c>
      <c r="K59" s="1195">
        <f t="shared" ref="K59:K67" si="18">$L59+$G59</f>
        <v>1.5599999999999999E-2</v>
      </c>
      <c r="L59" s="1195">
        <v>0</v>
      </c>
      <c r="M59" s="1195">
        <f t="shared" ref="M59:N67" si="19">L59-$G59</f>
        <v>-1.5599999999999999E-2</v>
      </c>
      <c r="N59" s="1195">
        <f t="shared" si="19"/>
        <v>-3.1199999999999999E-2</v>
      </c>
      <c r="AA59" s="1281"/>
      <c r="AB59" s="1281"/>
      <c r="AC59" s="1281"/>
      <c r="AD59" s="1281"/>
      <c r="AE59" s="1281"/>
      <c r="AF59" s="1281"/>
      <c r="AG59" s="1281"/>
      <c r="AH59" s="1281"/>
      <c r="AI59" s="1281"/>
      <c r="AJ59" s="1281"/>
      <c r="AK59" s="1281"/>
    </row>
    <row r="60" spans="1:37" s="1280" customFormat="1" ht="51">
      <c r="A60" s="2329" t="s">
        <v>2768</v>
      </c>
      <c r="B60" s="2333" t="str">
        <f>估价对象房地状况!C18</f>
        <v>估价对象周边道路状况、公共交通通达情况、停车便捷程度，综合评价交通便捷度较好</v>
      </c>
      <c r="C60" s="2234" t="s">
        <v>3107</v>
      </c>
      <c r="D60" s="1196">
        <f t="shared" si="15"/>
        <v>1.95E-2</v>
      </c>
      <c r="E60" s="761"/>
      <c r="F60" s="2000"/>
      <c r="G60" s="1194">
        <f t="shared" ref="G60:G67" si="20">H60</f>
        <v>1.95E-2</v>
      </c>
      <c r="H60" s="1198">
        <f t="shared" si="16"/>
        <v>1.95E-2</v>
      </c>
      <c r="I60" s="759">
        <v>0.3</v>
      </c>
      <c r="J60" s="1195">
        <f t="shared" si="17"/>
        <v>3.9E-2</v>
      </c>
      <c r="K60" s="1195">
        <f t="shared" si="18"/>
        <v>1.95E-2</v>
      </c>
      <c r="L60" s="1195">
        <v>0</v>
      </c>
      <c r="M60" s="1195">
        <f t="shared" si="19"/>
        <v>-1.95E-2</v>
      </c>
      <c r="N60" s="1195">
        <f t="shared" si="19"/>
        <v>-3.9E-2</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t="s">
        <v>3106</v>
      </c>
      <c r="D61" s="1196">
        <f t="shared" si="15"/>
        <v>0</v>
      </c>
      <c r="E61" s="761"/>
      <c r="F61" s="2000"/>
      <c r="G61" s="1194">
        <f t="shared" si="20"/>
        <v>5.1999999999999998E-3</v>
      </c>
      <c r="H61" s="1198">
        <f t="shared" si="16"/>
        <v>5.1999999999999998E-3</v>
      </c>
      <c r="I61" s="759">
        <v>0.08</v>
      </c>
      <c r="J61" s="1195">
        <f t="shared" si="17"/>
        <v>1.04E-2</v>
      </c>
      <c r="K61" s="1195">
        <f t="shared" si="18"/>
        <v>5.1999999999999998E-3</v>
      </c>
      <c r="L61" s="1195">
        <v>0</v>
      </c>
      <c r="M61" s="1195">
        <f t="shared" si="19"/>
        <v>-5.1999999999999998E-3</v>
      </c>
      <c r="N61" s="1195">
        <f t="shared" si="19"/>
        <v>-1.04E-2</v>
      </c>
      <c r="AA61" s="1281"/>
      <c r="AB61" s="1281"/>
      <c r="AC61" s="1281"/>
      <c r="AD61" s="1281"/>
      <c r="AE61" s="1281"/>
      <c r="AF61" s="1281"/>
      <c r="AG61" s="1281"/>
      <c r="AH61" s="1281"/>
      <c r="AI61" s="1281"/>
      <c r="AJ61" s="1281"/>
      <c r="AK61" s="1281"/>
    </row>
    <row r="62" spans="1:37" s="1280" customFormat="1" ht="36.75">
      <c r="A62" s="2329" t="s">
        <v>2770</v>
      </c>
      <c r="B62" s="2334" t="s">
        <v>2771</v>
      </c>
      <c r="C62" s="2234" t="s">
        <v>3107</v>
      </c>
      <c r="D62" s="1196">
        <f t="shared" si="15"/>
        <v>2.5999999999999999E-3</v>
      </c>
      <c r="E62" s="761"/>
      <c r="F62" s="2000"/>
      <c r="G62" s="1194">
        <f t="shared" si="20"/>
        <v>2.5999999999999999E-3</v>
      </c>
      <c r="H62" s="1198">
        <f t="shared" si="16"/>
        <v>2.5999999999999999E-3</v>
      </c>
      <c r="I62" s="759">
        <v>0.04</v>
      </c>
      <c r="J62" s="1195">
        <f t="shared" si="17"/>
        <v>5.1999999999999998E-3</v>
      </c>
      <c r="K62" s="1195">
        <f t="shared" si="18"/>
        <v>2.5999999999999999E-3</v>
      </c>
      <c r="L62" s="1195">
        <v>0</v>
      </c>
      <c r="M62" s="1195">
        <f t="shared" si="19"/>
        <v>-2.5999999999999999E-3</v>
      </c>
      <c r="N62" s="1195">
        <f t="shared" si="19"/>
        <v>-5.1999999999999998E-3</v>
      </c>
      <c r="AA62" s="1281"/>
      <c r="AB62" s="1281"/>
      <c r="AC62" s="1281"/>
      <c r="AD62" s="1281"/>
      <c r="AE62" s="1281"/>
      <c r="AF62" s="1281"/>
      <c r="AG62" s="1281"/>
      <c r="AH62" s="1281"/>
      <c r="AI62" s="1281"/>
      <c r="AJ62" s="1281"/>
      <c r="AK62" s="1281"/>
    </row>
    <row r="63" spans="1:37" s="1280" customFormat="1" ht="24">
      <c r="A63" s="2329" t="s">
        <v>2772</v>
      </c>
      <c r="B63" s="2333">
        <f>估价对象房地状况!C24</f>
        <v>0</v>
      </c>
      <c r="C63" s="2234" t="s">
        <v>3107</v>
      </c>
      <c r="D63" s="1196">
        <f t="shared" si="15"/>
        <v>3.2000000000000002E-3</v>
      </c>
      <c r="E63" s="761"/>
      <c r="F63" s="2000"/>
      <c r="G63" s="1194">
        <f t="shared" si="20"/>
        <v>3.2000000000000002E-3</v>
      </c>
      <c r="H63" s="1198">
        <f t="shared" si="16"/>
        <v>3.2000000000000002E-3</v>
      </c>
      <c r="I63" s="759">
        <v>0.05</v>
      </c>
      <c r="J63" s="1195">
        <f t="shared" si="17"/>
        <v>6.4000000000000003E-3</v>
      </c>
      <c r="K63" s="1195">
        <f t="shared" si="18"/>
        <v>3.2000000000000002E-3</v>
      </c>
      <c r="L63" s="1195">
        <v>0</v>
      </c>
      <c r="M63" s="1195">
        <f t="shared" si="19"/>
        <v>-3.2000000000000002E-3</v>
      </c>
      <c r="N63" s="1195">
        <f t="shared" si="19"/>
        <v>-6.4000000000000003E-3</v>
      </c>
      <c r="AA63" s="1281"/>
      <c r="AB63" s="1281"/>
      <c r="AC63" s="1281"/>
      <c r="AD63" s="1281"/>
      <c r="AE63" s="1281"/>
      <c r="AF63" s="1281"/>
      <c r="AG63" s="1281"/>
      <c r="AH63" s="1281"/>
      <c r="AI63" s="1281"/>
      <c r="AJ63" s="1281"/>
      <c r="AK63" s="1281"/>
    </row>
    <row r="64" spans="1:37" s="1280" customFormat="1" ht="24">
      <c r="A64" s="2329" t="s">
        <v>2773</v>
      </c>
      <c r="B64" s="2335" t="s">
        <v>2774</v>
      </c>
      <c r="C64" s="2234" t="s">
        <v>3107</v>
      </c>
      <c r="D64" s="1196">
        <f t="shared" si="15"/>
        <v>3.2000000000000002E-3</v>
      </c>
      <c r="E64" s="761"/>
      <c r="F64" s="2000"/>
      <c r="G64" s="1194">
        <f t="shared" si="20"/>
        <v>3.2000000000000002E-3</v>
      </c>
      <c r="H64" s="1198">
        <f t="shared" si="16"/>
        <v>3.2000000000000002E-3</v>
      </c>
      <c r="I64" s="759">
        <v>0.05</v>
      </c>
      <c r="J64" s="1195">
        <f t="shared" si="17"/>
        <v>6.4000000000000003E-3</v>
      </c>
      <c r="K64" s="1195">
        <f t="shared" si="18"/>
        <v>3.2000000000000002E-3</v>
      </c>
      <c r="L64" s="1195">
        <v>0</v>
      </c>
      <c r="M64" s="1195">
        <f t="shared" si="19"/>
        <v>-3.2000000000000002E-3</v>
      </c>
      <c r="N64" s="1195">
        <f t="shared" si="19"/>
        <v>-6.4000000000000003E-3</v>
      </c>
      <c r="AA64" s="1281"/>
      <c r="AB64" s="1281"/>
      <c r="AC64" s="1281"/>
      <c r="AD64" s="1281"/>
      <c r="AE64" s="1281"/>
      <c r="AF64" s="1281"/>
      <c r="AG64" s="1281"/>
      <c r="AH64" s="1281"/>
      <c r="AI64" s="1281"/>
      <c r="AJ64" s="1281"/>
      <c r="AK64" s="1281"/>
    </row>
    <row r="65" spans="1:37" s="1280" customFormat="1" ht="25.5">
      <c r="A65" s="2329" t="s">
        <v>2775</v>
      </c>
      <c r="B65" s="1494" t="str">
        <f>估价对象房地状况!C21</f>
        <v>估价对象所在区域公共配套设施齐备情况</v>
      </c>
      <c r="C65" s="2234" t="s">
        <v>3106</v>
      </c>
      <c r="D65" s="1196">
        <f t="shared" si="15"/>
        <v>0</v>
      </c>
      <c r="E65" s="761"/>
      <c r="F65" s="2000"/>
      <c r="G65" s="1194">
        <f t="shared" si="20"/>
        <v>3.8999999999999998E-3</v>
      </c>
      <c r="H65" s="1198">
        <f t="shared" si="16"/>
        <v>3.8999999999999998E-3</v>
      </c>
      <c r="I65" s="759">
        <v>0.06</v>
      </c>
      <c r="J65" s="1195">
        <f t="shared" si="17"/>
        <v>7.7999999999999996E-3</v>
      </c>
      <c r="K65" s="1195">
        <f t="shared" si="18"/>
        <v>3.8999999999999998E-3</v>
      </c>
      <c r="L65" s="1195">
        <v>0</v>
      </c>
      <c r="M65" s="1195">
        <f t="shared" si="19"/>
        <v>-3.8999999999999998E-3</v>
      </c>
      <c r="N65" s="1195">
        <f t="shared" si="19"/>
        <v>-7.7999999999999996E-3</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v>
      </c>
      <c r="C66" s="2234" t="s">
        <v>3108</v>
      </c>
      <c r="D66" s="1196">
        <f t="shared" si="15"/>
        <v>1.5599999999999999E-2</v>
      </c>
      <c r="E66" s="761"/>
      <c r="F66" s="2000"/>
      <c r="G66" s="1194">
        <f t="shared" si="20"/>
        <v>7.7999999999999996E-3</v>
      </c>
      <c r="H66" s="1198">
        <f t="shared" si="16"/>
        <v>7.7999999999999996E-3</v>
      </c>
      <c r="I66" s="759">
        <v>0.12</v>
      </c>
      <c r="J66" s="1195">
        <f t="shared" si="17"/>
        <v>1.5599999999999999E-2</v>
      </c>
      <c r="K66" s="1195">
        <f t="shared" si="18"/>
        <v>7.7999999999999996E-3</v>
      </c>
      <c r="L66" s="1195">
        <v>0</v>
      </c>
      <c r="M66" s="1195">
        <f t="shared" si="19"/>
        <v>-7.7999999999999996E-3</v>
      </c>
      <c r="N66" s="1195">
        <f t="shared" si="19"/>
        <v>-1.5599999999999999E-2</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区域自然环境：；人文环境；综合评价环境状况一般</v>
      </c>
      <c r="C67" s="2234" t="s">
        <v>3106</v>
      </c>
      <c r="D67" s="1196">
        <f t="shared" si="15"/>
        <v>0</v>
      </c>
      <c r="E67" s="764"/>
      <c r="F67" s="2000"/>
      <c r="G67" s="1194">
        <f t="shared" si="20"/>
        <v>3.8999999999999998E-3</v>
      </c>
      <c r="H67" s="1198">
        <f t="shared" si="16"/>
        <v>3.8999999999999998E-3</v>
      </c>
      <c r="I67" s="763">
        <v>0.06</v>
      </c>
      <c r="J67" s="1195">
        <f t="shared" si="17"/>
        <v>7.7999999999999996E-3</v>
      </c>
      <c r="K67" s="1195">
        <f t="shared" si="18"/>
        <v>3.8999999999999998E-3</v>
      </c>
      <c r="L67" s="1195">
        <v>0</v>
      </c>
      <c r="M67" s="1195">
        <f t="shared" si="19"/>
        <v>-3.8999999999999998E-3</v>
      </c>
      <c r="N67" s="1195">
        <f t="shared" si="19"/>
        <v>-7.7999999999999996E-3</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2768</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2783</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2775</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2777</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2784</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2416</v>
      </c>
      <c r="K80" s="560" t="s">
        <v>2417</v>
      </c>
      <c r="L80" s="560" t="s">
        <v>2418</v>
      </c>
      <c r="M80" s="560" t="s">
        <v>2419</v>
      </c>
      <c r="N80" s="560" t="s">
        <v>2420</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2769</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2783</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2775</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2776</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2773</v>
      </c>
      <c r="B87" s="2335" t="s">
        <v>2787</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271" t="s">
        <v>2789</v>
      </c>
      <c r="B90" s="3271"/>
      <c r="C90" s="3271"/>
      <c r="D90" s="3271"/>
      <c r="E90" s="3271"/>
      <c r="F90" s="3271"/>
      <c r="G90" s="3271"/>
      <c r="H90" s="3271"/>
      <c r="I90" s="3271"/>
      <c r="J90" s="3271"/>
      <c r="K90" s="2343"/>
      <c r="L90" s="2343"/>
      <c r="M90" s="2343"/>
      <c r="N90" s="2343"/>
    </row>
    <row r="91" spans="1:37">
      <c r="A91" s="3273" t="s">
        <v>2790</v>
      </c>
      <c r="B91" s="3273" t="s">
        <v>2791</v>
      </c>
      <c r="C91" s="2297" t="s">
        <v>2792</v>
      </c>
      <c r="D91" s="2298"/>
      <c r="E91" s="2298"/>
      <c r="F91" s="2298"/>
      <c r="G91" s="2298"/>
      <c r="H91" s="2298"/>
      <c r="I91" s="2298"/>
      <c r="J91" s="2344"/>
      <c r="K91" s="2345"/>
      <c r="L91" s="2345"/>
      <c r="M91" s="2345"/>
      <c r="N91" s="2345"/>
    </row>
    <row r="92" spans="1:37">
      <c r="A92" s="3273"/>
      <c r="B92" s="3273"/>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274"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75"/>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75"/>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75"/>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75"/>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75"/>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75"/>
      <c r="B99" s="2346" t="s">
        <v>2676</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76"/>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74" t="s">
        <v>2794</v>
      </c>
      <c r="B101" s="2350" t="s">
        <v>2795</v>
      </c>
      <c r="C101" s="2351">
        <f>$G$3</f>
        <v>0.63</v>
      </c>
      <c r="D101" s="2351">
        <f t="shared" ref="D101:N101" si="32">$G$3</f>
        <v>0.63</v>
      </c>
      <c r="E101" s="2351">
        <f t="shared" si="32"/>
        <v>0.63</v>
      </c>
      <c r="F101" s="2351">
        <f t="shared" si="32"/>
        <v>0.63</v>
      </c>
      <c r="G101" s="2351">
        <f t="shared" si="32"/>
        <v>0.63</v>
      </c>
      <c r="H101" s="2351">
        <f t="shared" si="32"/>
        <v>0.63</v>
      </c>
      <c r="I101" s="2351">
        <f t="shared" si="32"/>
        <v>0.63</v>
      </c>
      <c r="J101" s="2351">
        <f t="shared" si="32"/>
        <v>0.63</v>
      </c>
      <c r="K101" s="2351">
        <f t="shared" si="32"/>
        <v>0.63</v>
      </c>
      <c r="L101" s="2351">
        <f t="shared" si="32"/>
        <v>0.63</v>
      </c>
      <c r="M101" s="2351">
        <f t="shared" si="32"/>
        <v>0.63</v>
      </c>
      <c r="N101" s="2351">
        <f t="shared" si="32"/>
        <v>0.63</v>
      </c>
    </row>
    <row r="102" spans="1:14">
      <c r="A102" s="3275"/>
      <c r="B102" s="2346">
        <v>1</v>
      </c>
      <c r="C102" s="2347">
        <f>1.9362/C101</f>
        <v>3.0733333333333333</v>
      </c>
      <c r="D102" s="2347">
        <f>1.9362/D101</f>
        <v>3.0733333333333333</v>
      </c>
      <c r="E102" s="2347">
        <f>1.8629/E101</f>
        <v>2.956984126984127</v>
      </c>
      <c r="F102" s="2347">
        <f>1.8629/F101</f>
        <v>2.956984126984127</v>
      </c>
      <c r="G102" s="2347">
        <f>1.8629/G101</f>
        <v>2.956984126984127</v>
      </c>
      <c r="H102" s="2347">
        <f>1.8629/H101</f>
        <v>2.956984126984127</v>
      </c>
      <c r="I102" s="2347">
        <f>1.8629/I101</f>
        <v>2.956984126984127</v>
      </c>
      <c r="J102" s="2347">
        <f>1.942/J101</f>
        <v>3.0825396825396822</v>
      </c>
      <c r="K102" s="2347">
        <f>1.942/K101</f>
        <v>3.0825396825396822</v>
      </c>
      <c r="L102" s="2347">
        <f>1.942/L101</f>
        <v>3.0825396825396822</v>
      </c>
      <c r="M102" s="2347">
        <f>1.942/M101</f>
        <v>3.0825396825396822</v>
      </c>
      <c r="N102" s="2347">
        <f>1.942/N101</f>
        <v>3.0825396825396822</v>
      </c>
    </row>
    <row r="103" spans="1:14">
      <c r="A103" s="3275"/>
      <c r="B103" s="2346">
        <v>2</v>
      </c>
      <c r="C103" s="2347">
        <f>1.4198/C101</f>
        <v>2.2536507936507935</v>
      </c>
      <c r="D103" s="2347">
        <f>1.4198/D101</f>
        <v>2.2536507936507935</v>
      </c>
      <c r="E103" s="2347">
        <f>1.3372/E101</f>
        <v>2.1225396825396823</v>
      </c>
      <c r="F103" s="2347">
        <f>1.3372/F101</f>
        <v>2.1225396825396823</v>
      </c>
      <c r="G103" s="2347">
        <f>1.3372/G101</f>
        <v>2.1225396825396823</v>
      </c>
      <c r="H103" s="2347">
        <f>1.3372/H101</f>
        <v>2.1225396825396823</v>
      </c>
      <c r="I103" s="2347">
        <f>1.3372/I101</f>
        <v>2.1225396825396823</v>
      </c>
      <c r="J103" s="2347">
        <f>1.2799/J101</f>
        <v>2.0315873015873018</v>
      </c>
      <c r="K103" s="2347">
        <f>1.2799/K101</f>
        <v>2.0315873015873018</v>
      </c>
      <c r="L103" s="2347">
        <f>1.2799/L101</f>
        <v>2.0315873015873018</v>
      </c>
      <c r="M103" s="2347">
        <f>1.2799/M101</f>
        <v>2.0315873015873018</v>
      </c>
      <c r="N103" s="2347">
        <f>1.2799/N101</f>
        <v>2.0315873015873018</v>
      </c>
    </row>
    <row r="104" spans="1:14">
      <c r="A104" s="3275"/>
      <c r="B104" s="2346">
        <v>3</v>
      </c>
      <c r="C104" s="2347">
        <f>1.1594/C101</f>
        <v>1.8403174603174604</v>
      </c>
      <c r="D104" s="2347">
        <f>1.1594/D101</f>
        <v>1.8403174603174604</v>
      </c>
      <c r="E104" s="2347">
        <f>1.0788/E101</f>
        <v>1.7123809523809523</v>
      </c>
      <c r="F104" s="2347">
        <f>1.0788/F101</f>
        <v>1.7123809523809523</v>
      </c>
      <c r="G104" s="2347">
        <f>1.0788/G101</f>
        <v>1.7123809523809523</v>
      </c>
      <c r="H104" s="2347">
        <f>1.0788/H101</f>
        <v>1.7123809523809523</v>
      </c>
      <c r="I104" s="2347">
        <f>1.0788/I101</f>
        <v>1.7123809523809523</v>
      </c>
      <c r="J104" s="2347">
        <f>1.0072/J101</f>
        <v>1.5987301587301588</v>
      </c>
      <c r="K104" s="2347">
        <f>1.0072/K101</f>
        <v>1.5987301587301588</v>
      </c>
      <c r="L104" s="2347">
        <f>1.0072/L101</f>
        <v>1.5987301587301588</v>
      </c>
      <c r="M104" s="2347">
        <f>1.0072/M101</f>
        <v>1.5987301587301588</v>
      </c>
      <c r="N104" s="2347">
        <f>1.0072/N101</f>
        <v>1.5987301587301588</v>
      </c>
    </row>
    <row r="105" spans="1:14">
      <c r="A105" s="3275"/>
      <c r="B105" s="2346">
        <v>4</v>
      </c>
      <c r="C105" s="2347">
        <f>0.9622/C101</f>
        <v>1.5273015873015874</v>
      </c>
      <c r="D105" s="2347">
        <f>0.9622/D101</f>
        <v>1.5273015873015874</v>
      </c>
      <c r="E105" s="2347">
        <f>0.8656/E101</f>
        <v>1.3739682539682541</v>
      </c>
      <c r="F105" s="2347">
        <f>0.8656/F101</f>
        <v>1.3739682539682541</v>
      </c>
      <c r="G105" s="2347">
        <f>0.8656/G101</f>
        <v>1.3739682539682541</v>
      </c>
      <c r="H105" s="2347">
        <f>0.8656/H101</f>
        <v>1.3739682539682541</v>
      </c>
      <c r="I105" s="2347">
        <f>0.8656/I101</f>
        <v>1.3739682539682541</v>
      </c>
      <c r="J105" s="2347">
        <f>0.7525/J101</f>
        <v>1.1944444444444444</v>
      </c>
      <c r="K105" s="2347">
        <f>0.7525/K101</f>
        <v>1.1944444444444444</v>
      </c>
      <c r="L105" s="2347">
        <f>0.7525/L101</f>
        <v>1.1944444444444444</v>
      </c>
      <c r="M105" s="2347">
        <f>0.7525/M101</f>
        <v>1.1944444444444444</v>
      </c>
      <c r="N105" s="2347">
        <f>0.7525/N101</f>
        <v>1.1944444444444444</v>
      </c>
    </row>
    <row r="106" spans="1:14">
      <c r="A106" s="3275"/>
      <c r="B106" s="2346">
        <v>5</v>
      </c>
      <c r="C106" s="2347">
        <f>0.8417/C101</f>
        <v>1.3360317460317461</v>
      </c>
      <c r="D106" s="2347">
        <f>0.8417/D101</f>
        <v>1.3360317460317461</v>
      </c>
      <c r="E106" s="2347">
        <f>0.7371/E101</f>
        <v>1.17</v>
      </c>
      <c r="F106" s="2347">
        <f>0.7371/F101</f>
        <v>1.17</v>
      </c>
      <c r="G106" s="2347">
        <f>0.7371/G101</f>
        <v>1.17</v>
      </c>
      <c r="H106" s="2347">
        <f>0.7371/H101</f>
        <v>1.17</v>
      </c>
      <c r="I106" s="2347">
        <f>0.7371/I101</f>
        <v>1.17</v>
      </c>
      <c r="J106" s="2347">
        <f>0.5659/J101</f>
        <v>0.89825396825396819</v>
      </c>
      <c r="K106" s="2347">
        <f>0.5659/K101</f>
        <v>0.89825396825396819</v>
      </c>
      <c r="L106" s="2347">
        <f>0.5659/L101</f>
        <v>0.89825396825396819</v>
      </c>
      <c r="M106" s="2347">
        <f>0.5659/M101</f>
        <v>0.89825396825396819</v>
      </c>
      <c r="N106" s="2347">
        <f>0.5659/N101</f>
        <v>0.89825396825396819</v>
      </c>
    </row>
    <row r="107" spans="1:14">
      <c r="A107" s="3275"/>
      <c r="B107" s="2346">
        <v>6</v>
      </c>
      <c r="C107" s="2347">
        <f>0.7608/C101</f>
        <v>1.2076190476190476</v>
      </c>
      <c r="D107" s="2347">
        <f>0.7608/D101</f>
        <v>1.2076190476190476</v>
      </c>
      <c r="E107" s="2347">
        <f>0.6482/E101</f>
        <v>1.028888888888889</v>
      </c>
      <c r="F107" s="2347">
        <f>0.6482/F101</f>
        <v>1.028888888888889</v>
      </c>
      <c r="G107" s="2347">
        <f>0.6482/G101</f>
        <v>1.028888888888889</v>
      </c>
      <c r="H107" s="2347">
        <f>0.6482/H101</f>
        <v>1.028888888888889</v>
      </c>
      <c r="I107" s="2347">
        <f>0.6482/I101</f>
        <v>1.028888888888889</v>
      </c>
      <c r="J107" s="2347">
        <f>0.4525/J101</f>
        <v>0.71825396825396826</v>
      </c>
      <c r="K107" s="2347">
        <f>0.4525/K101</f>
        <v>0.71825396825396826</v>
      </c>
      <c r="L107" s="2347">
        <f>0.4525/L101</f>
        <v>0.71825396825396826</v>
      </c>
      <c r="M107" s="2347">
        <f>0.4525/M101</f>
        <v>0.71825396825396826</v>
      </c>
      <c r="N107" s="2347">
        <f>0.4525/N101</f>
        <v>0.71825396825396826</v>
      </c>
    </row>
    <row r="108" spans="1:14">
      <c r="A108" s="3275"/>
      <c r="B108" s="3277" t="s">
        <v>2796</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76"/>
      <c r="B109" s="3278"/>
      <c r="C109" s="2349">
        <f>(-0.163*(C108^2)-0.59*C108+7617)*(10^(-4))/C101</f>
        <v>1.2090476190476191</v>
      </c>
      <c r="D109" s="2349">
        <f>(-0.163*(D108^2)-0.59*D108+7617)*(10^(-4))/D101</f>
        <v>1.2090476190476191</v>
      </c>
      <c r="E109" s="2349">
        <f>(-0.161*(E108^2)-7.509*E108+6533)*(10^(-4))/E101</f>
        <v>1.0369841269841269</v>
      </c>
      <c r="F109" s="2349">
        <f>(-0.161*(F108^2)-7.509*F108+6533)*(10^(-4))/F101</f>
        <v>1.0369841269841269</v>
      </c>
      <c r="G109" s="2349">
        <f>(-0.161*(G108^2)-7.509*G108+6533)*(10^(-4))/G101</f>
        <v>1.0369841269841269</v>
      </c>
      <c r="H109" s="2349">
        <f>(-0.161*(H108^2)-7.509*H108+6533)*(10^(-4))/H101</f>
        <v>1.0369841269841269</v>
      </c>
      <c r="I109" s="2349">
        <f>(-0.161*(I108^2)-7.509*I108+6533)*(10^(-4))/I101</f>
        <v>1.0369841269841269</v>
      </c>
      <c r="J109" s="2349">
        <f>(-0.214*(J108^2)-21.991*J108+4665)*(10^(-4))/J101</f>
        <v>0.74047619047619051</v>
      </c>
      <c r="K109" s="2349">
        <f>(-0.214*(K108^2)-21.991*K108+4665)*(10^(-4))/K101</f>
        <v>0.74047619047619051</v>
      </c>
      <c r="L109" s="2349">
        <f>(-0.214*(L108^2)-21.991*L108+4665)*(10^(-4))/L101</f>
        <v>0.74047619047619051</v>
      </c>
      <c r="M109" s="2349">
        <f>(-0.214*(M108^2)-21.991*M108+4665)*(10^(-4))/M101</f>
        <v>0.74047619047619051</v>
      </c>
      <c r="N109" s="2349">
        <f>(-0.214*(N108^2)-21.991*N108+4665)*(10^(-4))/N101</f>
        <v>0.74047619047619051</v>
      </c>
    </row>
    <row r="110" spans="1:14">
      <c r="A110" s="3272" t="s">
        <v>2797</v>
      </c>
      <c r="B110" s="3272"/>
      <c r="C110" s="3272"/>
      <c r="D110" s="3272"/>
      <c r="E110" s="3272"/>
      <c r="F110" s="3272"/>
      <c r="G110" s="3272"/>
      <c r="H110" s="3272"/>
      <c r="I110" s="3272"/>
      <c r="J110" s="3272"/>
      <c r="K110" s="2352"/>
      <c r="L110" s="2352"/>
      <c r="M110" s="2352"/>
      <c r="N110" s="2352"/>
    </row>
    <row r="112" spans="1:14" ht="13.5" thickBot="1"/>
    <row r="113" spans="1:13" ht="25.5" thickBot="1">
      <c r="A113" s="842" t="s">
        <v>2798</v>
      </c>
      <c r="B113" s="1197">
        <f>G3</f>
        <v>0.63</v>
      </c>
      <c r="C113" s="843" t="s">
        <v>2799</v>
      </c>
      <c r="D113" s="844">
        <f>SUMPRODUCT((A115:A118=F113)*(B114:M114=H113)*B115:M118)</f>
        <v>0.84850000000000003</v>
      </c>
      <c r="E113" s="2188" t="s">
        <v>2633</v>
      </c>
      <c r="F113" s="2354" t="str">
        <f>E2</f>
        <v>办公</v>
      </c>
      <c r="G113" s="2188" t="s">
        <v>2634</v>
      </c>
      <c r="H113" s="2354" t="str">
        <f>G2</f>
        <v>七级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0.92759999999999998</v>
      </c>
      <c r="C115" s="849">
        <f>B115</f>
        <v>0.92759999999999998</v>
      </c>
      <c r="D115" s="849">
        <f>ROUND(0.8331-0.0109*B113,4)</f>
        <v>0.82620000000000005</v>
      </c>
      <c r="E115" s="849">
        <f>D115</f>
        <v>0.82620000000000005</v>
      </c>
      <c r="F115" s="849">
        <f>E115</f>
        <v>0.82620000000000005</v>
      </c>
      <c r="G115" s="849">
        <f>F115</f>
        <v>0.82620000000000005</v>
      </c>
      <c r="H115" s="849">
        <f>G115</f>
        <v>0.82620000000000005</v>
      </c>
      <c r="I115" s="849">
        <f>ROUND(0.689-0.0155*B113,4)</f>
        <v>0.67920000000000003</v>
      </c>
      <c r="J115" s="849">
        <f t="shared" ref="J115:M118" si="34">I115</f>
        <v>0.67920000000000003</v>
      </c>
      <c r="K115" s="849">
        <f t="shared" si="34"/>
        <v>0.67920000000000003</v>
      </c>
      <c r="L115" s="849">
        <f t="shared" si="34"/>
        <v>0.67920000000000003</v>
      </c>
      <c r="M115" s="850">
        <f t="shared" si="34"/>
        <v>0.67920000000000003</v>
      </c>
    </row>
    <row r="116" spans="1:13">
      <c r="A116" s="848" t="s">
        <v>2699</v>
      </c>
      <c r="B116" s="849">
        <f>ROUND(0.949-0.012*B113,4)</f>
        <v>0.94140000000000001</v>
      </c>
      <c r="C116" s="849">
        <f>B116</f>
        <v>0.94140000000000001</v>
      </c>
      <c r="D116" s="849">
        <f>ROUND(0.8567-0.013*B113,4)</f>
        <v>0.84850000000000003</v>
      </c>
      <c r="E116" s="849">
        <f t="shared" ref="E116:H117" si="35">D116</f>
        <v>0.84850000000000003</v>
      </c>
      <c r="F116" s="849">
        <f t="shared" si="35"/>
        <v>0.84850000000000003</v>
      </c>
      <c r="G116" s="849">
        <f t="shared" si="35"/>
        <v>0.84850000000000003</v>
      </c>
      <c r="H116" s="849">
        <f t="shared" si="35"/>
        <v>0.84850000000000003</v>
      </c>
      <c r="I116" s="849">
        <f>ROUND(0.7694-0.014*B113,4)</f>
        <v>0.76060000000000005</v>
      </c>
      <c r="J116" s="849">
        <f t="shared" si="34"/>
        <v>0.76060000000000005</v>
      </c>
      <c r="K116" s="849">
        <f t="shared" si="34"/>
        <v>0.76060000000000005</v>
      </c>
      <c r="L116" s="849">
        <f t="shared" si="34"/>
        <v>0.76060000000000005</v>
      </c>
      <c r="M116" s="850">
        <f t="shared" si="34"/>
        <v>0.76060000000000005</v>
      </c>
    </row>
    <row r="117" spans="1:13">
      <c r="A117" s="848" t="s">
        <v>2700</v>
      </c>
      <c r="B117" s="849">
        <f>ROUND(0.8808-0.006*B113,4)</f>
        <v>0.877</v>
      </c>
      <c r="C117" s="849">
        <f>B117</f>
        <v>0.877</v>
      </c>
      <c r="D117" s="849">
        <f>ROUND(0.8748-0.008*B113,4)</f>
        <v>0.86980000000000002</v>
      </c>
      <c r="E117" s="849">
        <f t="shared" si="35"/>
        <v>0.86980000000000002</v>
      </c>
      <c r="F117" s="849">
        <f t="shared" si="35"/>
        <v>0.86980000000000002</v>
      </c>
      <c r="G117" s="849">
        <f t="shared" si="35"/>
        <v>0.86980000000000002</v>
      </c>
      <c r="H117" s="849">
        <f t="shared" si="35"/>
        <v>0.86980000000000002</v>
      </c>
      <c r="I117" s="849">
        <f>ROUND(0.7412-0.0095*B113,4)</f>
        <v>0.73519999999999996</v>
      </c>
      <c r="J117" s="849">
        <f t="shared" si="34"/>
        <v>0.73519999999999996</v>
      </c>
      <c r="K117" s="849">
        <f t="shared" si="34"/>
        <v>0.73519999999999996</v>
      </c>
      <c r="L117" s="849">
        <f t="shared" si="34"/>
        <v>0.73519999999999996</v>
      </c>
      <c r="M117" s="850">
        <f t="shared" si="34"/>
        <v>0.73519999999999996</v>
      </c>
    </row>
    <row r="118" spans="1:13" ht="13.5" thickBot="1">
      <c r="A118" s="670" t="s">
        <v>2701</v>
      </c>
      <c r="B118" s="851">
        <f>ROUND(0.7275-0.01*B113,4)</f>
        <v>0.72119999999999995</v>
      </c>
      <c r="C118" s="851">
        <f>B118</f>
        <v>0.72119999999999995</v>
      </c>
      <c r="D118" s="851">
        <f>ROUND(0.7043-0.012*B113,4)</f>
        <v>0.69669999999999999</v>
      </c>
      <c r="E118" s="851">
        <f>D118</f>
        <v>0.69669999999999999</v>
      </c>
      <c r="F118" s="851">
        <f>E118</f>
        <v>0.69669999999999999</v>
      </c>
      <c r="G118" s="851">
        <f>ROUND(0.6299-0.0122*B113,4)</f>
        <v>0.62219999999999998</v>
      </c>
      <c r="H118" s="851">
        <f>G118</f>
        <v>0.62219999999999998</v>
      </c>
      <c r="I118" s="851">
        <f>ROUND(0.5667-0.0136*B113,4)</f>
        <v>0.55810000000000004</v>
      </c>
      <c r="J118" s="851">
        <f t="shared" si="34"/>
        <v>0.55810000000000004</v>
      </c>
      <c r="K118" s="851">
        <f t="shared" si="34"/>
        <v>0.55810000000000004</v>
      </c>
      <c r="L118" s="851">
        <f t="shared" si="34"/>
        <v>0.55810000000000004</v>
      </c>
      <c r="M118" s="852">
        <f t="shared" si="34"/>
        <v>0.55810000000000004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49" sqref="F4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27</v>
      </c>
      <c r="D1" s="1546" t="s">
        <v>70</v>
      </c>
      <c r="E1" s="1547" t="s">
        <v>1352</v>
      </c>
      <c r="F1" s="1193">
        <f ca="1">J53</f>
        <v>24.54</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18327</v>
      </c>
      <c r="C2" s="1571" t="s">
        <v>1480</v>
      </c>
      <c r="D2" s="1571"/>
      <c r="E2" s="1572"/>
      <c r="F2" s="1573"/>
      <c r="G2" s="2933"/>
      <c r="H2" s="2922"/>
      <c r="I2" s="2922"/>
      <c r="J2" s="2922"/>
      <c r="K2" s="2923"/>
      <c r="L2" s="2922"/>
      <c r="M2" s="2922"/>
    </row>
    <row r="3" spans="1:37" ht="18" customHeight="1" thickBot="1">
      <c r="A3" s="1574" t="s">
        <v>1481</v>
      </c>
      <c r="B3" s="1575">
        <f ca="1">IF(ISERROR(B2*10000/F43),0,ROUND(B2*10000/F43,0))</f>
        <v>14536</v>
      </c>
      <c r="C3" s="1571" t="s">
        <v>1482</v>
      </c>
      <c r="D3" s="1571"/>
      <c r="E3" s="1572"/>
      <c r="F3" s="1573"/>
      <c r="G3" s="2933"/>
      <c r="H3" s="692" t="s">
        <v>1552</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1013</v>
      </c>
      <c r="D5" s="1548" t="s">
        <v>1367</v>
      </c>
      <c r="E5" s="1203"/>
      <c r="F5" s="1204"/>
      <c r="G5" s="1568"/>
      <c r="H5" s="305">
        <v>1</v>
      </c>
      <c r="I5" s="306" t="s">
        <v>1366</v>
      </c>
      <c r="J5" s="1202">
        <f ca="1">J6+J10+J12</f>
        <v>1783</v>
      </c>
      <c r="K5" s="1548" t="s">
        <v>1367</v>
      </c>
      <c r="L5" s="1203"/>
      <c r="M5" s="1204"/>
    </row>
    <row r="6" spans="1:37" ht="18" customHeight="1">
      <c r="A6" s="1201" t="s">
        <v>1003</v>
      </c>
      <c r="B6" s="3287" t="s">
        <v>1368</v>
      </c>
      <c r="C6" s="1206">
        <f ca="1">ROUND(F6*F8*F7*(1-F9)/10000,0)</f>
        <v>1012</v>
      </c>
      <c r="D6" s="160" t="s">
        <v>2848</v>
      </c>
      <c r="E6" s="308" t="s">
        <v>1370</v>
      </c>
      <c r="F6" s="309">
        <f ca="1">INDIRECT("'数据-取费表'!u"&amp;$G$1)</f>
        <v>2.2000000000000002</v>
      </c>
      <c r="G6" s="1568"/>
      <c r="H6" s="1201" t="s">
        <v>1003</v>
      </c>
      <c r="I6" s="3287" t="s">
        <v>1368</v>
      </c>
      <c r="J6" s="307">
        <f ca="1">ROUND(M6*M8*M7*(1-M9)/10000,0)</f>
        <v>1781</v>
      </c>
      <c r="K6" s="160" t="s">
        <v>2847</v>
      </c>
      <c r="L6" s="308" t="s">
        <v>1370</v>
      </c>
      <c r="M6" s="309">
        <f ca="1">INDIRECT("'数据-取费表'!z"&amp;$G$1)</f>
        <v>4.3</v>
      </c>
    </row>
    <row r="7" spans="1:37" ht="18" customHeight="1">
      <c r="A7" s="1205"/>
      <c r="B7" s="3288"/>
      <c r="C7" s="1207"/>
      <c r="D7" s="313"/>
      <c r="E7" s="1208" t="s">
        <v>1371</v>
      </c>
      <c r="F7" s="309">
        <f ca="1">IF(INDIRECT("'数据-取费表'!ah"&amp;$G$1)="",INDIRECT("'数据-取费表'!k"&amp;$G$1),INDIRECT("'数据-取费表'!ah"&amp;$G$1))</f>
        <v>12608.400000000001</v>
      </c>
      <c r="G7" s="1568"/>
      <c r="H7" s="310"/>
      <c r="I7" s="3288"/>
      <c r="J7" s="312"/>
      <c r="K7" s="313"/>
      <c r="L7" s="308" t="s">
        <v>1371</v>
      </c>
      <c r="M7" s="309">
        <f ca="1">F7</f>
        <v>12608.400000000001</v>
      </c>
    </row>
    <row r="8" spans="1:37" ht="18" customHeight="1">
      <c r="A8" s="310"/>
      <c r="B8" s="3288"/>
      <c r="C8" s="312"/>
      <c r="D8" s="313"/>
      <c r="E8" s="308" t="s">
        <v>1372</v>
      </c>
      <c r="F8" s="309">
        <f ca="1">INDIRECT("'数据-取费表'!ai"&amp;$G$1)</f>
        <v>365</v>
      </c>
      <c r="G8" s="1568"/>
      <c r="H8" s="310"/>
      <c r="I8" s="3288"/>
      <c r="J8" s="312"/>
      <c r="K8" s="313"/>
      <c r="L8" s="308" t="s">
        <v>1372</v>
      </c>
      <c r="M8" s="309">
        <f ca="1">INDIRECT("'数据-取费表'!ai"&amp;$G$1)</f>
        <v>365</v>
      </c>
    </row>
    <row r="9" spans="1:37" ht="18" customHeight="1">
      <c r="A9" s="310"/>
      <c r="B9" s="3289"/>
      <c r="C9" s="312"/>
      <c r="D9" s="313"/>
      <c r="E9" s="308" t="s">
        <v>1373</v>
      </c>
      <c r="F9" s="318">
        <f ca="1">INDIRECT("'数据-取费表'!w"&amp;$G$1)</f>
        <v>0</v>
      </c>
      <c r="G9" s="1568"/>
      <c r="H9" s="310"/>
      <c r="I9" s="3289"/>
      <c r="J9" s="312"/>
      <c r="K9" s="313"/>
      <c r="L9" s="319" t="s">
        <v>1373</v>
      </c>
      <c r="M9" s="320">
        <f ca="1">INDIRECT("'数据-取费表'!ab"&amp;$G$1)</f>
        <v>0.1</v>
      </c>
    </row>
    <row r="10" spans="1:37" ht="18" customHeight="1">
      <c r="A10" s="1201" t="s">
        <v>1007</v>
      </c>
      <c r="B10" s="1549" t="s">
        <v>1374</v>
      </c>
      <c r="C10" s="322">
        <f ca="1">ROUND(IF(F10="押一",C6/12*F11,IF(F10="押二",C6/12*2*F11,IF(F10="押三",C6/12*3*F11,C11*F11))),0)</f>
        <v>1</v>
      </c>
      <c r="D10" s="1550" t="s">
        <v>2856</v>
      </c>
      <c r="E10" s="319" t="s">
        <v>1375</v>
      </c>
      <c r="F10" s="1276" t="s">
        <v>3092</v>
      </c>
      <c r="G10" s="1568"/>
      <c r="H10" s="1201" t="s">
        <v>1007</v>
      </c>
      <c r="I10" s="1549" t="s">
        <v>1374</v>
      </c>
      <c r="J10" s="307">
        <f ca="1">ROUND(IF(M10="押一",J6/12*M11,IF(M10="押二",J6/12*2*M11,IF(M10="押三",J6/12*3*M11,J11*M11))),0)</f>
        <v>2</v>
      </c>
      <c r="K10" s="1550" t="s">
        <v>2855</v>
      </c>
      <c r="L10" s="319" t="s">
        <v>1375</v>
      </c>
      <c r="M10" s="1276" t="s">
        <v>3092</v>
      </c>
    </row>
    <row r="11" spans="1:37" ht="18" customHeight="1">
      <c r="A11" s="314"/>
      <c r="B11" s="1551" t="s">
        <v>1353</v>
      </c>
      <c r="C11" s="1090"/>
      <c r="D11" s="1552"/>
      <c r="E11" s="319" t="s">
        <v>1376</v>
      </c>
      <c r="F11" s="320">
        <f ca="1">'数据-取费表'!B39</f>
        <v>1.4999999999999999E-2</v>
      </c>
      <c r="G11" s="1568"/>
      <c r="H11" s="1209"/>
      <c r="I11" s="1551" t="s">
        <v>1353</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3670</v>
      </c>
      <c r="D13" s="1241" t="s">
        <v>1379</v>
      </c>
      <c r="E13" s="1241" t="s">
        <v>1380</v>
      </c>
      <c r="F13" s="1242">
        <f ca="1">INDIRECT("'数据-取费表'!y"&amp;$G$1)</f>
        <v>0.8</v>
      </c>
      <c r="G13" s="1568"/>
      <c r="H13" s="1239">
        <v>2</v>
      </c>
      <c r="I13" s="1240" t="s">
        <v>1378</v>
      </c>
      <c r="J13" s="1200">
        <f ca="1">ROUND(J14*J15,0)</f>
        <v>3440</v>
      </c>
      <c r="K13" s="1247" t="s">
        <v>1379</v>
      </c>
      <c r="L13" s="1576"/>
      <c r="M13" s="1577"/>
    </row>
    <row r="14" spans="1:37" ht="18" customHeight="1">
      <c r="A14" s="1113" t="s">
        <v>1002</v>
      </c>
      <c r="B14" s="308" t="s">
        <v>1381</v>
      </c>
      <c r="C14" s="324">
        <f ca="1">INDIRECT("'数据-取费表'!m"&amp;$G$1)+INDIRECT("'数据-取费表'!t"&amp;$G$1)</f>
        <v>3152</v>
      </c>
      <c r="D14" s="1529" t="s">
        <v>1382</v>
      </c>
      <c r="E14" s="1526"/>
      <c r="F14" s="325"/>
      <c r="G14" s="1568"/>
      <c r="H14" s="1113" t="s">
        <v>1003</v>
      </c>
      <c r="I14" s="308" t="s">
        <v>1383</v>
      </c>
      <c r="J14" s="24">
        <f ca="1">C29</f>
        <v>4587</v>
      </c>
      <c r="K14" s="15"/>
      <c r="L14" s="916"/>
      <c r="M14" s="917"/>
    </row>
    <row r="15" spans="1:37" s="1581" customFormat="1" ht="18" customHeight="1" thickBot="1">
      <c r="A15" s="1113" t="s">
        <v>1004</v>
      </c>
      <c r="B15" s="308" t="s">
        <v>1384</v>
      </c>
      <c r="C15" s="24">
        <f ca="1">ROUND(C14*F15,0)</f>
        <v>95</v>
      </c>
      <c r="D15" s="326" t="s">
        <v>1385</v>
      </c>
      <c r="E15" s="326" t="s">
        <v>1386</v>
      </c>
      <c r="F15" s="327">
        <f>'数据-取费表'!B33</f>
        <v>0.03</v>
      </c>
      <c r="G15" s="1580"/>
      <c r="H15" s="1249" t="s">
        <v>1007</v>
      </c>
      <c r="I15" s="1250" t="s">
        <v>1380</v>
      </c>
      <c r="J15" s="1259">
        <f ca="1">INDIRECT("'数据-取费表'!ad"&amp;$G$1)</f>
        <v>0.75</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335</v>
      </c>
      <c r="K16" s="1247" t="s">
        <v>1389</v>
      </c>
      <c r="L16" s="1248"/>
      <c r="M16" s="1204"/>
    </row>
    <row r="17" spans="1:37" s="1581" customFormat="1" ht="18" customHeight="1">
      <c r="A17" s="1113" t="s">
        <v>1355</v>
      </c>
      <c r="B17" s="308" t="s">
        <v>1390</v>
      </c>
      <c r="C17" s="24">
        <f ca="1">ROUND(F17*(F43+INDIRECT("'数据-取费表'!S"&amp;$G$1))/10000,0)</f>
        <v>252</v>
      </c>
      <c r="D17" s="308" t="s">
        <v>1391</v>
      </c>
      <c r="E17" s="308" t="s">
        <v>1392</v>
      </c>
      <c r="F17" s="26">
        <f>'数据-取费表'!B35</f>
        <v>200</v>
      </c>
      <c r="G17" s="1580"/>
      <c r="H17" s="1113" t="s">
        <v>1003</v>
      </c>
      <c r="I17" s="308" t="s">
        <v>1393</v>
      </c>
      <c r="J17" s="2534">
        <f ca="1">ROUND(IF(AND(项目基本情况!B11="自然人",项目基本情况!B10="北京市"),J6*M17/(1+'数据-取费表'!C42),J18+J19+J20),0)</f>
        <v>300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1396</v>
      </c>
      <c r="C18" s="24">
        <f ca="1">ROUND(C14*F18,0)</f>
        <v>47</v>
      </c>
      <c r="D18" s="308" t="s">
        <v>1385</v>
      </c>
      <c r="E18" s="308" t="s">
        <v>1386</v>
      </c>
      <c r="F18" s="328">
        <f>'数据-取费表'!B36</f>
        <v>1.4999999999999999E-2</v>
      </c>
      <c r="G18" s="1580"/>
      <c r="H18" s="1113" t="s">
        <v>1002</v>
      </c>
      <c r="I18" s="308" t="s">
        <v>1397</v>
      </c>
      <c r="J18" s="24">
        <f ca="1">ROUND(J6*M18/(1+'数据-取费表'!C42),2)</f>
        <v>93.29</v>
      </c>
      <c r="K18" s="1528" t="s">
        <v>1398</v>
      </c>
      <c r="L18" s="308" t="s">
        <v>1386</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3546</v>
      </c>
      <c r="D19" s="136" t="s">
        <v>1400</v>
      </c>
      <c r="E19" s="1544"/>
      <c r="F19" s="26"/>
      <c r="G19" s="1568"/>
      <c r="H19" s="1113" t="s">
        <v>1004</v>
      </c>
      <c r="I19" s="308" t="s">
        <v>1401</v>
      </c>
      <c r="J19" s="24">
        <f ca="1">IF(K19="按租金收入计税",ROUND(J6*M19/(1+'数据-取费表'!C42),2),ROUND(C29*M19*0.7,2))</f>
        <v>203.54</v>
      </c>
      <c r="K19" s="1554" t="s">
        <v>3093</v>
      </c>
      <c r="L19" s="308" t="s">
        <v>1386</v>
      </c>
      <c r="M19" s="328">
        <f>IF(K19="按租金收入计税",'数据-取费表'!B51,'数据-取费表'!B50)</f>
        <v>0.12</v>
      </c>
    </row>
    <row r="20" spans="1:37" s="1581" customFormat="1" ht="18" customHeight="1">
      <c r="A20" s="1113" t="s">
        <v>1007</v>
      </c>
      <c r="B20" s="308" t="s">
        <v>1403</v>
      </c>
      <c r="C20" s="24">
        <f ca="1">ROUND(C19*F20,0)</f>
        <v>71</v>
      </c>
      <c r="D20" s="329" t="s">
        <v>1404</v>
      </c>
      <c r="E20" s="308" t="s">
        <v>1386</v>
      </c>
      <c r="F20" s="328">
        <f>'数据-取费表'!B37</f>
        <v>0.02</v>
      </c>
      <c r="G20" s="1580"/>
      <c r="H20" s="1113" t="s">
        <v>1354</v>
      </c>
      <c r="I20" s="160" t="s">
        <v>1405</v>
      </c>
      <c r="J20" s="25">
        <f ca="1">ROUND(M20*M21/10000,2)</f>
        <v>2.99</v>
      </c>
      <c r="K20" s="330" t="s">
        <v>1406</v>
      </c>
      <c r="L20" s="308" t="s">
        <v>1407</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19918.64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1412</v>
      </c>
      <c r="C22" s="24"/>
      <c r="D22" s="136" t="str">
        <f>IF(F23&lt;=1,"单利计息。","复利计息。")&amp;"建造成本、管理费用、销售费用产生的利息。"</f>
        <v>单利计息。建造成本、管理费用、销售费用产生的利息。</v>
      </c>
      <c r="E22" s="1544"/>
      <c r="F22" s="26"/>
      <c r="G22" s="1568"/>
      <c r="H22" s="1113" t="s">
        <v>1007</v>
      </c>
      <c r="I22" s="308" t="s">
        <v>1413</v>
      </c>
      <c r="J22" s="24">
        <f ca="1">ROUND(J14*M22,1)</f>
        <v>22.9</v>
      </c>
      <c r="K22" s="1528" t="s">
        <v>1414</v>
      </c>
      <c r="L22" s="308" t="s">
        <v>1386</v>
      </c>
      <c r="M22" s="334">
        <f ca="1">INDIRECT("'数据-取费表'!Ak"&amp;$G$1)</f>
        <v>5.0000000000000001E-3</v>
      </c>
    </row>
    <row r="23" spans="1:37" s="1581" customFormat="1" ht="18" customHeight="1">
      <c r="A23" s="1113" t="s">
        <v>1002</v>
      </c>
      <c r="B23" s="308" t="s">
        <v>1415</v>
      </c>
      <c r="C23" s="24">
        <f ca="1">IF('数据-取费表'!B22&lt;=1,ROUND(C19*F24*F23/2,0)+ROUND(C20*F24*F23/2,0),ROUND(C19*(POWER((1+F24),F23/2)-1),0)+ROUND(C20*(POWER((1+F24),F23/2)-1),0))</f>
        <v>79</v>
      </c>
      <c r="D23" s="335" t="str">
        <f>IF(F23&lt;=1,"(建造成本+管理费用)×利率×(建设周期÷2)","(建造成本+管理费用)×((1+利率)^(建设周期÷2)-1)")</f>
        <v>(建造成本+管理费用)×利率×(建设周期÷2)</v>
      </c>
      <c r="E23" s="308" t="s">
        <v>1416</v>
      </c>
      <c r="F23" s="331">
        <f>'数据-取费表'!B20</f>
        <v>1</v>
      </c>
      <c r="G23" s="1580"/>
      <c r="H23" s="1113" t="s">
        <v>1043</v>
      </c>
      <c r="I23" s="308" t="s">
        <v>1417</v>
      </c>
      <c r="J23" s="24">
        <f ca="1">ROUND(J13*M23,1)</f>
        <v>3.4</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4.0000000000000002E-4</v>
      </c>
      <c r="D24" s="335" t="str">
        <f>IF(F23&lt;=1,"销售费用×利率×(建设周期÷2)","销售费用×((1+利率)^(建设周期÷2)-1)")</f>
        <v>销售费用×利率×(建设周期÷2)</v>
      </c>
      <c r="E24" s="308" t="s">
        <v>1422</v>
      </c>
      <c r="F24" s="337">
        <f ca="1">'数据-取费表'!B40</f>
        <v>4.3499999999999997E-2</v>
      </c>
      <c r="G24" s="1580"/>
      <c r="H24" s="1249" t="s">
        <v>1358</v>
      </c>
      <c r="I24" s="1250" t="s">
        <v>1403</v>
      </c>
      <c r="J24" s="1251">
        <f ca="1">ROUND(J5*M24,1)</f>
        <v>8.9</v>
      </c>
      <c r="K24" s="1252" t="s">
        <v>1423</v>
      </c>
      <c r="L24" s="1250" t="s">
        <v>1419</v>
      </c>
      <c r="M24" s="1246">
        <f ca="1">INDIRECT("'数据-取费表'!Am"&amp;$G$1)</f>
        <v>5.0000000000000001E-3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1448</v>
      </c>
      <c r="K25" s="1255" t="s">
        <v>1428</v>
      </c>
      <c r="L25" s="1256"/>
      <c r="M25" s="1257"/>
    </row>
    <row r="26" spans="1:37">
      <c r="A26" s="1113" t="s">
        <v>1002</v>
      </c>
      <c r="B26" s="308" t="s">
        <v>1429</v>
      </c>
      <c r="C26" s="24">
        <f ca="1">ROUND((C19+C20)*F26,0)</f>
        <v>543</v>
      </c>
      <c r="D26" s="329" t="s">
        <v>1430</v>
      </c>
      <c r="E26" s="319" t="s">
        <v>1431</v>
      </c>
      <c r="F26" s="318">
        <f ca="1">INDIRECT("'数据-取费表'!q"&amp;$G$1)</f>
        <v>0.15</v>
      </c>
      <c r="G26" s="1568"/>
      <c r="H26" s="305" t="s">
        <v>1000</v>
      </c>
      <c r="I26" s="306" t="s">
        <v>1432</v>
      </c>
      <c r="J26" s="307">
        <f ca="1">IF(J5&lt;&gt;0,ROUND(J25*(1-((1+M28)/(1+M26))^M27)/(M26-M28),0),0)</f>
        <v>19952</v>
      </c>
      <c r="K26" s="330" t="s">
        <v>1433</v>
      </c>
      <c r="L26" s="308" t="s">
        <v>1434</v>
      </c>
      <c r="M26" s="318">
        <f ca="1">INDIRECT("'数据-取费表'!I"&amp;$G$1)</f>
        <v>5.5E-2</v>
      </c>
    </row>
    <row r="27" spans="1:37" ht="18" customHeight="1">
      <c r="A27" s="1113" t="s">
        <v>1004</v>
      </c>
      <c r="B27" s="308" t="s">
        <v>1435</v>
      </c>
      <c r="C27" s="24">
        <f ca="1">ROUND(F21*F26,4)</f>
        <v>3.0000000000000001E-3</v>
      </c>
      <c r="D27" s="329" t="s">
        <v>1436</v>
      </c>
      <c r="E27" s="326"/>
      <c r="F27" s="327"/>
      <c r="G27" s="1568"/>
      <c r="H27" s="310"/>
      <c r="I27" s="311"/>
      <c r="J27" s="312"/>
      <c r="K27" s="338" t="s">
        <v>1437</v>
      </c>
      <c r="L27" s="308" t="s">
        <v>1438</v>
      </c>
      <c r="M27" s="339">
        <f ca="1">INDIRECT("'数据-取费表'!ag"&amp;$G$1)</f>
        <v>17.61</v>
      </c>
    </row>
    <row r="28" spans="1:37" s="1581" customFormat="1" ht="18" customHeight="1">
      <c r="A28" s="1113" t="s">
        <v>1005</v>
      </c>
      <c r="B28" s="308" t="s">
        <v>1439</v>
      </c>
      <c r="C28" s="24">
        <f>ROUND(F28/(1+'数据-取费表'!C42),4)</f>
        <v>5.2400000000000002E-2</v>
      </c>
      <c r="D28" s="329" t="s">
        <v>1440</v>
      </c>
      <c r="E28" s="308" t="s">
        <v>1386</v>
      </c>
      <c r="F28" s="328">
        <f>'数据-取费表'!B41</f>
        <v>5.5000000000000007E-2</v>
      </c>
      <c r="G28" s="1580"/>
      <c r="H28" s="314"/>
      <c r="I28" s="315"/>
      <c r="J28" s="316"/>
      <c r="K28" s="333"/>
      <c r="L28" s="308" t="s">
        <v>1441</v>
      </c>
      <c r="M28" s="318">
        <f ca="1">INDIRECT("'数据-取费表'!aa"&amp;$G$1)</f>
        <v>0.03</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4587</v>
      </c>
      <c r="D29" s="1252"/>
      <c r="E29" s="1250"/>
      <c r="F29" s="1253"/>
      <c r="G29" s="1580"/>
      <c r="H29" s="340" t="s">
        <v>1001</v>
      </c>
      <c r="I29" s="341" t="s">
        <v>1443</v>
      </c>
      <c r="J29" s="342">
        <f ca="1">ROUND(J26/(1+F40)^F41,0)</f>
        <v>13767</v>
      </c>
      <c r="K29" s="343" t="s">
        <v>1444</v>
      </c>
      <c r="L29" s="344"/>
      <c r="M29" s="345">
        <f ca="1">INDIRECT("'数据-取费表'!k"&amp;$G$1)</f>
        <v>12608.400000000001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204</v>
      </c>
      <c r="D30" s="1247" t="s">
        <v>1389</v>
      </c>
      <c r="E30" s="1248"/>
      <c r="F30" s="1204"/>
      <c r="G30" s="1568"/>
      <c r="H30" s="2924"/>
      <c r="I30" s="1582"/>
      <c r="J30" s="1583"/>
      <c r="K30" s="2699"/>
      <c r="L30" s="2925"/>
      <c r="M30" s="2926"/>
    </row>
    <row r="31" spans="1:37" ht="18" customHeight="1">
      <c r="A31" s="1113" t="s">
        <v>1003</v>
      </c>
      <c r="B31" s="308" t="s">
        <v>1393</v>
      </c>
      <c r="C31" s="2534">
        <f ca="1">ROUND(IF(AND(项目基本情况!B11="自然人",项目基本情况!B10="北京市"),C6*F31/(1+'数据-取费表'!C42),C32+C33+C34),0)</f>
        <v>172</v>
      </c>
      <c r="D31" s="1529" t="s">
        <v>1394</v>
      </c>
      <c r="E31" s="1528" t="s">
        <v>1445</v>
      </c>
      <c r="F31" s="2533" t="str">
        <f>IF(项目基本情况!B11="企业","——",IF('数据-取费表'!B10="住宅",IF(F6*F7*F8/12/(1+'数据-取费表'!F30)&gt;100000,4%,2.5%),IF(F6*F7*F8/12/(1+'数据-取费表'!F30)&gt;100000,12%,7%)))</f>
        <v>——</v>
      </c>
      <c r="G31" s="1568"/>
      <c r="H31" s="3037" t="s">
        <v>3055</v>
      </c>
      <c r="I31" s="1582"/>
      <c r="J31" s="1583"/>
      <c r="K31" s="2699"/>
      <c r="L31" s="2925"/>
      <c r="M31" s="2926"/>
    </row>
    <row r="32" spans="1:37" ht="18" customHeight="1">
      <c r="A32" s="1113" t="s">
        <v>1002</v>
      </c>
      <c r="B32" s="308" t="s">
        <v>1397</v>
      </c>
      <c r="C32" s="24">
        <f ca="1">IF(项目基本情况!B11="自然人","——",ROUND(C6*F32/(1+'数据-取费表'!C42),2))</f>
        <v>53.01</v>
      </c>
      <c r="D32" s="1528" t="s">
        <v>1398</v>
      </c>
      <c r="E32" s="308" t="s">
        <v>1386</v>
      </c>
      <c r="F32" s="337">
        <f>'数据-取费表'!B41</f>
        <v>5.5000000000000007E-2</v>
      </c>
      <c r="G32" s="1568"/>
      <c r="H32" s="2924"/>
      <c r="I32" s="1582"/>
      <c r="J32" s="1583"/>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115.66</v>
      </c>
      <c r="D33" s="1554" t="s">
        <v>3093</v>
      </c>
      <c r="E33" s="308" t="s">
        <v>1386</v>
      </c>
      <c r="F33" s="328">
        <f>IF(D33="按票据","——",IF(D33="按租金收入计税",'数据-取费表'!B51,'数据-取费表'!B50))</f>
        <v>0.12</v>
      </c>
      <c r="G33" s="1568"/>
      <c r="H33" s="2927"/>
      <c r="I33" s="1582"/>
      <c r="J33" s="1583"/>
      <c r="K33" s="2928"/>
      <c r="L33" s="2927"/>
      <c r="M33" s="2927"/>
    </row>
    <row r="34" spans="1:18" ht="18" customHeight="1">
      <c r="A34" s="1201" t="s">
        <v>1354</v>
      </c>
      <c r="B34" s="160" t="s">
        <v>1405</v>
      </c>
      <c r="C34" s="25">
        <f ca="1">IF(项目基本情况!B11="自然人","——",ROUND(F34*F35/10000,2))</f>
        <v>2.99</v>
      </c>
      <c r="D34" s="330" t="s">
        <v>1406</v>
      </c>
      <c r="E34" s="308" t="s">
        <v>1407</v>
      </c>
      <c r="F34" s="331">
        <f>'数据-取费表'!B52</f>
        <v>1.5</v>
      </c>
      <c r="G34" s="1568"/>
      <c r="H34" s="2924"/>
      <c r="I34" s="1582"/>
      <c r="J34" s="1583"/>
      <c r="K34" s="2929"/>
      <c r="L34" s="2930"/>
      <c r="M34" s="2930"/>
    </row>
    <row r="35" spans="1:18" ht="18" customHeight="1">
      <c r="A35" s="1263"/>
      <c r="B35" s="1261"/>
      <c r="C35" s="29"/>
      <c r="D35" s="333"/>
      <c r="E35" s="308" t="s">
        <v>1411</v>
      </c>
      <c r="F35" s="309">
        <f ca="1">INDIRECT("'数据-取费表'!r"&amp;$G$1)</f>
        <v>19918.64</v>
      </c>
      <c r="G35" s="1568"/>
      <c r="H35" s="2924"/>
      <c r="I35" s="1582"/>
      <c r="J35" s="1583"/>
      <c r="K35" s="2928"/>
      <c r="L35" s="2927"/>
      <c r="M35" s="2927"/>
    </row>
    <row r="36" spans="1:18" ht="18" customHeight="1">
      <c r="A36" s="1262" t="s">
        <v>1007</v>
      </c>
      <c r="B36" s="308" t="s">
        <v>1413</v>
      </c>
      <c r="C36" s="24">
        <f ca="1">ROUND(C29*F36,1)</f>
        <v>22.9</v>
      </c>
      <c r="D36" s="1528" t="s">
        <v>1446</v>
      </c>
      <c r="E36" s="308" t="s">
        <v>1386</v>
      </c>
      <c r="F36" s="334">
        <f ca="1">INDIRECT("'数据-取费表'!Ak"&amp;$G$1)</f>
        <v>5.0000000000000001E-3</v>
      </c>
      <c r="G36" s="1568"/>
      <c r="H36" s="2927"/>
      <c r="I36" s="1582"/>
      <c r="J36" s="1583"/>
      <c r="K36" s="2768"/>
      <c r="L36" s="2927"/>
      <c r="M36" s="2927"/>
    </row>
    <row r="37" spans="1:18" ht="18" customHeight="1">
      <c r="A37" s="1113" t="s">
        <v>1043</v>
      </c>
      <c r="B37" s="308" t="s">
        <v>1417</v>
      </c>
      <c r="C37" s="24">
        <f ca="1">ROUND(C13*F37,1)</f>
        <v>3.7</v>
      </c>
      <c r="D37" s="1528" t="s">
        <v>1418</v>
      </c>
      <c r="E37" s="308" t="s">
        <v>1419</v>
      </c>
      <c r="F37" s="336">
        <f ca="1">INDIRECT("'数据-取费表'!Al"&amp;$G$1)</f>
        <v>1E-3</v>
      </c>
      <c r="G37" s="1568"/>
      <c r="H37" s="2927"/>
      <c r="I37" s="1582"/>
      <c r="J37" s="1583"/>
      <c r="K37" s="2768"/>
      <c r="L37" s="2927"/>
      <c r="M37" s="2927"/>
    </row>
    <row r="38" spans="1:18" ht="18" customHeight="1" thickBot="1">
      <c r="A38" s="1249" t="s">
        <v>1358</v>
      </c>
      <c r="B38" s="1250" t="s">
        <v>1403</v>
      </c>
      <c r="C38" s="1251">
        <f ca="1">ROUND(C5*F38,1)</f>
        <v>5.0999999999999996</v>
      </c>
      <c r="D38" s="1252" t="s">
        <v>1423</v>
      </c>
      <c r="E38" s="1250" t="s">
        <v>1419</v>
      </c>
      <c r="F38" s="1246">
        <f ca="1">INDIRECT("'数据-取费表'!Am"&amp;$G$1)</f>
        <v>5.0000000000000001E-3</v>
      </c>
      <c r="G38" s="1568"/>
      <c r="H38" s="2927"/>
      <c r="I38" s="1582"/>
      <c r="J38" s="1583"/>
      <c r="K38" s="2931"/>
      <c r="L38" s="2927"/>
      <c r="M38" s="2927"/>
    </row>
    <row r="39" spans="1:18" ht="24.6" customHeight="1" thickTop="1">
      <c r="A39" s="1239" t="s">
        <v>999</v>
      </c>
      <c r="B39" s="1254" t="s">
        <v>1447</v>
      </c>
      <c r="C39" s="316">
        <f ca="1">C5-C30</f>
        <v>809</v>
      </c>
      <c r="D39" s="1255" t="s">
        <v>1448</v>
      </c>
      <c r="E39" s="1256"/>
      <c r="F39" s="1257"/>
      <c r="G39" s="1568"/>
      <c r="H39" s="2927"/>
      <c r="I39" s="1582"/>
      <c r="J39" s="1583"/>
      <c r="K39" s="2931"/>
      <c r="L39" s="2927"/>
      <c r="M39" s="2927"/>
    </row>
    <row r="40" spans="1:18" ht="18" customHeight="1">
      <c r="A40" s="305" t="s">
        <v>1000</v>
      </c>
      <c r="B40" s="306" t="s">
        <v>1449</v>
      </c>
      <c r="C40" s="307">
        <f ca="1">ROUND(C39*(1-((1+F42)/(1+F40))^F41)/(F40-F42),0)</f>
        <v>4560</v>
      </c>
      <c r="D40" s="330" t="s">
        <v>1433</v>
      </c>
      <c r="E40" s="308" t="s">
        <v>1434</v>
      </c>
      <c r="F40" s="318">
        <f ca="1">INDIRECT("'数据-取费表'!I"&amp;$G$1)</f>
        <v>5.5E-2</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6.93</v>
      </c>
      <c r="G41" s="1568"/>
      <c r="H41" s="1353"/>
      <c r="I41" s="1582"/>
      <c r="J41" s="1583"/>
      <c r="K41" s="2768"/>
      <c r="L41" s="1353"/>
      <c r="M41" s="1353"/>
    </row>
    <row r="42" spans="1:18" ht="18" customHeight="1">
      <c r="A42" s="314"/>
      <c r="B42" s="315"/>
      <c r="C42" s="316"/>
      <c r="D42" s="333"/>
      <c r="E42" s="308" t="s">
        <v>1441</v>
      </c>
      <c r="F42" s="318">
        <f ca="1">INDIRECT("'数据-取费表'!v"&amp;$G$1)</f>
        <v>0</v>
      </c>
      <c r="G42" s="1568"/>
      <c r="H42" s="1353"/>
      <c r="I42" s="1582"/>
      <c r="J42" s="1583"/>
      <c r="K42" s="2768"/>
      <c r="L42" s="1353"/>
      <c r="M42" s="1353"/>
    </row>
    <row r="43" spans="1:18" ht="18" customHeight="1" thickBot="1">
      <c r="A43" s="340" t="s">
        <v>1001</v>
      </c>
      <c r="B43" s="341" t="s">
        <v>1451</v>
      </c>
      <c r="C43" s="342">
        <f ca="1">ROUND(C40*10000/F43,0)</f>
        <v>3617</v>
      </c>
      <c r="D43" s="343" t="s">
        <v>1452</v>
      </c>
      <c r="E43" s="344" t="s">
        <v>1453</v>
      </c>
      <c r="F43" s="345">
        <f ca="1">INDIRECT("'数据-取费表'!k"&amp;$G$1)</f>
        <v>12608.400000000001</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1483</v>
      </c>
      <c r="P45" s="1645"/>
      <c r="Q45" s="1645"/>
      <c r="R45" s="1645"/>
    </row>
    <row r="46" spans="1:18" s="1568" customFormat="1" ht="13.5" thickBot="1">
      <c r="A46" s="1588" t="s">
        <v>1484</v>
      </c>
      <c r="C46" s="1589">
        <f ca="1">C68-C40</f>
        <v>2624</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1361</v>
      </c>
      <c r="B47" s="1109" t="s">
        <v>1362</v>
      </c>
      <c r="C47" s="1277" t="s">
        <v>1363</v>
      </c>
      <c r="D47" s="1109" t="s">
        <v>1364</v>
      </c>
      <c r="E47" s="1189" t="s">
        <v>1365</v>
      </c>
      <c r="F47" s="1190"/>
      <c r="G47" s="731"/>
      <c r="I47" s="1598" t="s">
        <v>1490</v>
      </c>
      <c r="J47" s="1599" t="s">
        <v>3085</v>
      </c>
      <c r="K47" s="1600" t="s">
        <v>1491</v>
      </c>
      <c r="L47" s="1601">
        <f ca="1">INDIRECT("'数据-取费表'!d"&amp;$G$1)</f>
        <v>50</v>
      </c>
      <c r="M47" s="1564" t="str">
        <f>IF(ISNUMBER(FIND("住宅",C1)),"住宅","非住宅")</f>
        <v>非住宅</v>
      </c>
      <c r="O47" s="1602" t="s">
        <v>1008</v>
      </c>
      <c r="P47" s="1603" t="s">
        <v>1492</v>
      </c>
      <c r="Q47" s="1604">
        <f ca="1">C40+J29</f>
        <v>18327</v>
      </c>
      <c r="R47" s="1604" t="s">
        <v>1493</v>
      </c>
    </row>
    <row r="48" spans="1:18" s="1568" customFormat="1" ht="28.5" thickBot="1">
      <c r="A48" s="1270" t="s">
        <v>1103</v>
      </c>
      <c r="B48" s="306" t="s">
        <v>1366</v>
      </c>
      <c r="C48" s="1543">
        <f ca="1">C49+C53+C55</f>
        <v>1452</v>
      </c>
      <c r="D48" s="1272"/>
      <c r="E48" s="1273"/>
      <c r="F48" s="1093"/>
      <c r="G48" s="731"/>
      <c r="H48" s="732"/>
      <c r="I48" s="1605" t="s">
        <v>1494</v>
      </c>
      <c r="J48" s="1606" t="s">
        <v>3094</v>
      </c>
      <c r="K48" s="1607" t="s">
        <v>1495</v>
      </c>
      <c r="L48" s="1608">
        <f ca="1">INDIRECT("'数据-取费表'!f"&amp;$G$1)</f>
        <v>24.54</v>
      </c>
      <c r="O48" s="1602" t="s">
        <v>1009</v>
      </c>
      <c r="P48" s="1603" t="s">
        <v>1496</v>
      </c>
      <c r="Q48" s="1604" t="str">
        <f ca="1">J60</f>
        <v>0</v>
      </c>
      <c r="R48" s="1604" t="s">
        <v>1497</v>
      </c>
    </row>
    <row r="49" spans="1:18" s="1568" customFormat="1" ht="13.5" thickBot="1">
      <c r="A49" s="1106" t="s">
        <v>1104</v>
      </c>
      <c r="B49" s="1555" t="s">
        <v>1454</v>
      </c>
      <c r="C49" s="1274">
        <f ca="1">ROUND(F49*F51*F50*(1-F52)/10000,0)</f>
        <v>1450</v>
      </c>
      <c r="D49" s="1186" t="s">
        <v>2849</v>
      </c>
      <c r="E49" s="1556" t="s">
        <v>1455</v>
      </c>
      <c r="F49" s="1191">
        <v>3.5</v>
      </c>
      <c r="G49" s="1609"/>
      <c r="H49" s="732"/>
      <c r="I49" s="1605" t="s">
        <v>1498</v>
      </c>
      <c r="J49" s="1610"/>
      <c r="K49" s="1607" t="s">
        <v>1499</v>
      </c>
      <c r="L49" s="1611"/>
      <c r="O49" s="1612" t="s">
        <v>1010</v>
      </c>
      <c r="P49" s="1603" t="s">
        <v>1500</v>
      </c>
      <c r="Q49" s="1604">
        <f ca="1">C29</f>
        <v>4587</v>
      </c>
      <c r="R49" s="1604" t="s">
        <v>1493</v>
      </c>
    </row>
    <row r="50" spans="1:18" s="1568" customFormat="1" ht="13.5" thickBot="1">
      <c r="A50" s="1107"/>
      <c r="B50" s="1110"/>
      <c r="C50" s="1278"/>
      <c r="D50" s="1084"/>
      <c r="E50" s="1187" t="s">
        <v>1371</v>
      </c>
      <c r="F50" s="1188">
        <f ca="1">F7</f>
        <v>12608.400000000001</v>
      </c>
      <c r="H50" s="732"/>
      <c r="I50" s="1605" t="s">
        <v>1501</v>
      </c>
      <c r="J50" s="1613">
        <f>SUMPRODUCT((I63:I65=J47)*(J62:L62=J48)*(J63:L65))</f>
        <v>80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1372</v>
      </c>
      <c r="F51" s="309">
        <f ca="1">F8</f>
        <v>365</v>
      </c>
      <c r="I51" s="1616" t="s">
        <v>1504</v>
      </c>
      <c r="J51" s="1617">
        <f>IF(J49="",J50,J49+J50-YEAR('数据-取费表'!B2))</f>
        <v>80</v>
      </c>
      <c r="K51" s="1618" t="s">
        <v>1505</v>
      </c>
      <c r="L51" s="1619">
        <f ca="1">ROUND(-PV(INDIRECT("'数据-取费表'!h"&amp;$G$1),J51,(C39-C13*C76),0),0)</f>
        <v>9740</v>
      </c>
      <c r="M51" s="1620"/>
      <c r="O51" s="1612" t="s">
        <v>1012</v>
      </c>
      <c r="P51" s="1603" t="s">
        <v>1506</v>
      </c>
      <c r="Q51" s="1615">
        <f>J52</f>
        <v>0</v>
      </c>
      <c r="R51" s="1604"/>
    </row>
    <row r="52" spans="1:18" s="1568" customFormat="1" ht="13.5" thickBot="1">
      <c r="A52" s="1108"/>
      <c r="B52" s="1110"/>
      <c r="C52" s="1111"/>
      <c r="D52" s="1084"/>
      <c r="E52" s="1112" t="s">
        <v>1373</v>
      </c>
      <c r="F52" s="1185">
        <v>0.1</v>
      </c>
      <c r="I52" s="1621" t="s">
        <v>1507</v>
      </c>
      <c r="J52" s="1622"/>
      <c r="K52" s="1621" t="s">
        <v>1508</v>
      </c>
      <c r="L52" s="1622"/>
      <c r="O52" s="1612" t="s">
        <v>1013</v>
      </c>
      <c r="P52" s="1603" t="s">
        <v>1509</v>
      </c>
      <c r="Q52" s="1604">
        <f ca="1">J53</f>
        <v>24.54</v>
      </c>
      <c r="R52" s="1604" t="s">
        <v>1510</v>
      </c>
    </row>
    <row r="53" spans="1:18" s="1568" customFormat="1" ht="24.75" thickBot="1">
      <c r="A53" s="1314" t="s">
        <v>1105</v>
      </c>
      <c r="B53" s="1557" t="s">
        <v>1374</v>
      </c>
      <c r="C53" s="322">
        <f ca="1">ROUND(IF(F53="押一",C49/12*F11,IF(F53="押二",C49/12*2*F11,IF(F53="押三",C49/12*3*F11,C54*F11))),0)</f>
        <v>2</v>
      </c>
      <c r="D53" s="1550" t="s">
        <v>2855</v>
      </c>
      <c r="E53" s="319" t="s">
        <v>1375</v>
      </c>
      <c r="F53" s="1276" t="s">
        <v>3092</v>
      </c>
      <c r="I53" s="1623" t="s">
        <v>1511</v>
      </c>
      <c r="J53" s="2386">
        <f ca="1">IF(M47="住宅",IF(D1="——",MAX(J51,L48),MAX(J51,L48-'数据-取费表'!B24)),IF(D1="——",MIN(J51,L48),MIN(J51,L48-'数据-取费表'!B24)))</f>
        <v>24.54</v>
      </c>
      <c r="K53" s="3285" t="s">
        <v>1512</v>
      </c>
      <c r="L53" s="3286"/>
      <c r="O53" s="1602" t="s">
        <v>1014</v>
      </c>
      <c r="P53" s="1603" t="s">
        <v>1513</v>
      </c>
      <c r="Q53" s="1604">
        <f ca="1">Q47+Q48</f>
        <v>18327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3670</v>
      </c>
      <c r="D56" s="1631"/>
      <c r="E56" s="1632"/>
      <c r="F56" s="1624"/>
      <c r="I56" s="1633" t="s">
        <v>1518</v>
      </c>
      <c r="J56" s="1634" t="s">
        <v>3071</v>
      </c>
      <c r="K56" s="1605" t="s">
        <v>1519</v>
      </c>
      <c r="L56" s="1608" t="str">
        <f ca="1">IF(L48&lt;J51,"——",L48-J53)</f>
        <v>——</v>
      </c>
      <c r="O56" s="1602" t="s">
        <v>1008</v>
      </c>
      <c r="P56" s="1603" t="s">
        <v>1492</v>
      </c>
      <c r="Q56" s="1604">
        <f ca="1">C40+J29</f>
        <v>18327</v>
      </c>
      <c r="R56" s="1604" t="s">
        <v>1493</v>
      </c>
    </row>
    <row r="57" spans="1:18" s="1568" customFormat="1" ht="24.75" thickBot="1">
      <c r="A57" s="1635"/>
      <c r="B57" s="1081" t="s">
        <v>1442</v>
      </c>
      <c r="C57" s="244">
        <f ca="1">C29</f>
        <v>4587</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279</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245</v>
      </c>
      <c r="D59" s="1094" t="s">
        <v>1394</v>
      </c>
      <c r="E59" s="1095"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76.06</v>
      </c>
      <c r="D60" s="1095" t="s">
        <v>1398</v>
      </c>
      <c r="E60" s="1081" t="s">
        <v>1386</v>
      </c>
      <c r="F60" s="337">
        <f t="shared" ref="F60:F66" si="0">F32</f>
        <v>5.5000000000000007E-2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165.71</v>
      </c>
      <c r="D61" s="1554" t="s">
        <v>3093</v>
      </c>
      <c r="E61" s="1081" t="s">
        <v>1458</v>
      </c>
      <c r="F61" s="328">
        <f t="shared" si="0"/>
        <v>0.12</v>
      </c>
      <c r="I61" s="1645"/>
      <c r="J61" s="1645"/>
      <c r="K61" s="1645"/>
      <c r="L61" s="1645"/>
      <c r="O61" s="1612" t="s">
        <v>1013</v>
      </c>
      <c r="P61" s="1603" t="str">
        <f>K59</f>
        <v>建筑物剩余耐用年限下的土地年期修正系数Kn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2.99</v>
      </c>
      <c r="D62" s="1096" t="s">
        <v>1461</v>
      </c>
      <c r="E62" s="1081" t="s">
        <v>1462</v>
      </c>
      <c r="F62" s="331">
        <f t="shared" si="0"/>
        <v>1.5</v>
      </c>
      <c r="I62" s="1646" t="s">
        <v>1534</v>
      </c>
      <c r="J62" s="1647" t="s">
        <v>1535</v>
      </c>
      <c r="K62" s="1647" t="s">
        <v>1536</v>
      </c>
      <c r="L62" s="1647" t="s">
        <v>1537</v>
      </c>
      <c r="M62" s="1648" t="s">
        <v>1538</v>
      </c>
      <c r="O62" s="1602" t="s">
        <v>1014</v>
      </c>
      <c r="P62" s="1603" t="s">
        <v>1539</v>
      </c>
      <c r="Q62" s="1604">
        <f ca="1">Q56+Q57</f>
        <v>18327</v>
      </c>
      <c r="R62" s="1604" t="s">
        <v>1015</v>
      </c>
    </row>
    <row r="63" spans="1:18" s="1568" customFormat="1" ht="13.5" thickBot="1">
      <c r="A63" s="332"/>
      <c r="B63" s="1087"/>
      <c r="C63" s="29"/>
      <c r="D63" s="1097"/>
      <c r="E63" s="1081" t="s">
        <v>1463</v>
      </c>
      <c r="F63" s="309">
        <f t="shared" ca="1" si="0"/>
        <v>19918.64</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22.9</v>
      </c>
      <c r="D64" s="1095" t="s">
        <v>1466</v>
      </c>
      <c r="E64" s="1081" t="s">
        <v>1458</v>
      </c>
      <c r="F64" s="334">
        <f t="shared" ca="1" si="0"/>
        <v>5.0000000000000001E-3</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3.7</v>
      </c>
      <c r="D65" s="1095" t="s">
        <v>1418</v>
      </c>
      <c r="E65" s="1081" t="s">
        <v>1419</v>
      </c>
      <c r="F65" s="336">
        <f t="shared" ca="1" si="0"/>
        <v>1E-3</v>
      </c>
      <c r="I65" s="1646" t="s">
        <v>1543</v>
      </c>
      <c r="J65" s="1647">
        <v>40</v>
      </c>
      <c r="K65" s="1647">
        <v>30</v>
      </c>
      <c r="L65" s="1647">
        <v>50</v>
      </c>
      <c r="M65" s="1649">
        <v>0.02</v>
      </c>
      <c r="O65" s="1602" t="s">
        <v>1008</v>
      </c>
      <c r="P65" s="1603" t="s">
        <v>1544</v>
      </c>
      <c r="Q65" s="1604">
        <f ca="1">C40+J29</f>
        <v>18327</v>
      </c>
      <c r="R65" s="1604" t="s">
        <v>1493</v>
      </c>
    </row>
    <row r="66" spans="1:18" s="1568" customFormat="1" ht="16.5" thickBot="1">
      <c r="A66" s="1113" t="s">
        <v>1468</v>
      </c>
      <c r="B66" s="1081" t="s">
        <v>1403</v>
      </c>
      <c r="C66" s="24">
        <f ca="1">ROUND(C48*F66,1)</f>
        <v>7.3</v>
      </c>
      <c r="D66" s="1095" t="s">
        <v>1469</v>
      </c>
      <c r="E66" s="1081" t="s">
        <v>1386</v>
      </c>
      <c r="F66" s="318">
        <f t="shared" ca="1" si="0"/>
        <v>5.0000000000000001E-3</v>
      </c>
      <c r="O66" s="1602" t="s">
        <v>1009</v>
      </c>
      <c r="P66" s="1603" t="s">
        <v>1522</v>
      </c>
      <c r="Q66" s="1604">
        <f ca="1">L60</f>
        <v>0</v>
      </c>
      <c r="R66" s="1604" t="s">
        <v>1545</v>
      </c>
    </row>
    <row r="67" spans="1:18" s="1568" customFormat="1" ht="16.5" thickBot="1">
      <c r="A67" s="1088" t="s">
        <v>999</v>
      </c>
      <c r="B67" s="1098" t="s">
        <v>1427</v>
      </c>
      <c r="C67" s="322">
        <f ca="1">C48-C58</f>
        <v>1173</v>
      </c>
      <c r="D67" s="1094" t="s">
        <v>1428</v>
      </c>
      <c r="E67" s="1099"/>
      <c r="F67" s="1100"/>
      <c r="O67" s="1612" t="s">
        <v>1010</v>
      </c>
      <c r="P67" s="1603" t="s">
        <v>1526</v>
      </c>
      <c r="Q67" s="1650">
        <f ca="1">L51</f>
        <v>9740</v>
      </c>
      <c r="R67" s="1604" t="s">
        <v>1546</v>
      </c>
    </row>
    <row r="68" spans="1:18" s="1568" customFormat="1" ht="16.5" thickBot="1">
      <c r="A68" s="1078" t="s">
        <v>1000</v>
      </c>
      <c r="B68" s="1079" t="s">
        <v>1449</v>
      </c>
      <c r="C68" s="307">
        <f ca="1">ROUND(C67*(1-((1+F70)/(1+F68))^F69)/(F68-F70),0)</f>
        <v>7184</v>
      </c>
      <c r="D68" s="1096" t="s">
        <v>1433</v>
      </c>
      <c r="E68" s="1081" t="s">
        <v>1434</v>
      </c>
      <c r="F68" s="318">
        <f ca="1">F40</f>
        <v>5.5E-2</v>
      </c>
      <c r="O68" s="1612" t="s">
        <v>1011</v>
      </c>
      <c r="P68" s="1651" t="s">
        <v>1547</v>
      </c>
      <c r="Q68" s="1604">
        <f ca="1">ROUND(Q69-Q70*Q71,0)</f>
        <v>497</v>
      </c>
      <c r="R68" s="1604" t="s">
        <v>1019</v>
      </c>
    </row>
    <row r="69" spans="1:18" s="1568" customFormat="1" ht="13.5" thickBot="1">
      <c r="A69" s="1082"/>
      <c r="B69" s="1083"/>
      <c r="C69" s="312"/>
      <c r="D69" s="1101" t="s">
        <v>1437</v>
      </c>
      <c r="E69" s="1081" t="s">
        <v>1438</v>
      </c>
      <c r="F69" s="339">
        <f ca="1">F41</f>
        <v>6.93</v>
      </c>
      <c r="O69" s="1612" t="s">
        <v>1016</v>
      </c>
      <c r="P69" s="1651" t="s">
        <v>1548</v>
      </c>
      <c r="Q69" s="1604">
        <f ca="1">C39</f>
        <v>809</v>
      </c>
      <c r="R69" s="1604" t="s">
        <v>1493</v>
      </c>
    </row>
    <row r="70" spans="1:18" s="1568" customFormat="1" ht="13.5" thickBot="1">
      <c r="A70" s="1085"/>
      <c r="B70" s="1086"/>
      <c r="C70" s="316"/>
      <c r="D70" s="1097"/>
      <c r="E70" s="1081" t="s">
        <v>1441</v>
      </c>
      <c r="F70" s="1185">
        <v>0.03</v>
      </c>
      <c r="O70" s="1612" t="s">
        <v>1017</v>
      </c>
      <c r="P70" s="1651" t="s">
        <v>1549</v>
      </c>
      <c r="Q70" s="1604">
        <f ca="1">C13</f>
        <v>3670</v>
      </c>
      <c r="R70" s="1604" t="s">
        <v>1493</v>
      </c>
    </row>
    <row r="71" spans="1:18" s="1568" customFormat="1" ht="13.5" thickBot="1">
      <c r="A71" s="1102" t="s">
        <v>1001</v>
      </c>
      <c r="B71" s="1103" t="s">
        <v>1451</v>
      </c>
      <c r="C71" s="342">
        <f ca="1">ROUND(C68*10000/F71,0)</f>
        <v>5698</v>
      </c>
      <c r="D71" s="1104" t="s">
        <v>1452</v>
      </c>
      <c r="E71" s="1105" t="s">
        <v>1453</v>
      </c>
      <c r="F71" s="345">
        <f ca="1">F43</f>
        <v>12608.400000000001</v>
      </c>
      <c r="O71" s="1612" t="s">
        <v>1018</v>
      </c>
      <c r="P71" s="1651" t="s">
        <v>1550</v>
      </c>
      <c r="Q71" s="1615">
        <f ca="1">C76</f>
        <v>8.5000000000000006E-2</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建筑物剩余耐用年限下的土地年期修正系数Kn</v>
      </c>
      <c r="Q74" s="1604" t="e">
        <f ca="1">L59</f>
        <v>#DIV/0!</v>
      </c>
      <c r="R74" s="1604" t="s">
        <v>1533</v>
      </c>
    </row>
    <row r="75" spans="1:18" ht="13.5" thickBot="1">
      <c r="A75" s="1568"/>
      <c r="B75" s="346" t="s">
        <v>1470</v>
      </c>
      <c r="C75" s="347">
        <f ca="1">ROUND(C13*C76,0)</f>
        <v>312</v>
      </c>
      <c r="D75" s="1568"/>
      <c r="E75" s="1568"/>
      <c r="F75" s="1568"/>
      <c r="K75" s="1586"/>
      <c r="L75" s="1568"/>
      <c r="O75" s="1602" t="s">
        <v>1014</v>
      </c>
      <c r="P75" s="1603" t="s">
        <v>1513</v>
      </c>
      <c r="Q75" s="1604">
        <f ca="1">Q65+Q66</f>
        <v>18327</v>
      </c>
      <c r="R75" s="1604" t="s">
        <v>1015</v>
      </c>
    </row>
    <row r="76" spans="1:18">
      <c r="B76" s="348" t="s">
        <v>1471</v>
      </c>
      <c r="C76" s="349">
        <f ca="1">INDIRECT("'数据-取费表'!j"&amp;$G$1)</f>
        <v>8.5000000000000006E-2</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0.61399999999999999</v>
      </c>
    </row>
    <row r="80" spans="1:18">
      <c r="B80" s="346" t="s">
        <v>1475</v>
      </c>
      <c r="C80" s="280">
        <f ca="1">ROUND(C75/C39,3)</f>
        <v>0.38600000000000001</v>
      </c>
    </row>
    <row r="81" spans="2:3">
      <c r="B81" s="276" t="s">
        <v>1476</v>
      </c>
      <c r="C81" s="244"/>
    </row>
    <row r="82" spans="2:3">
      <c r="B82" s="279" t="s">
        <v>1477</v>
      </c>
      <c r="C82" s="281">
        <f ca="1">1-C83</f>
        <v>0.19499999999999995</v>
      </c>
    </row>
    <row r="83" spans="2:3">
      <c r="B83" s="279" t="s">
        <v>1478</v>
      </c>
      <c r="C83" s="280">
        <f ca="1">ROUND(C13/C40,3)</f>
        <v>0.80500000000000005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3"/>
      <c r="H2" s="2922"/>
      <c r="I2" s="2922"/>
      <c r="J2" s="2922"/>
      <c r="K2" s="2923"/>
      <c r="L2" s="2922"/>
      <c r="M2" s="2922"/>
    </row>
    <row r="3" spans="1:37" ht="18" customHeight="1" thickBot="1">
      <c r="A3" s="1574" t="s">
        <v>1557</v>
      </c>
      <c r="B3" s="1575">
        <f ca="1">IF(ISERROR(D2/F43),0,ROUND(D2/F43,0))</f>
        <v>0</v>
      </c>
      <c r="C3" s="1571" t="s">
        <v>1558</v>
      </c>
      <c r="D3" s="1571"/>
      <c r="E3" s="1572"/>
      <c r="F3" s="1573"/>
      <c r="G3" s="293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287" t="s">
        <v>1368</v>
      </c>
      <c r="C6" s="1206">
        <f ca="1">ROUND(F6*F8*F7*(1-F9),0)</f>
        <v>0</v>
      </c>
      <c r="D6" s="160" t="s">
        <v>2845</v>
      </c>
      <c r="E6" s="308" t="s">
        <v>1370</v>
      </c>
      <c r="F6" s="309">
        <f ca="1">INDIRECT("'数据-取费表'!u"&amp;$G$1)</f>
        <v>0</v>
      </c>
      <c r="G6" s="1568"/>
      <c r="H6" s="1201" t="s">
        <v>1003</v>
      </c>
      <c r="I6" s="3287" t="s">
        <v>1368</v>
      </c>
      <c r="J6" s="307">
        <f ca="1">ROUND(M6*M8*M7*(1-M9),0)</f>
        <v>0</v>
      </c>
      <c r="K6" s="1560" t="s">
        <v>2846</v>
      </c>
      <c r="L6" s="308" t="s">
        <v>1370</v>
      </c>
      <c r="M6" s="309">
        <f ca="1">INDIRECT("'数据-取费表'!z"&amp;$G$1)</f>
        <v>0</v>
      </c>
    </row>
    <row r="7" spans="1:37" ht="18" customHeight="1">
      <c r="A7" s="1205"/>
      <c r="B7" s="3288"/>
      <c r="C7" s="1207"/>
      <c r="D7" s="313"/>
      <c r="E7" s="1208" t="s">
        <v>1371</v>
      </c>
      <c r="F7" s="309">
        <f ca="1">IF(INDIRECT("'数据-取费表'!ah"&amp;$G$1)="",INDIRECT("'数据-取费表'!k"&amp;$G$1),INDIRECT("'数据-取费表'!ah"&amp;$G$1))</f>
        <v>0</v>
      </c>
      <c r="G7" s="1568"/>
      <c r="H7" s="310"/>
      <c r="I7" s="3288"/>
      <c r="J7" s="312"/>
      <c r="K7" s="313"/>
      <c r="L7" s="308" t="s">
        <v>1371</v>
      </c>
      <c r="M7" s="309">
        <f ca="1">F7</f>
        <v>0</v>
      </c>
    </row>
    <row r="8" spans="1:37" ht="18" customHeight="1">
      <c r="A8" s="310"/>
      <c r="B8" s="3288"/>
      <c r="C8" s="312"/>
      <c r="D8" s="313"/>
      <c r="E8" s="308" t="s">
        <v>1372</v>
      </c>
      <c r="F8" s="309">
        <f ca="1">INDIRECT("'数据-取费表'!ai"&amp;$G$1)</f>
        <v>0</v>
      </c>
      <c r="G8" s="1568"/>
      <c r="H8" s="310"/>
      <c r="I8" s="3288"/>
      <c r="J8" s="312"/>
      <c r="K8" s="313"/>
      <c r="L8" s="308" t="s">
        <v>1372</v>
      </c>
      <c r="M8" s="309">
        <f ca="1">INDIRECT("'数据-取费表'!ai"&amp;$G$1)</f>
        <v>0</v>
      </c>
    </row>
    <row r="9" spans="1:37" ht="18" customHeight="1">
      <c r="A9" s="310"/>
      <c r="B9" s="3289"/>
      <c r="C9" s="312"/>
      <c r="D9" s="313"/>
      <c r="E9" s="308" t="s">
        <v>1373</v>
      </c>
      <c r="F9" s="318">
        <f ca="1">INDIRECT("'数据-取费表'!w"&amp;$G$1)</f>
        <v>0</v>
      </c>
      <c r="G9" s="1568"/>
      <c r="H9" s="310"/>
      <c r="I9" s="328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0.03</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1355</v>
      </c>
      <c r="B17" s="308" t="s">
        <v>1390</v>
      </c>
      <c r="C17" s="24">
        <f ca="1">ROUND(F17*(F43+INDIRECT("'数据-取费表'!S"&amp;$G$1)),0)</f>
        <v>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1354</v>
      </c>
      <c r="I20" s="160" t="s">
        <v>1405</v>
      </c>
      <c r="J20" s="25">
        <f ca="1">ROUND(M20*M21,0)</f>
        <v>0</v>
      </c>
      <c r="K20" s="330" t="s">
        <v>1406</v>
      </c>
      <c r="L20" s="308" t="s">
        <v>1407</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1412</v>
      </c>
      <c r="C22" s="24"/>
      <c r="D22" s="136" t="str">
        <f>IF(F23&lt;=1,"单利计息。","复利计息。")&amp;"建造成本、管理费用、销售费用产生的利息。"</f>
        <v>单利计息。建造成本、管理费用、销售费用产生的利息。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1416</v>
      </c>
      <c r="F23" s="331">
        <f>'数据-取费表'!B20</f>
        <v>1</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4.0000000000000002E-4</v>
      </c>
      <c r="D24" s="335" t="str">
        <f>IF(F23&lt;=1,"销售费用×利率×(建设周期÷2)","销售费用×((1+利率)^(建设周期÷2)-1)")</f>
        <v>销售费用×利率×(建设周期÷2)</v>
      </c>
      <c r="E24" s="308" t="s">
        <v>1422</v>
      </c>
      <c r="F24" s="337">
        <f ca="1">'数据-取费表'!B40</f>
        <v>4.3499999999999997E-2</v>
      </c>
      <c r="G24" s="1580"/>
      <c r="H24" s="1249" t="s">
        <v>1358</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5.2400000000000002E-2</v>
      </c>
      <c r="D28" s="329" t="s">
        <v>1440</v>
      </c>
      <c r="E28" s="308" t="s">
        <v>1386</v>
      </c>
      <c r="F28" s="328">
        <f>'数据-取费表'!B41</f>
        <v>5.5000000000000007E-2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24"/>
      <c r="I30" s="1582"/>
      <c r="J30" s="1583"/>
      <c r="K30" s="2699"/>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3055</v>
      </c>
      <c r="I31" s="1582"/>
      <c r="J31" s="1583"/>
      <c r="K31" s="2699"/>
      <c r="L31" s="2925"/>
      <c r="M31" s="2926"/>
    </row>
    <row r="32" spans="1:37" ht="18" customHeight="1">
      <c r="A32" s="1113" t="s">
        <v>1002</v>
      </c>
      <c r="B32" s="308" t="s">
        <v>1397</v>
      </c>
      <c r="C32" s="24">
        <f ca="1">IF(项目基本情况!B11="自然人","——",ROUND(C6*F32/(1+'数据-取费表'!C42),0))</f>
        <v>0</v>
      </c>
      <c r="D32" s="1528" t="s">
        <v>1398</v>
      </c>
      <c r="E32" s="308" t="s">
        <v>1386</v>
      </c>
      <c r="F32" s="337">
        <f>'数据-取费表'!B41</f>
        <v>5.5000000000000007E-2</v>
      </c>
      <c r="G32" s="1568"/>
      <c r="H32" s="2924"/>
      <c r="I32" s="1582"/>
      <c r="J32" s="1583"/>
      <c r="K32" s="2699"/>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7"/>
      <c r="I33" s="1582"/>
      <c r="J33" s="1583"/>
      <c r="K33" s="2928"/>
      <c r="L33" s="2927"/>
      <c r="M33" s="2927"/>
    </row>
    <row r="34" spans="1:18" ht="18" customHeight="1">
      <c r="A34" s="1201" t="s">
        <v>1354</v>
      </c>
      <c r="B34" s="160" t="s">
        <v>1405</v>
      </c>
      <c r="C34" s="25">
        <f ca="1">IF(项目基本情况!B11="自然人","——",ROUND(F34*F35,))</f>
        <v>0</v>
      </c>
      <c r="D34" s="330" t="s">
        <v>1406</v>
      </c>
      <c r="E34" s="308" t="s">
        <v>1407</v>
      </c>
      <c r="F34" s="331">
        <f>'数据-取费表'!B52</f>
        <v>1.5</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ROUND(C29*F36,0)</f>
        <v>0</v>
      </c>
      <c r="D36" s="1528" t="s">
        <v>1446</v>
      </c>
      <c r="E36" s="308" t="s">
        <v>1386</v>
      </c>
      <c r="F36" s="334">
        <f ca="1">INDIRECT("'数据-取费表'!Ak"&amp;$G$1)</f>
        <v>0</v>
      </c>
      <c r="G36" s="1568"/>
      <c r="H36" s="2927"/>
      <c r="I36" s="1582"/>
      <c r="J36" s="1583"/>
      <c r="K36" s="2768"/>
      <c r="L36" s="2927"/>
      <c r="M36" s="2927"/>
    </row>
    <row r="37" spans="1:18" ht="18" customHeight="1">
      <c r="A37" s="1113" t="s">
        <v>1043</v>
      </c>
      <c r="B37" s="308" t="s">
        <v>1417</v>
      </c>
      <c r="C37" s="24">
        <f ca="1">ROUND(C13*F37,0)</f>
        <v>0</v>
      </c>
      <c r="D37" s="1528" t="s">
        <v>1418</v>
      </c>
      <c r="E37" s="308" t="s">
        <v>1419</v>
      </c>
      <c r="F37" s="336">
        <f ca="1">INDIRECT("'数据-取费表'!Al"&amp;$G$1)</f>
        <v>0</v>
      </c>
      <c r="G37" s="1568"/>
      <c r="H37" s="2927"/>
      <c r="I37" s="1582"/>
      <c r="J37" s="1583"/>
      <c r="K37" s="2768"/>
      <c r="L37" s="2927"/>
      <c r="M37" s="2927"/>
    </row>
    <row r="38" spans="1:18" ht="18" customHeight="1" thickBot="1">
      <c r="A38" s="1249" t="s">
        <v>1358</v>
      </c>
      <c r="B38" s="1250" t="s">
        <v>1403</v>
      </c>
      <c r="C38" s="1251">
        <f ca="1">ROUND(C5*F38,1)</f>
        <v>0</v>
      </c>
      <c r="D38" s="1252" t="s">
        <v>1423</v>
      </c>
      <c r="E38" s="1250" t="s">
        <v>1419</v>
      </c>
      <c r="F38" s="1246">
        <f ca="1">INDIRECT("'数据-取费表'!Am"&amp;$G$1)</f>
        <v>0</v>
      </c>
      <c r="G38" s="1568"/>
      <c r="H38" s="2927"/>
      <c r="I38" s="1582"/>
      <c r="J38" s="1583"/>
      <c r="K38" s="2931"/>
      <c r="L38" s="2927"/>
      <c r="M38" s="2927"/>
    </row>
    <row r="39" spans="1:18" ht="24.6" customHeight="1" thickTop="1">
      <c r="A39" s="1239" t="s">
        <v>999</v>
      </c>
      <c r="B39" s="1254" t="s">
        <v>1447</v>
      </c>
      <c r="C39" s="316">
        <f ca="1">C5-C30</f>
        <v>0</v>
      </c>
      <c r="D39" s="1255" t="s">
        <v>1448</v>
      </c>
      <c r="E39" s="1256"/>
      <c r="F39" s="1257"/>
      <c r="G39" s="1568"/>
      <c r="H39" s="2927"/>
      <c r="I39" s="1582"/>
      <c r="J39" s="1583"/>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1441</v>
      </c>
      <c r="F42" s="318">
        <f ca="1">INDIRECT("'数据-取费表'!v"&amp;$G$1)</f>
        <v>0</v>
      </c>
      <c r="G42" s="1568"/>
      <c r="H42" s="1353"/>
      <c r="I42" s="1582"/>
      <c r="J42" s="1583"/>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1361</v>
      </c>
      <c r="B47" s="1109" t="s">
        <v>1362</v>
      </c>
      <c r="C47" s="1109" t="s">
        <v>1363</v>
      </c>
      <c r="D47" s="1109" t="s">
        <v>1364</v>
      </c>
      <c r="E47" s="1189" t="s">
        <v>1365</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1366</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1369</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1371</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1372</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1373</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1511</v>
      </c>
      <c r="J53" s="2386">
        <f ca="1">IF(M47="住宅",IF(D1="——",MAX(J51,L48),MAX(J51,L48-'数据-取费表'!B24)),IF(D1="——",MIN(J51,L48),MIN(J51,L48-'数据-取费表'!B24)))</f>
        <v>0</v>
      </c>
      <c r="K53" s="3285" t="s">
        <v>1512</v>
      </c>
      <c r="L53" s="3286"/>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0</v>
      </c>
      <c r="D59" s="1094" t="s">
        <v>1394</v>
      </c>
      <c r="E59" s="1095" t="s">
        <v>1395</v>
      </c>
      <c r="F59" s="253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5.5000000000000007E-2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1.5</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2" sqref="J32"/>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2345</v>
      </c>
      <c r="B1" s="2054"/>
      <c r="C1" s="2054"/>
      <c r="D1" s="2054"/>
      <c r="E1" s="2055"/>
      <c r="F1" s="2934"/>
      <c r="G1" s="1674"/>
      <c r="H1" s="1674"/>
      <c r="I1" s="1674"/>
      <c r="J1" s="1674"/>
      <c r="K1" s="1674"/>
      <c r="L1" s="1674"/>
      <c r="M1" s="1674"/>
      <c r="N1" s="1674"/>
      <c r="O1" s="1674"/>
      <c r="P1" s="1674"/>
      <c r="Q1" s="1674"/>
      <c r="R1" s="1674"/>
      <c r="S1" s="1674"/>
    </row>
    <row r="2" spans="1:22" ht="15.75">
      <c r="A2" s="2056" t="s">
        <v>2146</v>
      </c>
      <c r="B2" s="2057">
        <f ca="1">SUMIF(B6:B13,"&lt;&gt;#ref!",B6:B13)</f>
        <v>18327</v>
      </c>
      <c r="C2" s="2058" t="s">
        <v>2338</v>
      </c>
      <c r="D2" s="2059" t="s">
        <v>2339</v>
      </c>
      <c r="E2" s="2831">
        <f>SUM(E6:E13)</f>
        <v>12608.400000000001</v>
      </c>
      <c r="F2" s="2934"/>
      <c r="G2" s="1674"/>
      <c r="H2" s="1674"/>
      <c r="I2" s="1674"/>
      <c r="J2" s="1674"/>
      <c r="K2" s="1674"/>
      <c r="L2" s="1674"/>
      <c r="M2" s="1674"/>
      <c r="N2" s="1674"/>
      <c r="O2" s="1674"/>
      <c r="P2" s="1674"/>
      <c r="Q2" s="1674"/>
      <c r="R2" s="1674"/>
      <c r="S2" s="1674"/>
    </row>
    <row r="3" spans="1:22" ht="15.75">
      <c r="A3" s="2056" t="s">
        <v>1360</v>
      </c>
      <c r="B3" s="2825">
        <f ca="1">ROUND(B2*10000/E2,0)</f>
        <v>14536</v>
      </c>
      <c r="C3" s="2058" t="s">
        <v>2346</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2340</v>
      </c>
      <c r="B5" s="3290" t="s">
        <v>2341</v>
      </c>
      <c r="C5" s="3291"/>
      <c r="D5" s="2935"/>
      <c r="E5" s="2060" t="s">
        <v>2342</v>
      </c>
      <c r="F5" s="2061" t="s">
        <v>2343</v>
      </c>
      <c r="G5" s="1674"/>
      <c r="H5" s="1674"/>
      <c r="I5" s="1674"/>
      <c r="J5" s="1674"/>
      <c r="K5" s="1674"/>
      <c r="L5" s="1674"/>
      <c r="M5" s="1674"/>
      <c r="N5" s="1674"/>
      <c r="O5" s="1674"/>
      <c r="P5" s="1674"/>
      <c r="Q5" s="1674"/>
      <c r="R5" s="1674"/>
      <c r="S5" s="1674"/>
    </row>
    <row r="6" spans="1:22">
      <c r="A6" s="2828" t="str">
        <f>'数据-取费表'!AN6</f>
        <v>收益法</v>
      </c>
      <c r="B6" s="2826">
        <f ca="1">IF(F6="是",'数据-取费表'!AO6,0)</f>
        <v>18327</v>
      </c>
      <c r="C6" s="2058" t="s">
        <v>2338</v>
      </c>
      <c r="D6" s="2936"/>
      <c r="E6" s="2830">
        <f>IF(OR(A6=0,F6="否"),0,'数据-取费表'!K6+'数据-取费表'!S6)</f>
        <v>12608.400000000001</v>
      </c>
      <c r="F6" s="2062" t="s">
        <v>2344</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2338</v>
      </c>
      <c r="D7" s="2936"/>
      <c r="E7" s="2830">
        <f>IF(OR(A7=0,F7="否"),0,'数据-取费表'!K7+'数据-取费表'!S7)</f>
        <v>0</v>
      </c>
      <c r="F7" s="2062" t="s">
        <v>2344</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2338</v>
      </c>
      <c r="D8" s="2936"/>
      <c r="E8" s="2830">
        <f>IF(OR(A8=0,F8="否"),0,'数据-取费表'!K8+'数据-取费表'!S8)</f>
        <v>0</v>
      </c>
      <c r="F8" s="2062" t="s">
        <v>2344</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2338</v>
      </c>
      <c r="D9" s="2936"/>
      <c r="E9" s="2830">
        <f>IF(OR(A9=0,F9="否"),0,'数据-取费表'!K9+'数据-取费表'!S9)</f>
        <v>0</v>
      </c>
      <c r="F9" s="2062" t="s">
        <v>2344</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2338</v>
      </c>
      <c r="D10" s="2936"/>
      <c r="E10" s="2830">
        <f>IF(OR(A10=0,F10="否"),0,'数据-取费表'!K10+'数据-取费表'!S10)</f>
        <v>0</v>
      </c>
      <c r="F10" s="2062" t="s">
        <v>2344</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2338</v>
      </c>
      <c r="D11" s="2936"/>
      <c r="E11" s="2830">
        <f>IF(OR(A11=0,F11="否"),0,'数据-取费表'!K11+'数据-取费表'!S11)</f>
        <v>0</v>
      </c>
      <c r="F11" s="2062" t="s">
        <v>2344</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2338</v>
      </c>
      <c r="D12" s="2936"/>
      <c r="E12" s="2830">
        <f>IF(OR(A12=0,F12="否"),0,'数据-取费表'!K12+'数据-取费表'!S12)</f>
        <v>0</v>
      </c>
      <c r="F12" s="2062" t="s">
        <v>2344</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2338</v>
      </c>
      <c r="D13" s="2937"/>
      <c r="E13" s="2830">
        <f>IF(OR(A13=0,F13="否"),0,'数据-取费表'!K13+'数据-取费表'!S13)</f>
        <v>0</v>
      </c>
      <c r="F13" s="2062"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8" t="s">
        <v>1044</v>
      </c>
      <c r="B1" s="3309"/>
      <c r="C1" s="3310"/>
      <c r="D1" s="3311">
        <f>SUM(I10,I15,I20,I21,I23)</f>
        <v>0</v>
      </c>
      <c r="E1" s="3311"/>
      <c r="F1" s="3311"/>
      <c r="G1" s="3311"/>
      <c r="H1" s="3311"/>
      <c r="I1" s="3312"/>
    </row>
    <row r="2" spans="1:9">
      <c r="A2" s="3298" t="s">
        <v>1045</v>
      </c>
      <c r="B2" s="3299" t="s">
        <v>1046</v>
      </c>
      <c r="C2" s="3299"/>
      <c r="D2" s="1211" t="s">
        <v>1047</v>
      </c>
      <c r="E2" s="1211" t="s">
        <v>1048</v>
      </c>
      <c r="F2" s="1211" t="s">
        <v>1049</v>
      </c>
      <c r="G2" s="1211" t="s">
        <v>1050</v>
      </c>
      <c r="H2" s="1211" t="s">
        <v>1051</v>
      </c>
      <c r="I2" s="1212" t="s">
        <v>1052</v>
      </c>
    </row>
    <row r="3" spans="1:9">
      <c r="A3" s="3298"/>
      <c r="B3" s="3299" t="s">
        <v>1053</v>
      </c>
      <c r="C3" s="3299"/>
      <c r="D3" s="1213"/>
      <c r="E3" s="1211"/>
      <c r="F3" s="1214"/>
      <c r="G3" s="1214"/>
      <c r="H3" s="1215"/>
      <c r="I3" s="1216">
        <f>ROUND(D3*E3*F3*G3*H3/10000,0)</f>
        <v>0</v>
      </c>
    </row>
    <row r="4" spans="1:9">
      <c r="A4" s="3298"/>
      <c r="B4" s="3299" t="s">
        <v>1054</v>
      </c>
      <c r="C4" s="3299"/>
      <c r="D4" s="1213"/>
      <c r="E4" s="1211"/>
      <c r="F4" s="1214"/>
      <c r="G4" s="1214"/>
      <c r="H4" s="1215"/>
      <c r="I4" s="1216">
        <f t="shared" ref="I4:I9" si="0">ROUND(D4*E4*F4*G4*H4/10000,0)</f>
        <v>0</v>
      </c>
    </row>
    <row r="5" spans="1:9">
      <c r="A5" s="3298"/>
      <c r="B5" s="3299" t="s">
        <v>1055</v>
      </c>
      <c r="C5" s="3299"/>
      <c r="D5" s="1213"/>
      <c r="E5" s="1211"/>
      <c r="F5" s="1214"/>
      <c r="G5" s="1214"/>
      <c r="H5" s="1215"/>
      <c r="I5" s="1216">
        <f t="shared" si="0"/>
        <v>0</v>
      </c>
    </row>
    <row r="6" spans="1:9">
      <c r="A6" s="3298"/>
      <c r="B6" s="3299" t="s">
        <v>1056</v>
      </c>
      <c r="C6" s="3299"/>
      <c r="D6" s="1213"/>
      <c r="E6" s="1211"/>
      <c r="F6" s="1214"/>
      <c r="G6" s="1214"/>
      <c r="H6" s="1215"/>
      <c r="I6" s="1216">
        <f t="shared" si="0"/>
        <v>0</v>
      </c>
    </row>
    <row r="7" spans="1:9">
      <c r="A7" s="3298"/>
      <c r="B7" s="3299" t="s">
        <v>1057</v>
      </c>
      <c r="C7" s="3299"/>
      <c r="D7" s="1213"/>
      <c r="E7" s="1211"/>
      <c r="F7" s="1214"/>
      <c r="G7" s="1214"/>
      <c r="H7" s="1215"/>
      <c r="I7" s="1216">
        <f t="shared" si="0"/>
        <v>0</v>
      </c>
    </row>
    <row r="8" spans="1:9">
      <c r="A8" s="3298"/>
      <c r="B8" s="3299" t="s">
        <v>1058</v>
      </c>
      <c r="C8" s="3299"/>
      <c r="D8" s="1213"/>
      <c r="E8" s="1211"/>
      <c r="F8" s="1214"/>
      <c r="G8" s="1214"/>
      <c r="H8" s="1215"/>
      <c r="I8" s="1216">
        <f t="shared" si="0"/>
        <v>0</v>
      </c>
    </row>
    <row r="9" spans="1:9">
      <c r="A9" s="3298"/>
      <c r="B9" s="3299" t="s">
        <v>1059</v>
      </c>
      <c r="C9" s="3299"/>
      <c r="D9" s="1213"/>
      <c r="E9" s="1211"/>
      <c r="F9" s="1214"/>
      <c r="G9" s="1214"/>
      <c r="H9" s="1215"/>
      <c r="I9" s="1216">
        <f t="shared" si="0"/>
        <v>0</v>
      </c>
    </row>
    <row r="10" spans="1:9">
      <c r="A10" s="3298"/>
      <c r="B10" s="3300" t="s">
        <v>1060</v>
      </c>
      <c r="C10" s="3300"/>
      <c r="D10" s="1217"/>
      <c r="E10" s="1217" t="e">
        <f>ROUND(D1*10000/D10/H9,0)</f>
        <v>#DIV/0!</v>
      </c>
      <c r="F10" s="1218"/>
      <c r="G10" s="1218"/>
      <c r="H10" s="1219"/>
      <c r="I10" s="1220">
        <f>SUM(I3:I9)</f>
        <v>0</v>
      </c>
    </row>
    <row r="11" spans="1:9" ht="14.25">
      <c r="A11" s="3298" t="s">
        <v>1061</v>
      </c>
      <c r="B11" s="3299" t="s">
        <v>1062</v>
      </c>
      <c r="C11" s="3299"/>
      <c r="D11" s="1213" t="s">
        <v>1063</v>
      </c>
      <c r="E11" s="1213" t="s">
        <v>1064</v>
      </c>
      <c r="F11" s="1214" t="s">
        <v>1065</v>
      </c>
      <c r="G11" s="1214" t="s">
        <v>1051</v>
      </c>
      <c r="H11" s="1221" t="s">
        <v>1066</v>
      </c>
      <c r="I11" s="1212" t="s">
        <v>1052</v>
      </c>
    </row>
    <row r="12" spans="1:9">
      <c r="A12" s="3298"/>
      <c r="B12" s="3299" t="s">
        <v>1067</v>
      </c>
      <c r="C12" s="3299"/>
      <c r="D12" s="1213"/>
      <c r="E12" s="1213"/>
      <c r="F12" s="1214"/>
      <c r="G12" s="1215"/>
      <c r="H12" s="1222"/>
      <c r="I12" s="1212">
        <f>ROUND(D12*E12*F12*G12/10000,0)</f>
        <v>0</v>
      </c>
    </row>
    <row r="13" spans="1:9">
      <c r="A13" s="3298"/>
      <c r="B13" s="3299" t="s">
        <v>1068</v>
      </c>
      <c r="C13" s="3299"/>
      <c r="D13" s="1213"/>
      <c r="E13" s="1213"/>
      <c r="F13" s="1214"/>
      <c r="G13" s="1215"/>
      <c r="H13" s="1222"/>
      <c r="I13" s="1212">
        <f>ROUND(D13*E13*F13*G13/10000,0)</f>
        <v>0</v>
      </c>
    </row>
    <row r="14" spans="1:9">
      <c r="A14" s="3298"/>
      <c r="B14" s="3299" t="s">
        <v>1069</v>
      </c>
      <c r="C14" s="3299"/>
      <c r="D14" s="1213"/>
      <c r="E14" s="1213"/>
      <c r="F14" s="1214"/>
      <c r="G14" s="1215"/>
      <c r="H14" s="1222"/>
      <c r="I14" s="1212">
        <f>ROUND(D14*E14*F14*G14/10000,0)</f>
        <v>0</v>
      </c>
    </row>
    <row r="15" spans="1:9">
      <c r="A15" s="3298"/>
      <c r="B15" s="3300" t="s">
        <v>1060</v>
      </c>
      <c r="C15" s="3300"/>
      <c r="D15" s="1217"/>
      <c r="E15" s="1217">
        <f>SUM(E12:E14)</f>
        <v>0</v>
      </c>
      <c r="F15" s="1218"/>
      <c r="G15" s="1215"/>
      <c r="H15" s="1222"/>
      <c r="I15" s="1223">
        <f>SUM(I12:I14)</f>
        <v>0</v>
      </c>
    </row>
    <row r="16" spans="1:9" ht="24">
      <c r="A16" s="3298" t="s">
        <v>1070</v>
      </c>
      <c r="B16" s="3299" t="s">
        <v>1071</v>
      </c>
      <c r="C16" s="3299"/>
      <c r="D16" s="1213" t="s">
        <v>1047</v>
      </c>
      <c r="E16" s="1224" t="s">
        <v>1072</v>
      </c>
      <c r="F16" s="1214" t="s">
        <v>1073</v>
      </c>
      <c r="G16" s="1215" t="s">
        <v>1051</v>
      </c>
      <c r="H16" s="1221" t="s">
        <v>1066</v>
      </c>
      <c r="I16" s="1212" t="s">
        <v>1052</v>
      </c>
    </row>
    <row r="17" spans="1:9" ht="14.25">
      <c r="A17" s="3298"/>
      <c r="B17" s="3299" t="s">
        <v>1074</v>
      </c>
      <c r="C17" s="3299"/>
      <c r="D17" s="1213"/>
      <c r="E17" s="1213"/>
      <c r="F17" s="1214"/>
      <c r="G17" s="1215"/>
      <c r="H17" s="1225"/>
      <c r="I17" s="1226">
        <f>ROUND(D17*E17*F17*G17/10000,0)</f>
        <v>0</v>
      </c>
    </row>
    <row r="18" spans="1:9" ht="14.25">
      <c r="A18" s="3298"/>
      <c r="B18" s="3299" t="s">
        <v>1075</v>
      </c>
      <c r="C18" s="3299"/>
      <c r="D18" s="1213"/>
      <c r="E18" s="1213"/>
      <c r="F18" s="1214"/>
      <c r="G18" s="1215"/>
      <c r="H18" s="1225"/>
      <c r="I18" s="1226">
        <f>ROUND(D18*E18*F18*G18/10000,0)</f>
        <v>0</v>
      </c>
    </row>
    <row r="19" spans="1:9" ht="14.25">
      <c r="A19" s="3298"/>
      <c r="B19" s="3299" t="s">
        <v>1076</v>
      </c>
      <c r="C19" s="3299"/>
      <c r="D19" s="1213"/>
      <c r="E19" s="1213"/>
      <c r="F19" s="1214"/>
      <c r="G19" s="1215"/>
      <c r="H19" s="1225"/>
      <c r="I19" s="1226">
        <f>ROUND(D19*E19*F19*G19/10000,0)</f>
        <v>0</v>
      </c>
    </row>
    <row r="20" spans="1:9">
      <c r="A20" s="3298"/>
      <c r="B20" s="3300" t="s">
        <v>1060</v>
      </c>
      <c r="C20" s="3300"/>
      <c r="D20" s="1217">
        <f>SUM(D17:D19)</f>
        <v>0</v>
      </c>
      <c r="E20" s="1217"/>
      <c r="F20" s="1218"/>
      <c r="G20" s="1215"/>
      <c r="H20" s="1222"/>
      <c r="I20" s="1223">
        <f>SUM(I17:I19)</f>
        <v>0</v>
      </c>
    </row>
    <row r="21" spans="1:9">
      <c r="A21" s="3298" t="s">
        <v>1077</v>
      </c>
      <c r="B21" s="3301"/>
      <c r="C21" s="3301"/>
      <c r="D21" s="3301"/>
      <c r="E21" s="3301"/>
      <c r="F21" s="3301"/>
      <c r="G21" s="3301"/>
      <c r="H21" s="1502">
        <v>0.1</v>
      </c>
      <c r="I21" s="1220">
        <f>ROUND(I10*H21,0)</f>
        <v>0</v>
      </c>
    </row>
    <row r="22" spans="1:9" ht="14.25">
      <c r="A22" s="3302" t="s">
        <v>1078</v>
      </c>
      <c r="B22" s="3303"/>
      <c r="C22" s="3304"/>
      <c r="D22" s="1227" t="s">
        <v>1079</v>
      </c>
      <c r="E22" s="1227" t="s">
        <v>1080</v>
      </c>
      <c r="F22" s="1228" t="s">
        <v>1081</v>
      </c>
      <c r="G22" s="1228" t="s">
        <v>1082</v>
      </c>
      <c r="H22" s="1221" t="s">
        <v>1083</v>
      </c>
      <c r="I22" s="1212" t="s">
        <v>1084</v>
      </c>
    </row>
    <row r="23" spans="1:9" ht="14.25" thickBot="1">
      <c r="A23" s="3305"/>
      <c r="B23" s="3306"/>
      <c r="C23" s="3307"/>
      <c r="D23" s="1229"/>
      <c r="E23" s="1229"/>
      <c r="F23" s="1229"/>
      <c r="G23" s="1230"/>
      <c r="H23" s="1231"/>
      <c r="I23" s="1232">
        <f>ROUND(E23*D23*F23*(1-G23)/10000,0)</f>
        <v>0</v>
      </c>
    </row>
    <row r="26" spans="1:9">
      <c r="A26" s="1233" t="s">
        <v>1085</v>
      </c>
      <c r="B26" s="1233"/>
      <c r="C26" s="1233"/>
      <c r="D26" s="1233"/>
      <c r="E26" s="3295">
        <f>C27-C30-C31-C32</f>
        <v>0</v>
      </c>
      <c r="F26" s="3295"/>
      <c r="G26" s="3295"/>
      <c r="H26" s="1499" t="s">
        <v>1306</v>
      </c>
    </row>
    <row r="27" spans="1:9">
      <c r="A27" s="1234">
        <v>1</v>
      </c>
      <c r="B27" s="1235" t="s">
        <v>1086</v>
      </c>
      <c r="C27" s="1235">
        <f>C28+C29</f>
        <v>0</v>
      </c>
      <c r="D27" s="1235"/>
      <c r="E27" s="3296"/>
      <c r="F27" s="3296"/>
      <c r="G27" s="3296"/>
    </row>
    <row r="28" spans="1:9">
      <c r="A28" s="1236" t="s">
        <v>1087</v>
      </c>
      <c r="B28" s="1235" t="s">
        <v>1088</v>
      </c>
      <c r="C28" s="1235"/>
      <c r="D28" s="1235"/>
      <c r="E28" s="3296"/>
      <c r="F28" s="3296"/>
      <c r="G28" s="329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7"/>
      <c r="F32" s="3297"/>
      <c r="G32" s="3297"/>
    </row>
    <row r="33" spans="1:7" hidden="1">
      <c r="A33" s="3292" t="s">
        <v>1097</v>
      </c>
      <c r="B33" s="3293"/>
      <c r="C33" s="3293"/>
      <c r="D33" s="3294"/>
      <c r="E33" s="3295"/>
      <c r="F33" s="3295"/>
      <c r="G33" s="3295"/>
    </row>
    <row r="34" spans="1:7" hidden="1">
      <c r="A34" s="1238">
        <v>1</v>
      </c>
      <c r="B34" s="1235" t="s">
        <v>1098</v>
      </c>
      <c r="C34" s="1235"/>
      <c r="D34" s="1235"/>
      <c r="E34" s="3296"/>
      <c r="F34" s="3296"/>
      <c r="G34" s="3296"/>
    </row>
    <row r="35" spans="1:7" hidden="1">
      <c r="A35" s="1238">
        <v>2</v>
      </c>
      <c r="B35" s="1235" t="s">
        <v>1099</v>
      </c>
      <c r="C35" s="1235"/>
      <c r="D35" s="1235"/>
      <c r="E35" s="3296"/>
      <c r="F35" s="3296"/>
      <c r="G35" s="3296"/>
    </row>
    <row r="36" spans="1:7" hidden="1">
      <c r="A36" s="1238">
        <v>3</v>
      </c>
      <c r="B36" s="1235" t="s">
        <v>1100</v>
      </c>
      <c r="C36" s="1235"/>
      <c r="D36" s="1235"/>
      <c r="E36" s="3296"/>
      <c r="F36" s="3296"/>
      <c r="G36" s="3296"/>
    </row>
    <row r="37" spans="1:7" hidden="1">
      <c r="A37" s="1238">
        <v>4</v>
      </c>
      <c r="B37" s="1235" t="s">
        <v>1101</v>
      </c>
      <c r="C37" s="1235"/>
      <c r="D37" s="1235"/>
      <c r="E37" s="3296"/>
      <c r="F37" s="3296"/>
      <c r="G37" s="3296"/>
    </row>
    <row r="38" spans="1:7" hidden="1">
      <c r="A38" s="3292" t="s">
        <v>1102</v>
      </c>
      <c r="B38" s="3293"/>
      <c r="C38" s="3293"/>
      <c r="D38" s="3294"/>
      <c r="E38" s="3295"/>
      <c r="F38" s="3295"/>
      <c r="G38" s="32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2348</v>
      </c>
      <c r="C1" s="1406" t="s">
        <v>2349</v>
      </c>
      <c r="D1" s="1393"/>
      <c r="E1" s="2544"/>
      <c r="F1" s="2065" t="s">
        <v>2350</v>
      </c>
      <c r="G1" s="1403" t="s">
        <v>2351</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2352</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2353</v>
      </c>
      <c r="D3" s="359">
        <f>IF(D1="",'数据-汇总表'!E3,SUMIF('数据-汇总表'!$C19:$C33,D1,'数据-汇总表'!$E19:$E33))</f>
        <v>12608.400000000001</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2354</v>
      </c>
      <c r="B4" s="362"/>
      <c r="C4" s="3331" t="s">
        <v>2355</v>
      </c>
      <c r="D4" s="3332"/>
      <c r="E4" s="3333" t="s">
        <v>2356</v>
      </c>
      <c r="F4" s="3334"/>
      <c r="G4" s="3331" t="s">
        <v>2357</v>
      </c>
      <c r="H4" s="3332"/>
      <c r="I4" s="3331" t="s">
        <v>2358</v>
      </c>
      <c r="J4" s="3332"/>
      <c r="K4" s="2075" t="s">
        <v>2359</v>
      </c>
      <c r="L4" s="2942"/>
      <c r="M4" s="2943"/>
      <c r="N4" s="2943"/>
      <c r="O4" s="2943"/>
      <c r="P4" s="3335" t="s">
        <v>2360</v>
      </c>
      <c r="Q4" s="3336"/>
      <c r="R4" s="3341" t="s">
        <v>2356</v>
      </c>
      <c r="S4" s="3342"/>
      <c r="T4" s="3341" t="s">
        <v>2357</v>
      </c>
      <c r="U4" s="3342"/>
      <c r="V4" s="3347" t="s">
        <v>2358</v>
      </c>
      <c r="W4" s="3347"/>
      <c r="X4" s="1539"/>
      <c r="Y4" s="3341" t="s">
        <v>2360</v>
      </c>
      <c r="Z4" s="3342"/>
      <c r="AA4" s="3328" t="s">
        <v>2356</v>
      </c>
      <c r="AB4" s="3328" t="s">
        <v>2357</v>
      </c>
      <c r="AC4" s="3328" t="s">
        <v>2358</v>
      </c>
    </row>
    <row r="5" spans="1:29" ht="15">
      <c r="A5" s="364"/>
      <c r="B5" s="365"/>
      <c r="C5" s="3350" t="s">
        <v>2361</v>
      </c>
      <c r="D5" s="3351"/>
      <c r="E5" s="3357" t="s">
        <v>2362</v>
      </c>
      <c r="F5" s="3358"/>
      <c r="G5" s="3350" t="s">
        <v>2363</v>
      </c>
      <c r="H5" s="3351"/>
      <c r="I5" s="3350" t="s">
        <v>2364</v>
      </c>
      <c r="J5" s="3351"/>
      <c r="K5" s="2076"/>
      <c r="L5" s="2942"/>
      <c r="M5" s="2943"/>
      <c r="N5" s="2943"/>
      <c r="O5" s="2943"/>
      <c r="P5" s="3337"/>
      <c r="Q5" s="3338"/>
      <c r="R5" s="3343"/>
      <c r="S5" s="3344"/>
      <c r="T5" s="3343"/>
      <c r="U5" s="3344"/>
      <c r="V5" s="3347"/>
      <c r="W5" s="3347"/>
      <c r="X5" s="1539"/>
      <c r="Y5" s="3343"/>
      <c r="Z5" s="3344"/>
      <c r="AA5" s="3329"/>
      <c r="AB5" s="3329"/>
      <c r="AC5" s="3329"/>
    </row>
    <row r="6" spans="1:29" ht="15.75" thickBot="1">
      <c r="A6" s="366"/>
      <c r="B6" s="367"/>
      <c r="C6" s="3348" t="s">
        <v>2365</v>
      </c>
      <c r="D6" s="3349"/>
      <c r="E6" s="3355" t="s">
        <v>2365</v>
      </c>
      <c r="F6" s="3356"/>
      <c r="G6" s="3348" t="s">
        <v>2365</v>
      </c>
      <c r="H6" s="3349"/>
      <c r="I6" s="3348" t="s">
        <v>2365</v>
      </c>
      <c r="J6" s="3349"/>
      <c r="K6" s="2076" t="s">
        <v>2366</v>
      </c>
      <c r="L6" s="2942"/>
      <c r="M6" s="2943"/>
      <c r="N6" s="2943"/>
      <c r="O6" s="2943"/>
      <c r="P6" s="3339"/>
      <c r="Q6" s="3340"/>
      <c r="R6" s="3343"/>
      <c r="S6" s="3344"/>
      <c r="T6" s="3345"/>
      <c r="U6" s="3346"/>
      <c r="V6" s="3347"/>
      <c r="W6" s="3347"/>
      <c r="X6" s="1539"/>
      <c r="Y6" s="3345"/>
      <c r="Z6" s="3346"/>
      <c r="AA6" s="3330"/>
      <c r="AB6" s="3330"/>
      <c r="AC6" s="3330"/>
    </row>
    <row r="7" spans="1:29" s="113" customFormat="1" ht="15.75" thickBot="1">
      <c r="A7" s="368" t="s">
        <v>2367</v>
      </c>
      <c r="B7" s="369"/>
      <c r="C7" s="370">
        <f>'数据-取费表'!B2</f>
        <v>44434</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352" t="s">
        <v>2368</v>
      </c>
      <c r="Q7" s="3354"/>
      <c r="R7" s="710" t="s">
        <v>23</v>
      </c>
      <c r="S7" s="711">
        <f t="shared" ref="S7:S15" si="0">F7</f>
        <v>0</v>
      </c>
      <c r="T7" s="710" t="s">
        <v>23</v>
      </c>
      <c r="U7" s="711">
        <f t="shared" ref="U7:U15" si="1">H7</f>
        <v>0</v>
      </c>
      <c r="V7" s="710" t="s">
        <v>23</v>
      </c>
      <c r="W7" s="711">
        <f t="shared" ref="W7:W15" si="2">J7</f>
        <v>0</v>
      </c>
      <c r="X7" s="712"/>
      <c r="Y7" s="3352" t="s">
        <v>2368</v>
      </c>
      <c r="Z7" s="3353"/>
      <c r="AA7" s="713" t="e">
        <f>D7/F7</f>
        <v>#DIV/0!</v>
      </c>
      <c r="AB7" s="713" t="e">
        <f>D7/H7</f>
        <v>#DIV/0!</v>
      </c>
      <c r="AC7" s="713" t="e">
        <f>D7/J7</f>
        <v>#DIV/0!</v>
      </c>
    </row>
    <row r="8" spans="1:29" s="113" customFormat="1" ht="15.75" thickBot="1">
      <c r="A8" s="368" t="s">
        <v>2369</v>
      </c>
      <c r="B8" s="369"/>
      <c r="C8" s="374" t="s">
        <v>2370</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352" t="s">
        <v>2371</v>
      </c>
      <c r="Q8" s="3353"/>
      <c r="R8" s="710" t="s">
        <v>23</v>
      </c>
      <c r="S8" s="711">
        <f t="shared" si="0"/>
        <v>0</v>
      </c>
      <c r="T8" s="710" t="s">
        <v>23</v>
      </c>
      <c r="U8" s="711">
        <f t="shared" si="1"/>
        <v>0</v>
      </c>
      <c r="V8" s="710" t="s">
        <v>23</v>
      </c>
      <c r="W8" s="711">
        <f t="shared" si="2"/>
        <v>0</v>
      </c>
      <c r="X8" s="712"/>
      <c r="Y8" s="3352" t="s">
        <v>2371</v>
      </c>
      <c r="Z8" s="3353"/>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327" t="s">
        <v>2374</v>
      </c>
      <c r="Q9" s="1527" t="str">
        <f t="shared" ref="Q9:Q15" si="6">B9</f>
        <v>用途</v>
      </c>
      <c r="R9" s="710" t="s">
        <v>17</v>
      </c>
      <c r="S9" s="711">
        <f t="shared" si="0"/>
        <v>100</v>
      </c>
      <c r="T9" s="710" t="s">
        <v>17</v>
      </c>
      <c r="U9" s="711">
        <f t="shared" si="1"/>
        <v>100</v>
      </c>
      <c r="V9" s="710" t="s">
        <v>17</v>
      </c>
      <c r="W9" s="711">
        <f t="shared" si="2"/>
        <v>100</v>
      </c>
      <c r="X9" s="712"/>
      <c r="Y9" s="316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27"/>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27"/>
      <c r="Q11" s="1527" t="str">
        <f t="shared" si="6"/>
        <v>容积率</v>
      </c>
      <c r="R11" s="710" t="s">
        <v>21</v>
      </c>
      <c r="S11" s="711" t="e">
        <f t="shared" si="0"/>
        <v>#N/A</v>
      </c>
      <c r="T11" s="710" t="s">
        <v>21</v>
      </c>
      <c r="U11" s="711" t="e">
        <f t="shared" si="1"/>
        <v>#N/A</v>
      </c>
      <c r="V11" s="710" t="s">
        <v>21</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327"/>
      <c r="Q12" s="1527">
        <f t="shared" si="6"/>
        <v>111</v>
      </c>
      <c r="R12" s="710" t="s">
        <v>21</v>
      </c>
      <c r="S12" s="711">
        <f t="shared" si="0"/>
        <v>100</v>
      </c>
      <c r="T12" s="710" t="s">
        <v>21</v>
      </c>
      <c r="U12" s="711">
        <f t="shared" si="1"/>
        <v>100</v>
      </c>
      <c r="V12" s="710" t="s">
        <v>21</v>
      </c>
      <c r="W12" s="711">
        <f t="shared" si="2"/>
        <v>100</v>
      </c>
      <c r="X12" s="712"/>
      <c r="Y12" s="316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327"/>
      <c r="Q13" s="1527">
        <f t="shared" si="6"/>
        <v>111</v>
      </c>
      <c r="R13" s="710" t="s">
        <v>21</v>
      </c>
      <c r="S13" s="711">
        <f t="shared" si="0"/>
        <v>100</v>
      </c>
      <c r="T13" s="710" t="s">
        <v>21</v>
      </c>
      <c r="U13" s="711">
        <f t="shared" si="1"/>
        <v>100</v>
      </c>
      <c r="V13" s="710" t="s">
        <v>21</v>
      </c>
      <c r="W13" s="711">
        <f t="shared" si="2"/>
        <v>100</v>
      </c>
      <c r="X13" s="712"/>
      <c r="Y13" s="316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327"/>
      <c r="Q14" s="1527">
        <f t="shared" si="6"/>
        <v>111</v>
      </c>
      <c r="R14" s="710" t="s">
        <v>21</v>
      </c>
      <c r="S14" s="711">
        <f t="shared" si="0"/>
        <v>100</v>
      </c>
      <c r="T14" s="710" t="s">
        <v>21</v>
      </c>
      <c r="U14" s="711">
        <f t="shared" si="1"/>
        <v>100</v>
      </c>
      <c r="V14" s="710" t="s">
        <v>21</v>
      </c>
      <c r="W14" s="711">
        <f t="shared" si="2"/>
        <v>100</v>
      </c>
      <c r="X14" s="712"/>
      <c r="Y14" s="3160"/>
      <c r="Z14" s="55">
        <f t="shared" si="7"/>
        <v>111</v>
      </c>
      <c r="AA14" s="713">
        <f t="shared" si="3"/>
        <v>1</v>
      </c>
      <c r="AB14" s="713">
        <f t="shared" si="4"/>
        <v>1</v>
      </c>
      <c r="AC14" s="713">
        <f t="shared" si="5"/>
        <v>1</v>
      </c>
    </row>
    <row r="15" spans="1:29" ht="99.75">
      <c r="A15" s="399" t="s">
        <v>2378</v>
      </c>
      <c r="B15" s="65" t="s">
        <v>1941</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25" t="s">
        <v>2379</v>
      </c>
      <c r="Q15" s="1536" t="str">
        <f t="shared" si="6"/>
        <v>居住社区成熟度</v>
      </c>
      <c r="R15" s="714" t="s">
        <v>21</v>
      </c>
      <c r="S15" s="715">
        <f t="shared" si="0"/>
        <v>100</v>
      </c>
      <c r="T15" s="714" t="s">
        <v>21</v>
      </c>
      <c r="U15" s="715">
        <f t="shared" si="1"/>
        <v>100</v>
      </c>
      <c r="V15" s="714" t="s">
        <v>21</v>
      </c>
      <c r="W15" s="715">
        <f t="shared" si="2"/>
        <v>100</v>
      </c>
      <c r="X15" s="1539"/>
      <c r="Y15" s="3318" t="s">
        <v>2379</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326"/>
      <c r="Q16" s="1536"/>
      <c r="R16" s="714"/>
      <c r="S16" s="715"/>
      <c r="T16" s="714"/>
      <c r="U16" s="715"/>
      <c r="V16" s="714"/>
      <c r="W16" s="715"/>
      <c r="X16" s="1539"/>
      <c r="Y16" s="3319"/>
      <c r="Z16" s="1540"/>
      <c r="AA16" s="1537">
        <v>1</v>
      </c>
      <c r="AB16" s="1537">
        <v>1</v>
      </c>
      <c r="AC16" s="1537">
        <v>1</v>
      </c>
    </row>
    <row r="17" spans="1:29" ht="85.5">
      <c r="A17" s="387"/>
      <c r="B17" s="410" t="s">
        <v>1943</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26"/>
      <c r="Q17" s="1536" t="str">
        <f>B17</f>
        <v>交通便捷度</v>
      </c>
      <c r="R17" s="714" t="s">
        <v>21</v>
      </c>
      <c r="S17" s="715">
        <f>F17</f>
        <v>100</v>
      </c>
      <c r="T17" s="714" t="s">
        <v>21</v>
      </c>
      <c r="U17" s="715">
        <f>H17</f>
        <v>100</v>
      </c>
      <c r="V17" s="714" t="s">
        <v>21</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326"/>
      <c r="Q18" s="1536"/>
      <c r="R18" s="714"/>
      <c r="S18" s="715"/>
      <c r="T18" s="714"/>
      <c r="U18" s="715"/>
      <c r="V18" s="714"/>
      <c r="W18" s="715"/>
      <c r="X18" s="1539"/>
      <c r="Y18" s="3319"/>
      <c r="Z18" s="1540"/>
      <c r="AA18" s="1537">
        <v>1</v>
      </c>
      <c r="AB18" s="1537">
        <v>1</v>
      </c>
      <c r="AC18" s="1537">
        <v>1</v>
      </c>
    </row>
    <row r="19" spans="1:29" ht="42.75">
      <c r="A19" s="387"/>
      <c r="B19" s="410" t="s">
        <v>1942</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26"/>
      <c r="Q19" s="1536" t="str">
        <f>B19</f>
        <v>公共配套设施</v>
      </c>
      <c r="R19" s="714" t="s">
        <v>21</v>
      </c>
      <c r="S19" s="715">
        <f>F19</f>
        <v>100</v>
      </c>
      <c r="T19" s="714" t="s">
        <v>21</v>
      </c>
      <c r="U19" s="715">
        <f>H19</f>
        <v>100</v>
      </c>
      <c r="V19" s="714" t="s">
        <v>21</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326"/>
      <c r="Q20" s="1536"/>
      <c r="R20" s="714"/>
      <c r="S20" s="715"/>
      <c r="T20" s="714"/>
      <c r="U20" s="715"/>
      <c r="V20" s="714"/>
      <c r="W20" s="715"/>
      <c r="X20" s="1539"/>
      <c r="Y20" s="3319"/>
      <c r="Z20" s="1540"/>
      <c r="AA20" s="1537">
        <v>1</v>
      </c>
      <c r="AB20" s="1537">
        <v>1</v>
      </c>
      <c r="AC20" s="1537">
        <v>1</v>
      </c>
    </row>
    <row r="21" spans="1:29" ht="28.5">
      <c r="A21" s="387"/>
      <c r="B21" s="1293" t="s">
        <v>1944</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326"/>
      <c r="Q22" s="1536"/>
      <c r="R22" s="714"/>
      <c r="S22" s="715"/>
      <c r="T22" s="714"/>
      <c r="U22" s="715"/>
      <c r="V22" s="714"/>
      <c r="W22" s="715"/>
      <c r="X22" s="1539"/>
      <c r="Y22" s="3319"/>
      <c r="Z22" s="1540"/>
      <c r="AA22" s="1537">
        <v>1</v>
      </c>
      <c r="AB22" s="1537">
        <v>1</v>
      </c>
      <c r="AC22" s="1537">
        <v>1</v>
      </c>
    </row>
    <row r="23" spans="1:29" ht="57">
      <c r="A23" s="387"/>
      <c r="B23" s="410" t="s">
        <v>1945</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26"/>
      <c r="Q23" s="1536" t="str">
        <f>B23</f>
        <v>自然及人文环境</v>
      </c>
      <c r="R23" s="714" t="s">
        <v>21</v>
      </c>
      <c r="S23" s="715">
        <f>F23</f>
        <v>100</v>
      </c>
      <c r="T23" s="714" t="s">
        <v>21</v>
      </c>
      <c r="U23" s="715">
        <f>H23</f>
        <v>100</v>
      </c>
      <c r="V23" s="714" t="s">
        <v>21</v>
      </c>
      <c r="W23" s="715">
        <f>J23</f>
        <v>100</v>
      </c>
      <c r="X23" s="1539"/>
      <c r="Y23" s="331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326"/>
      <c r="Q24" s="1536"/>
      <c r="R24" s="714"/>
      <c r="S24" s="715"/>
      <c r="T24" s="714"/>
      <c r="U24" s="715"/>
      <c r="V24" s="714"/>
      <c r="W24" s="715"/>
      <c r="X24" s="1539"/>
      <c r="Y24" s="3319"/>
      <c r="Z24" s="1540"/>
      <c r="AA24" s="1537">
        <v>1</v>
      </c>
      <c r="AB24" s="1537">
        <v>1</v>
      </c>
      <c r="AC24" s="1537">
        <v>1</v>
      </c>
    </row>
    <row r="25" spans="1:29" ht="15">
      <c r="A25" s="387"/>
      <c r="B25" s="381" t="s">
        <v>2380</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32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9"/>
      <c r="Z25" s="1540" t="str">
        <f>Q25</f>
        <v>楼层-1</v>
      </c>
      <c r="AA25" s="1537">
        <f t="shared" ref="AA25:AA46" si="15">D25/F25</f>
        <v>1</v>
      </c>
      <c r="AB25" s="1537">
        <f t="shared" ref="AB25:AB46" si="16">D25/H25</f>
        <v>1</v>
      </c>
      <c r="AC25" s="1537">
        <f t="shared" ref="AC25:AC46" si="17">D25/J25</f>
        <v>1</v>
      </c>
    </row>
    <row r="26" spans="1:29" ht="15">
      <c r="A26" s="387"/>
      <c r="B26" s="381" t="s">
        <v>2381</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326"/>
      <c r="Q26" s="1536" t="str">
        <f t="shared" si="11"/>
        <v>朝向</v>
      </c>
      <c r="R26" s="714" t="s">
        <v>21</v>
      </c>
      <c r="S26" s="715">
        <f t="shared" si="12"/>
        <v>100</v>
      </c>
      <c r="T26" s="714" t="s">
        <v>21</v>
      </c>
      <c r="U26" s="715">
        <f t="shared" si="13"/>
        <v>100</v>
      </c>
      <c r="V26" s="714" t="s">
        <v>21</v>
      </c>
      <c r="W26" s="715">
        <f t="shared" si="14"/>
        <v>100</v>
      </c>
      <c r="X26" s="1539"/>
      <c r="Y26" s="331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326"/>
      <c r="Q27" s="1527">
        <f t="shared" si="11"/>
        <v>111</v>
      </c>
      <c r="R27" s="710" t="s">
        <v>21</v>
      </c>
      <c r="S27" s="711">
        <f t="shared" si="12"/>
        <v>100</v>
      </c>
      <c r="T27" s="710" t="s">
        <v>21</v>
      </c>
      <c r="U27" s="711">
        <f t="shared" si="13"/>
        <v>100</v>
      </c>
      <c r="V27" s="710" t="s">
        <v>21</v>
      </c>
      <c r="W27" s="711">
        <f t="shared" si="14"/>
        <v>100</v>
      </c>
      <c r="X27" s="712"/>
      <c r="Y27" s="331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326"/>
      <c r="Q28" s="1536">
        <f t="shared" si="11"/>
        <v>111</v>
      </c>
      <c r="R28" s="714" t="s">
        <v>21</v>
      </c>
      <c r="S28" s="715">
        <f t="shared" si="12"/>
        <v>100</v>
      </c>
      <c r="T28" s="714" t="s">
        <v>21</v>
      </c>
      <c r="U28" s="715">
        <f t="shared" si="13"/>
        <v>100</v>
      </c>
      <c r="V28" s="714" t="s">
        <v>21</v>
      </c>
      <c r="W28" s="715">
        <f t="shared" si="14"/>
        <v>100</v>
      </c>
      <c r="X28" s="1539"/>
      <c r="Y28" s="331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326"/>
      <c r="Q29" s="1536">
        <f t="shared" si="11"/>
        <v>111</v>
      </c>
      <c r="R29" s="714" t="s">
        <v>21</v>
      </c>
      <c r="S29" s="715">
        <f t="shared" si="12"/>
        <v>100</v>
      </c>
      <c r="T29" s="714" t="s">
        <v>21</v>
      </c>
      <c r="U29" s="715">
        <f t="shared" si="13"/>
        <v>100</v>
      </c>
      <c r="V29" s="714" t="s">
        <v>21</v>
      </c>
      <c r="W29" s="715">
        <f t="shared" si="14"/>
        <v>100</v>
      </c>
      <c r="X29" s="1539"/>
      <c r="Y29" s="331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326"/>
      <c r="Q30" s="1536">
        <f t="shared" si="11"/>
        <v>111</v>
      </c>
      <c r="R30" s="714" t="s">
        <v>21</v>
      </c>
      <c r="S30" s="715">
        <f t="shared" si="12"/>
        <v>100</v>
      </c>
      <c r="T30" s="714" t="s">
        <v>21</v>
      </c>
      <c r="U30" s="715">
        <f t="shared" si="13"/>
        <v>100</v>
      </c>
      <c r="V30" s="714" t="s">
        <v>21</v>
      </c>
      <c r="W30" s="715">
        <f t="shared" si="14"/>
        <v>100</v>
      </c>
      <c r="X30" s="1539"/>
      <c r="Y30" s="331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326"/>
      <c r="Q31" s="1536">
        <f t="shared" si="11"/>
        <v>111</v>
      </c>
      <c r="R31" s="714" t="s">
        <v>21</v>
      </c>
      <c r="S31" s="715">
        <f t="shared" si="12"/>
        <v>100</v>
      </c>
      <c r="T31" s="714" t="s">
        <v>21</v>
      </c>
      <c r="U31" s="715">
        <f t="shared" si="13"/>
        <v>100</v>
      </c>
      <c r="V31" s="714" t="s">
        <v>21</v>
      </c>
      <c r="W31" s="715">
        <f t="shared" si="14"/>
        <v>100</v>
      </c>
      <c r="X31" s="1539"/>
      <c r="Y31" s="3319"/>
      <c r="Z31" s="1540">
        <f t="shared" si="18"/>
        <v>111</v>
      </c>
      <c r="AA31" s="1537">
        <f t="shared" si="15"/>
        <v>1</v>
      </c>
      <c r="AB31" s="1537">
        <f t="shared" si="16"/>
        <v>1</v>
      </c>
      <c r="AC31" s="1537">
        <f t="shared" si="17"/>
        <v>1</v>
      </c>
    </row>
    <row r="32" spans="1:29" ht="15">
      <c r="A32" s="399" t="s">
        <v>2382</v>
      </c>
      <c r="B32" s="67" t="s">
        <v>2383</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320" t="s">
        <v>2384</v>
      </c>
      <c r="Q32" s="1536" t="str">
        <f t="shared" si="11"/>
        <v>建筑类型</v>
      </c>
      <c r="R32" s="714" t="s">
        <v>21</v>
      </c>
      <c r="S32" s="715">
        <f t="shared" si="12"/>
        <v>100</v>
      </c>
      <c r="T32" s="714" t="s">
        <v>21</v>
      </c>
      <c r="U32" s="715">
        <f t="shared" si="13"/>
        <v>100</v>
      </c>
      <c r="V32" s="714" t="s">
        <v>21</v>
      </c>
      <c r="W32" s="715">
        <f t="shared" si="14"/>
        <v>100</v>
      </c>
      <c r="X32" s="1539"/>
      <c r="Y32" s="3323" t="s">
        <v>2384</v>
      </c>
      <c r="Z32" s="1540" t="str">
        <f t="shared" si="18"/>
        <v>建筑类型</v>
      </c>
      <c r="AA32" s="1537">
        <f t="shared" si="15"/>
        <v>1</v>
      </c>
      <c r="AB32" s="1537">
        <f t="shared" si="16"/>
        <v>1</v>
      </c>
      <c r="AC32" s="1537">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321"/>
      <c r="Q33" s="716" t="str">
        <f t="shared" si="11"/>
        <v>项目建筑规模</v>
      </c>
      <c r="R33" s="717" t="s">
        <v>21</v>
      </c>
      <c r="S33" s="718" t="e">
        <f t="shared" si="12"/>
        <v>#N/A</v>
      </c>
      <c r="T33" s="717" t="s">
        <v>21</v>
      </c>
      <c r="U33" s="718" t="e">
        <f t="shared" si="13"/>
        <v>#N/A</v>
      </c>
      <c r="V33" s="717" t="s">
        <v>21</v>
      </c>
      <c r="W33" s="718" t="e">
        <f t="shared" si="14"/>
        <v>#N/A</v>
      </c>
      <c r="X33" s="719"/>
      <c r="Y33" s="3323"/>
      <c r="Z33" s="720" t="str">
        <f t="shared" si="18"/>
        <v>项目建筑规模</v>
      </c>
      <c r="AA33" s="1537" t="e">
        <f t="shared" si="15"/>
        <v>#N/A</v>
      </c>
      <c r="AB33" s="1537" t="e">
        <f t="shared" si="16"/>
        <v>#N/A</v>
      </c>
      <c r="AC33" s="1537" t="e">
        <f t="shared" si="17"/>
        <v>#N/A</v>
      </c>
    </row>
    <row r="34" spans="1:29" ht="15">
      <c r="A34" s="431"/>
      <c r="B34" s="381" t="s">
        <v>2386</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321"/>
      <c r="Q34" s="1536" t="str">
        <f t="shared" si="11"/>
        <v>建筑结构</v>
      </c>
      <c r="R34" s="714" t="s">
        <v>21</v>
      </c>
      <c r="S34" s="715">
        <f t="shared" si="12"/>
        <v>100</v>
      </c>
      <c r="T34" s="714" t="s">
        <v>21</v>
      </c>
      <c r="U34" s="715">
        <f t="shared" si="13"/>
        <v>100</v>
      </c>
      <c r="V34" s="714" t="s">
        <v>21</v>
      </c>
      <c r="W34" s="715">
        <f t="shared" si="14"/>
        <v>100</v>
      </c>
      <c r="X34" s="1539"/>
      <c r="Y34" s="3323"/>
      <c r="Z34" s="1540" t="str">
        <f t="shared" si="18"/>
        <v>建筑结构</v>
      </c>
      <c r="AA34" s="1537">
        <f t="shared" si="15"/>
        <v>1</v>
      </c>
      <c r="AB34" s="1537">
        <f t="shared" si="16"/>
        <v>1</v>
      </c>
      <c r="AC34" s="1537">
        <f t="shared" si="17"/>
        <v>1</v>
      </c>
    </row>
    <row r="35" spans="1:29" ht="15">
      <c r="A35" s="431"/>
      <c r="B35" s="381" t="s">
        <v>2387</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321"/>
      <c r="Q35" s="1536" t="str">
        <f t="shared" si="11"/>
        <v>建筑品质</v>
      </c>
      <c r="R35" s="714" t="s">
        <v>21</v>
      </c>
      <c r="S35" s="715">
        <f t="shared" si="12"/>
        <v>100</v>
      </c>
      <c r="T35" s="714" t="s">
        <v>21</v>
      </c>
      <c r="U35" s="715">
        <f t="shared" si="13"/>
        <v>100</v>
      </c>
      <c r="V35" s="714" t="s">
        <v>21</v>
      </c>
      <c r="W35" s="715">
        <f t="shared" si="14"/>
        <v>100</v>
      </c>
      <c r="X35" s="1539"/>
      <c r="Y35" s="3323"/>
      <c r="Z35" s="1540" t="str">
        <f t="shared" si="18"/>
        <v>建筑品质</v>
      </c>
      <c r="AA35" s="1537">
        <f t="shared" si="15"/>
        <v>1</v>
      </c>
      <c r="AB35" s="1537">
        <f t="shared" si="16"/>
        <v>1</v>
      </c>
      <c r="AC35" s="1537">
        <f t="shared" si="17"/>
        <v>1</v>
      </c>
    </row>
    <row r="36" spans="1:29" ht="15">
      <c r="A36" s="431"/>
      <c r="B36" s="381" t="s">
        <v>2388</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321"/>
      <c r="Q36" s="1536" t="str">
        <f t="shared" si="11"/>
        <v>公共部分装修</v>
      </c>
      <c r="R36" s="714" t="s">
        <v>21</v>
      </c>
      <c r="S36" s="715">
        <f t="shared" si="12"/>
        <v>100</v>
      </c>
      <c r="T36" s="714" t="s">
        <v>21</v>
      </c>
      <c r="U36" s="715">
        <f t="shared" si="13"/>
        <v>100</v>
      </c>
      <c r="V36" s="714" t="s">
        <v>21</v>
      </c>
      <c r="W36" s="715">
        <f t="shared" si="14"/>
        <v>100</v>
      </c>
      <c r="X36" s="1539"/>
      <c r="Y36" s="3323"/>
      <c r="Z36" s="1540" t="str">
        <f t="shared" si="18"/>
        <v>公共部分装修</v>
      </c>
      <c r="AA36" s="1537">
        <f t="shared" si="15"/>
        <v>1</v>
      </c>
      <c r="AB36" s="1537">
        <f t="shared" si="16"/>
        <v>1</v>
      </c>
      <c r="AC36" s="1537">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21"/>
      <c r="Q37" s="1527" t="str">
        <f t="shared" si="11"/>
        <v>成新度</v>
      </c>
      <c r="R37" s="710" t="s">
        <v>21</v>
      </c>
      <c r="S37" s="711" t="e">
        <f t="shared" si="12"/>
        <v>#N/A</v>
      </c>
      <c r="T37" s="710" t="s">
        <v>21</v>
      </c>
      <c r="U37" s="711" t="e">
        <f t="shared" si="13"/>
        <v>#N/A</v>
      </c>
      <c r="V37" s="710" t="s">
        <v>21</v>
      </c>
      <c r="W37" s="711" t="e">
        <f t="shared" si="14"/>
        <v>#N/A</v>
      </c>
      <c r="X37" s="712"/>
      <c r="Y37" s="3323"/>
      <c r="Z37" s="55" t="str">
        <f t="shared" si="18"/>
        <v>成新度</v>
      </c>
      <c r="AA37" s="713" t="e">
        <f t="shared" si="15"/>
        <v>#N/A</v>
      </c>
      <c r="AB37" s="713" t="e">
        <f t="shared" si="16"/>
        <v>#N/A</v>
      </c>
      <c r="AC37" s="713" t="e">
        <f t="shared" si="17"/>
        <v>#N/A</v>
      </c>
    </row>
    <row r="38" spans="1:29" ht="15">
      <c r="A38" s="431"/>
      <c r="B38" s="381" t="s">
        <v>2390</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321" t="s">
        <v>2384</v>
      </c>
      <c r="Q38" s="1536" t="str">
        <f t="shared" si="11"/>
        <v>物业管理</v>
      </c>
      <c r="R38" s="714" t="s">
        <v>21</v>
      </c>
      <c r="S38" s="715">
        <f t="shared" si="12"/>
        <v>100</v>
      </c>
      <c r="T38" s="714" t="s">
        <v>21</v>
      </c>
      <c r="U38" s="715">
        <f t="shared" si="13"/>
        <v>100</v>
      </c>
      <c r="V38" s="714" t="s">
        <v>21</v>
      </c>
      <c r="W38" s="715">
        <f t="shared" si="14"/>
        <v>100</v>
      </c>
      <c r="X38" s="1539"/>
      <c r="Y38" s="3323" t="s">
        <v>2384</v>
      </c>
      <c r="Z38" s="1540" t="str">
        <f t="shared" si="18"/>
        <v>物业管理</v>
      </c>
      <c r="AA38" s="1537">
        <f t="shared" si="15"/>
        <v>1</v>
      </c>
      <c r="AB38" s="1537">
        <f t="shared" si="16"/>
        <v>1</v>
      </c>
      <c r="AC38" s="1537">
        <f t="shared" si="17"/>
        <v>1</v>
      </c>
    </row>
    <row r="39" spans="1:29" ht="15">
      <c r="A39" s="431"/>
      <c r="B39" s="381" t="s">
        <v>2391</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321"/>
      <c r="Q39" s="1536" t="str">
        <f t="shared" si="11"/>
        <v>市政基础设施</v>
      </c>
      <c r="R39" s="714" t="s">
        <v>21</v>
      </c>
      <c r="S39" s="715">
        <f t="shared" si="12"/>
        <v>100</v>
      </c>
      <c r="T39" s="714" t="s">
        <v>21</v>
      </c>
      <c r="U39" s="715">
        <f t="shared" si="13"/>
        <v>100</v>
      </c>
      <c r="V39" s="714" t="s">
        <v>21</v>
      </c>
      <c r="W39" s="715">
        <f t="shared" si="14"/>
        <v>100</v>
      </c>
      <c r="X39" s="1539"/>
      <c r="Y39" s="3323"/>
      <c r="Z39" s="1540" t="str">
        <f t="shared" si="18"/>
        <v>市政基础设施</v>
      </c>
      <c r="AA39" s="1537">
        <f t="shared" si="15"/>
        <v>1</v>
      </c>
      <c r="AB39" s="1537">
        <f t="shared" si="16"/>
        <v>1</v>
      </c>
      <c r="AC39" s="1537">
        <f t="shared" si="17"/>
        <v>1</v>
      </c>
    </row>
    <row r="40" spans="1:29" ht="15">
      <c r="A40" s="431"/>
      <c r="B40" s="381" t="s">
        <v>2392</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321"/>
      <c r="Q40" s="1536" t="str">
        <f t="shared" si="11"/>
        <v>房型</v>
      </c>
      <c r="R40" s="714" t="s">
        <v>21</v>
      </c>
      <c r="S40" s="715">
        <f t="shared" si="12"/>
        <v>100</v>
      </c>
      <c r="T40" s="714" t="s">
        <v>21</v>
      </c>
      <c r="U40" s="715">
        <f t="shared" si="13"/>
        <v>100</v>
      </c>
      <c r="V40" s="714" t="s">
        <v>21</v>
      </c>
      <c r="W40" s="715">
        <f t="shared" si="14"/>
        <v>100</v>
      </c>
      <c r="X40" s="1539"/>
      <c r="Y40" s="3323"/>
      <c r="Z40" s="1540" t="str">
        <f t="shared" si="18"/>
        <v>房型</v>
      </c>
      <c r="AA40" s="1537">
        <f t="shared" si="15"/>
        <v>1</v>
      </c>
      <c r="AB40" s="1537">
        <f t="shared" si="16"/>
        <v>1</v>
      </c>
      <c r="AC40" s="1537">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321"/>
      <c r="Q41" s="716" t="str">
        <f t="shared" si="11"/>
        <v>单套/主力户型建筑面积</v>
      </c>
      <c r="R41" s="717" t="s">
        <v>21</v>
      </c>
      <c r="S41" s="718">
        <f t="shared" si="12"/>
        <v>100</v>
      </c>
      <c r="T41" s="717" t="s">
        <v>21</v>
      </c>
      <c r="U41" s="718">
        <f t="shared" si="13"/>
        <v>100</v>
      </c>
      <c r="V41" s="717" t="s">
        <v>21</v>
      </c>
      <c r="W41" s="718">
        <f t="shared" si="14"/>
        <v>100</v>
      </c>
      <c r="X41" s="719"/>
      <c r="Y41" s="3323"/>
      <c r="Z41" s="720" t="str">
        <f t="shared" si="18"/>
        <v>单套/主力户型建筑面积</v>
      </c>
      <c r="AA41" s="1537">
        <f t="shared" si="15"/>
        <v>1</v>
      </c>
      <c r="AB41" s="1537">
        <f t="shared" si="16"/>
        <v>1</v>
      </c>
      <c r="AC41" s="1537">
        <f t="shared" si="17"/>
        <v>1</v>
      </c>
    </row>
    <row r="42" spans="1:29" ht="15">
      <c r="A42" s="431"/>
      <c r="B42" s="381" t="s">
        <v>2394</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321"/>
      <c r="Q42" s="1536" t="str">
        <f t="shared" si="11"/>
        <v>内部装修</v>
      </c>
      <c r="R42" s="714" t="s">
        <v>21</v>
      </c>
      <c r="S42" s="715">
        <f t="shared" si="12"/>
        <v>100</v>
      </c>
      <c r="T42" s="714" t="s">
        <v>21</v>
      </c>
      <c r="U42" s="715">
        <f t="shared" si="13"/>
        <v>100</v>
      </c>
      <c r="V42" s="714" t="s">
        <v>21</v>
      </c>
      <c r="W42" s="715">
        <f t="shared" si="14"/>
        <v>100</v>
      </c>
      <c r="X42" s="1539"/>
      <c r="Y42" s="3323"/>
      <c r="Z42" s="1540" t="str">
        <f t="shared" si="18"/>
        <v>内部装修</v>
      </c>
      <c r="AA42" s="1537">
        <f t="shared" si="15"/>
        <v>1</v>
      </c>
      <c r="AB42" s="1537">
        <f t="shared" si="16"/>
        <v>1</v>
      </c>
      <c r="AC42" s="1537">
        <f t="shared" si="17"/>
        <v>1</v>
      </c>
    </row>
    <row r="43" spans="1:29" ht="15">
      <c r="A43" s="431"/>
      <c r="B43" s="381" t="s">
        <v>2395</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321"/>
      <c r="Q43" s="1536" t="str">
        <f t="shared" si="11"/>
        <v>内部装修维护情况</v>
      </c>
      <c r="R43" s="714" t="s">
        <v>21</v>
      </c>
      <c r="S43" s="715">
        <f t="shared" si="12"/>
        <v>100</v>
      </c>
      <c r="T43" s="714" t="s">
        <v>21</v>
      </c>
      <c r="U43" s="715">
        <f t="shared" si="13"/>
        <v>100</v>
      </c>
      <c r="V43" s="714" t="s">
        <v>21</v>
      </c>
      <c r="W43" s="715">
        <f t="shared" si="14"/>
        <v>100</v>
      </c>
      <c r="X43" s="1539"/>
      <c r="Y43" s="332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321"/>
      <c r="Q44" s="1527">
        <f t="shared" si="11"/>
        <v>111</v>
      </c>
      <c r="R44" s="710" t="s">
        <v>21</v>
      </c>
      <c r="S44" s="711">
        <f t="shared" si="12"/>
        <v>100</v>
      </c>
      <c r="T44" s="710" t="s">
        <v>21</v>
      </c>
      <c r="U44" s="711">
        <f t="shared" si="13"/>
        <v>100</v>
      </c>
      <c r="V44" s="710" t="s">
        <v>21</v>
      </c>
      <c r="W44" s="711">
        <f t="shared" si="14"/>
        <v>100</v>
      </c>
      <c r="X44" s="712"/>
      <c r="Y44" s="332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321"/>
      <c r="Q45" s="1536">
        <f t="shared" si="11"/>
        <v>111</v>
      </c>
      <c r="R45" s="714" t="s">
        <v>21</v>
      </c>
      <c r="S45" s="715">
        <f t="shared" si="12"/>
        <v>100</v>
      </c>
      <c r="T45" s="714" t="s">
        <v>21</v>
      </c>
      <c r="U45" s="715">
        <f t="shared" si="13"/>
        <v>100</v>
      </c>
      <c r="V45" s="714" t="s">
        <v>21</v>
      </c>
      <c r="W45" s="715">
        <f t="shared" si="14"/>
        <v>100</v>
      </c>
      <c r="X45" s="1539"/>
      <c r="Y45" s="332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322"/>
      <c r="Q46" s="1536">
        <f t="shared" si="11"/>
        <v>111</v>
      </c>
      <c r="R46" s="714" t="s">
        <v>20</v>
      </c>
      <c r="S46" s="715">
        <f t="shared" si="12"/>
        <v>100</v>
      </c>
      <c r="T46" s="714" t="s">
        <v>20</v>
      </c>
      <c r="U46" s="715">
        <f t="shared" si="13"/>
        <v>100</v>
      </c>
      <c r="V46" s="714" t="s">
        <v>20</v>
      </c>
      <c r="W46" s="715">
        <f t="shared" si="14"/>
        <v>100</v>
      </c>
      <c r="X46" s="1539"/>
      <c r="Y46" s="3324"/>
      <c r="Z46" s="1540">
        <f t="shared" si="18"/>
        <v>111</v>
      </c>
      <c r="AA46" s="1537">
        <f t="shared" si="15"/>
        <v>1</v>
      </c>
      <c r="AB46" s="1537">
        <f t="shared" si="16"/>
        <v>1</v>
      </c>
      <c r="AC46" s="1537">
        <f t="shared" si="17"/>
        <v>1</v>
      </c>
    </row>
    <row r="47" spans="1:29" ht="15">
      <c r="A47" s="438" t="s">
        <v>2396</v>
      </c>
      <c r="B47" s="439"/>
      <c r="C47" s="1316" t="s">
        <v>19</v>
      </c>
      <c r="D47" s="1317"/>
      <c r="E47" s="1318"/>
      <c r="F47" s="1319"/>
      <c r="G47" s="1320"/>
      <c r="H47" s="1321"/>
      <c r="I47" s="1318"/>
      <c r="J47" s="1321"/>
      <c r="K47" s="2100"/>
      <c r="L47" s="2951"/>
      <c r="M47" s="2952"/>
      <c r="N47" s="2943"/>
      <c r="O47" s="2952"/>
      <c r="P47" s="3316" t="str">
        <f>A47</f>
        <v>成交单价（元/平方米）</v>
      </c>
      <c r="Q47" s="3316"/>
      <c r="R47" s="3317">
        <f>E47</f>
        <v>0</v>
      </c>
      <c r="S47" s="3317"/>
      <c r="T47" s="3317">
        <f>G47</f>
        <v>0</v>
      </c>
      <c r="U47" s="3317"/>
      <c r="V47" s="3317">
        <f>I47</f>
        <v>0</v>
      </c>
      <c r="W47" s="3317"/>
      <c r="X47" s="699"/>
      <c r="Y47" s="721"/>
      <c r="Z47" s="699"/>
      <c r="AA47" s="699"/>
      <c r="AB47" s="699"/>
      <c r="AC47" s="699"/>
    </row>
    <row r="48" spans="1:29" ht="15.75" thickBot="1">
      <c r="A48" s="445" t="s">
        <v>2397</v>
      </c>
      <c r="B48" s="446"/>
      <c r="C48" s="1322" t="e">
        <f>R49</f>
        <v>#DIV/0!</v>
      </c>
      <c r="D48" s="2538" t="s">
        <v>2878</v>
      </c>
      <c r="E48" s="1323" t="e">
        <f>R48</f>
        <v>#DIV/0!</v>
      </c>
      <c r="F48" s="2539"/>
      <c r="G48" s="1322" t="e">
        <f>T48</f>
        <v>#DIV/0!</v>
      </c>
      <c r="H48" s="2539"/>
      <c r="I48" s="1323" t="e">
        <f>V48</f>
        <v>#DIV/0!</v>
      </c>
      <c r="J48" s="2539"/>
      <c r="K48" s="2540">
        <f>F48+H48+J48</f>
        <v>0</v>
      </c>
      <c r="L48" s="2951"/>
      <c r="M48" s="2952"/>
      <c r="N48" s="2952"/>
      <c r="O48" s="2952"/>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1"/>
      <c r="L49" s="2951"/>
      <c r="M49" s="2952"/>
      <c r="N49" s="2952"/>
      <c r="O49" s="2952"/>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2021-8</v>
      </c>
      <c r="D58" s="1347">
        <f>EDATE(C58,-1)</f>
        <v>44378</v>
      </c>
      <c r="E58" s="1347">
        <f>EDATE(D58,-1)</f>
        <v>44348</v>
      </c>
      <c r="F58" s="1347">
        <f t="shared" ref="F58:O58" si="19">EDATE(E58,-1)</f>
        <v>44317</v>
      </c>
      <c r="G58" s="1347">
        <f t="shared" si="19"/>
        <v>44287</v>
      </c>
      <c r="H58" s="1347">
        <f t="shared" si="19"/>
        <v>44256</v>
      </c>
      <c r="I58" s="1347">
        <f t="shared" si="19"/>
        <v>44228</v>
      </c>
      <c r="J58" s="1347">
        <f t="shared" si="19"/>
        <v>44197</v>
      </c>
      <c r="K58" s="1347">
        <f t="shared" si="19"/>
        <v>44166</v>
      </c>
      <c r="L58" s="1347">
        <f t="shared" si="19"/>
        <v>44136</v>
      </c>
      <c r="M58" s="1347">
        <f t="shared" si="19"/>
        <v>44105</v>
      </c>
      <c r="N58" s="1347">
        <f t="shared" si="19"/>
        <v>44075</v>
      </c>
      <c r="O58" s="1347">
        <f t="shared" si="19"/>
        <v>44044</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1944</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2433</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2434</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2435</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2437</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2461</v>
      </c>
      <c r="C1" s="1406" t="s">
        <v>2349</v>
      </c>
      <c r="D1" s="1393"/>
      <c r="E1" s="2543"/>
      <c r="F1" s="2065"/>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2146</v>
      </c>
      <c r="B2" s="1326" t="e">
        <f ca="1">IF(C2="——",ROUND(C49*D3/10000,0),ROUND(C49*D3/10000,0)-D2)</f>
        <v>#DIV/0!</v>
      </c>
      <c r="C2" s="2067"/>
      <c r="D2" s="1275" t="e">
        <f ca="1">SUMIF(INDIRECT("'"&amp;F2&amp;"'"&amp;"!A:A"),"承租人权益价值",INDIRECT("'"&amp;F2&amp;"'"&amp;"!c:c"))</f>
        <v>#REF!</v>
      </c>
      <c r="E2" s="2068" t="s">
        <v>2147</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2148</v>
      </c>
      <c r="B3" s="566" t="e">
        <f ca="1">IF(C2="——",C49,ROUND(B2*10000/D3,0))</f>
        <v>#DIV/0!</v>
      </c>
      <c r="C3" s="360" t="s">
        <v>2463</v>
      </c>
      <c r="D3" s="359">
        <f>IF(D1="",'数据-汇总表'!E3,SUMIF('数据-汇总表'!$C19:$C33,D1,'数据-汇总表'!$E19:$E33))</f>
        <v>12608.400000000001</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2464</v>
      </c>
      <c r="B4" s="362"/>
      <c r="C4" s="3331" t="s">
        <v>2465</v>
      </c>
      <c r="D4" s="3332"/>
      <c r="E4" s="3333" t="s">
        <v>2466</v>
      </c>
      <c r="F4" s="3334"/>
      <c r="G4" s="3331" t="s">
        <v>2467</v>
      </c>
      <c r="H4" s="3332"/>
      <c r="I4" s="3331" t="s">
        <v>2468</v>
      </c>
      <c r="J4" s="3332"/>
      <c r="K4" s="567" t="s">
        <v>2469</v>
      </c>
      <c r="L4" s="2942"/>
      <c r="M4" s="2943"/>
      <c r="N4" s="2943"/>
      <c r="O4" s="2943"/>
      <c r="P4" s="3335" t="s">
        <v>2470</v>
      </c>
      <c r="Q4" s="3336"/>
      <c r="R4" s="3341" t="s">
        <v>2466</v>
      </c>
      <c r="S4" s="3342"/>
      <c r="T4" s="3341" t="s">
        <v>2467</v>
      </c>
      <c r="U4" s="3342"/>
      <c r="V4" s="3347" t="s">
        <v>2468</v>
      </c>
      <c r="W4" s="3347"/>
      <c r="X4" s="1539"/>
      <c r="Y4" s="3341" t="s">
        <v>2470</v>
      </c>
      <c r="Z4" s="3342"/>
      <c r="AA4" s="3328" t="s">
        <v>2466</v>
      </c>
      <c r="AB4" s="3347" t="s">
        <v>2467</v>
      </c>
      <c r="AC4" s="3328" t="s">
        <v>2468</v>
      </c>
    </row>
    <row r="5" spans="1:29" ht="15">
      <c r="A5" s="364"/>
      <c r="B5" s="365"/>
      <c r="C5" s="3350" t="s">
        <v>2361</v>
      </c>
      <c r="D5" s="3351"/>
      <c r="E5" s="3357" t="s">
        <v>2362</v>
      </c>
      <c r="F5" s="3358"/>
      <c r="G5" s="3350" t="s">
        <v>2363</v>
      </c>
      <c r="H5" s="3351"/>
      <c r="I5" s="3350" t="s">
        <v>2364</v>
      </c>
      <c r="J5" s="3351"/>
      <c r="K5" s="567"/>
      <c r="L5" s="2942"/>
      <c r="M5" s="2943"/>
      <c r="N5" s="2943"/>
      <c r="O5" s="2943"/>
      <c r="P5" s="3337"/>
      <c r="Q5" s="3338"/>
      <c r="R5" s="3343"/>
      <c r="S5" s="3344"/>
      <c r="T5" s="3343"/>
      <c r="U5" s="3344"/>
      <c r="V5" s="3347"/>
      <c r="W5" s="3347"/>
      <c r="X5" s="1539"/>
      <c r="Y5" s="3343"/>
      <c r="Z5" s="3344"/>
      <c r="AA5" s="3329"/>
      <c r="AB5" s="3347"/>
      <c r="AC5" s="3329"/>
    </row>
    <row r="6" spans="1:29" ht="15.75" thickBot="1">
      <c r="A6" s="366"/>
      <c r="B6" s="367"/>
      <c r="C6" s="3348" t="s">
        <v>2365</v>
      </c>
      <c r="D6" s="3349"/>
      <c r="E6" s="3355" t="s">
        <v>2365</v>
      </c>
      <c r="F6" s="3356"/>
      <c r="G6" s="3348" t="s">
        <v>2365</v>
      </c>
      <c r="H6" s="3349"/>
      <c r="I6" s="3348" t="s">
        <v>2365</v>
      </c>
      <c r="J6" s="3349"/>
      <c r="K6" s="567" t="s">
        <v>2366</v>
      </c>
      <c r="L6" s="2942"/>
      <c r="M6" s="2943"/>
      <c r="N6" s="2943"/>
      <c r="O6" s="2943"/>
      <c r="P6" s="3339"/>
      <c r="Q6" s="3340"/>
      <c r="R6" s="3343"/>
      <c r="S6" s="3344"/>
      <c r="T6" s="3345"/>
      <c r="U6" s="3346"/>
      <c r="V6" s="3347"/>
      <c r="W6" s="3347"/>
      <c r="X6" s="1539"/>
      <c r="Y6" s="3345"/>
      <c r="Z6" s="3346"/>
      <c r="AA6" s="3330"/>
      <c r="AB6" s="3347"/>
      <c r="AC6" s="3330"/>
    </row>
    <row r="7" spans="1:29" s="113" customFormat="1" ht="15.75" thickBot="1">
      <c r="A7" s="368" t="s">
        <v>2367</v>
      </c>
      <c r="B7" s="369"/>
      <c r="C7" s="370">
        <f>'数据-取费表'!B2</f>
        <v>44434</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52" t="s">
        <v>2368</v>
      </c>
      <c r="Q7" s="3354"/>
      <c r="R7" s="710" t="s">
        <v>17</v>
      </c>
      <c r="S7" s="711">
        <f t="shared" ref="S7:S15" si="0">F7</f>
        <v>0</v>
      </c>
      <c r="T7" s="710" t="s">
        <v>17</v>
      </c>
      <c r="U7" s="711">
        <f t="shared" ref="U7:U15" si="1">H7</f>
        <v>0</v>
      </c>
      <c r="V7" s="710" t="s">
        <v>17</v>
      </c>
      <c r="W7" s="711">
        <f t="shared" ref="W7:W15" si="2">J7</f>
        <v>0</v>
      </c>
      <c r="X7" s="712"/>
      <c r="Y7" s="3352" t="s">
        <v>2368</v>
      </c>
      <c r="Z7" s="3353"/>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52" t="s">
        <v>2371</v>
      </c>
      <c r="Q8" s="3353"/>
      <c r="R8" s="710" t="s">
        <v>17</v>
      </c>
      <c r="S8" s="711">
        <f t="shared" si="0"/>
        <v>0</v>
      </c>
      <c r="T8" s="710" t="s">
        <v>17</v>
      </c>
      <c r="U8" s="711">
        <f t="shared" si="1"/>
        <v>0</v>
      </c>
      <c r="V8" s="710" t="s">
        <v>17</v>
      </c>
      <c r="W8" s="711">
        <f t="shared" si="2"/>
        <v>0</v>
      </c>
      <c r="X8" s="712"/>
      <c r="Y8" s="3352" t="s">
        <v>2371</v>
      </c>
      <c r="Z8" s="3353"/>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27" t="s">
        <v>2374</v>
      </c>
      <c r="Q9" s="1527" t="str">
        <f t="shared" ref="Q9:Q15" si="6">B9</f>
        <v>用途</v>
      </c>
      <c r="R9" s="710" t="s">
        <v>17</v>
      </c>
      <c r="S9" s="711">
        <f t="shared" si="0"/>
        <v>100</v>
      </c>
      <c r="T9" s="710" t="s">
        <v>17</v>
      </c>
      <c r="U9" s="711">
        <f t="shared" si="1"/>
        <v>100</v>
      </c>
      <c r="V9" s="710" t="s">
        <v>17</v>
      </c>
      <c r="W9" s="711">
        <f t="shared" si="2"/>
        <v>100</v>
      </c>
      <c r="X9" s="712"/>
      <c r="Y9" s="316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27"/>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27"/>
      <c r="Q11" s="1527"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27"/>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27"/>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27"/>
      <c r="Q14" s="1527">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25" t="s">
        <v>2379</v>
      </c>
      <c r="Q15" s="1536" t="str">
        <f t="shared" si="6"/>
        <v>商业繁华度</v>
      </c>
      <c r="R15" s="714" t="s">
        <v>17</v>
      </c>
      <c r="S15" s="715">
        <f t="shared" si="0"/>
        <v>100</v>
      </c>
      <c r="T15" s="714" t="s">
        <v>17</v>
      </c>
      <c r="U15" s="715">
        <f t="shared" si="1"/>
        <v>100</v>
      </c>
      <c r="V15" s="714" t="s">
        <v>17</v>
      </c>
      <c r="W15" s="715">
        <f t="shared" si="2"/>
        <v>100</v>
      </c>
      <c r="X15" s="1539"/>
      <c r="Y15" s="3318" t="s">
        <v>2379</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9"/>
      <c r="M16" s="2943"/>
      <c r="N16" s="2943"/>
      <c r="O16" s="2943"/>
      <c r="P16" s="3326"/>
      <c r="Q16" s="1536"/>
      <c r="R16" s="714"/>
      <c r="S16" s="715"/>
      <c r="T16" s="714"/>
      <c r="U16" s="715"/>
      <c r="V16" s="714"/>
      <c r="W16" s="715"/>
      <c r="X16" s="1539"/>
      <c r="Y16" s="3319"/>
      <c r="Z16" s="1540"/>
      <c r="AA16" s="1537">
        <v>1</v>
      </c>
      <c r="AB16" s="1537">
        <v>1</v>
      </c>
      <c r="AC16" s="1537">
        <v>1</v>
      </c>
    </row>
    <row r="17" spans="1:29" ht="85.5">
      <c r="A17" s="387"/>
      <c r="B17" s="410" t="s">
        <v>1943</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26"/>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9"/>
      <c r="M18" s="2943"/>
      <c r="N18" s="2943"/>
      <c r="O18" s="2943"/>
      <c r="P18" s="3326"/>
      <c r="Q18" s="1536"/>
      <c r="R18" s="714"/>
      <c r="S18" s="715"/>
      <c r="T18" s="714"/>
      <c r="U18" s="715"/>
      <c r="V18" s="714"/>
      <c r="W18" s="715"/>
      <c r="X18" s="1539"/>
      <c r="Y18" s="3319"/>
      <c r="Z18" s="1540"/>
      <c r="AA18" s="1537">
        <v>1</v>
      </c>
      <c r="AB18" s="1537">
        <v>1</v>
      </c>
      <c r="AC18" s="1537">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26"/>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9"/>
      <c r="M20" s="2943"/>
      <c r="N20" s="2943"/>
      <c r="O20" s="2943"/>
      <c r="P20" s="3326"/>
      <c r="Q20" s="1536"/>
      <c r="R20" s="714"/>
      <c r="S20" s="715"/>
      <c r="T20" s="714"/>
      <c r="U20" s="715"/>
      <c r="V20" s="714"/>
      <c r="W20" s="715"/>
      <c r="X20" s="1539"/>
      <c r="Y20" s="3319"/>
      <c r="Z20" s="1540"/>
      <c r="AA20" s="1537">
        <v>1</v>
      </c>
      <c r="AB20" s="1537">
        <v>1</v>
      </c>
      <c r="AC20" s="1537">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9"/>
      <c r="M22" s="2943"/>
      <c r="N22" s="2943"/>
      <c r="O22" s="2943"/>
      <c r="P22" s="3326"/>
      <c r="Q22" s="1536"/>
      <c r="R22" s="714"/>
      <c r="S22" s="715"/>
      <c r="T22" s="714"/>
      <c r="U22" s="715"/>
      <c r="V22" s="714"/>
      <c r="W22" s="715"/>
      <c r="X22" s="1539"/>
      <c r="Y22" s="3319"/>
      <c r="Z22" s="1540"/>
      <c r="AA22" s="1537">
        <v>1</v>
      </c>
      <c r="AB22" s="1537">
        <v>1</v>
      </c>
      <c r="AC22" s="1537">
        <v>1</v>
      </c>
    </row>
    <row r="23" spans="1:29" ht="57">
      <c r="A23" s="387"/>
      <c r="B23" s="410" t="s">
        <v>1945</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26"/>
      <c r="Q23" s="1536" t="str">
        <f>B23</f>
        <v>自然及人文环境</v>
      </c>
      <c r="R23" s="714" t="s">
        <v>17</v>
      </c>
      <c r="S23" s="715">
        <f>F23</f>
        <v>100</v>
      </c>
      <c r="T23" s="714" t="s">
        <v>17</v>
      </c>
      <c r="U23" s="715">
        <f>H23</f>
        <v>100</v>
      </c>
      <c r="V23" s="714" t="s">
        <v>17</v>
      </c>
      <c r="W23" s="715">
        <f>J23</f>
        <v>100</v>
      </c>
      <c r="X23" s="1539"/>
      <c r="Y23" s="331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9"/>
      <c r="M24" s="2943"/>
      <c r="N24" s="2943"/>
      <c r="O24" s="2943"/>
      <c r="P24" s="3326"/>
      <c r="Q24" s="1536"/>
      <c r="R24" s="714"/>
      <c r="S24" s="715"/>
      <c r="T24" s="714"/>
      <c r="U24" s="715"/>
      <c r="V24" s="714"/>
      <c r="W24" s="715"/>
      <c r="X24" s="1539"/>
      <c r="Y24" s="3319"/>
      <c r="Z24" s="1540"/>
      <c r="AA24" s="1537">
        <v>1</v>
      </c>
      <c r="AB24" s="1537">
        <v>1</v>
      </c>
      <c r="AC24" s="1537">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26"/>
      <c r="Q25" s="1536" t="str">
        <f t="shared" ref="Q25:Q46" si="11">B25</f>
        <v>临街状况</v>
      </c>
      <c r="R25" s="714" t="s">
        <v>17</v>
      </c>
      <c r="S25" s="715">
        <f>F25</f>
        <v>100</v>
      </c>
      <c r="T25" s="714" t="s">
        <v>17</v>
      </c>
      <c r="U25" s="715">
        <f>H25</f>
        <v>100</v>
      </c>
      <c r="V25" s="714" t="s">
        <v>17</v>
      </c>
      <c r="W25" s="715">
        <f>J25</f>
        <v>100</v>
      </c>
      <c r="X25" s="1539"/>
      <c r="Y25" s="3319"/>
      <c r="Z25" s="1540" t="str">
        <f>Q25</f>
        <v>临街状况</v>
      </c>
      <c r="AA25" s="1537">
        <f t="shared" si="3"/>
        <v>1</v>
      </c>
      <c r="AB25" s="1537">
        <f t="shared" si="4"/>
        <v>1</v>
      </c>
      <c r="AC25" s="1537">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26"/>
      <c r="Q26" s="1536" t="str">
        <f t="shared" si="11"/>
        <v>平面位置/可视性</v>
      </c>
      <c r="R26" s="714" t="s">
        <v>17</v>
      </c>
      <c r="S26" s="715">
        <f>F26</f>
        <v>100</v>
      </c>
      <c r="T26" s="714" t="s">
        <v>17</v>
      </c>
      <c r="U26" s="715">
        <f>H26</f>
        <v>100</v>
      </c>
      <c r="V26" s="714" t="s">
        <v>17</v>
      </c>
      <c r="W26" s="715">
        <f>J26</f>
        <v>100</v>
      </c>
      <c r="X26" s="1539"/>
      <c r="Y26" s="3319"/>
      <c r="Z26" s="1540" t="str">
        <f>Q26</f>
        <v>平面位置/可视性</v>
      </c>
      <c r="AA26" s="1537">
        <f t="shared" si="3"/>
        <v>1</v>
      </c>
      <c r="AB26" s="1537">
        <f t="shared" si="4"/>
        <v>1</v>
      </c>
      <c r="AC26" s="1537">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4"/>
      <c r="M27" s="2945"/>
      <c r="N27" s="2945"/>
      <c r="O27" s="2945"/>
      <c r="P27" s="3326"/>
      <c r="Q27" s="1527" t="str">
        <f t="shared" si="11"/>
        <v>人流量</v>
      </c>
      <c r="R27" s="710" t="s">
        <v>17</v>
      </c>
      <c r="S27" s="711">
        <f>F27</f>
        <v>100</v>
      </c>
      <c r="T27" s="710" t="s">
        <v>17</v>
      </c>
      <c r="U27" s="711">
        <f>H27</f>
        <v>100</v>
      </c>
      <c r="V27" s="710" t="s">
        <v>17</v>
      </c>
      <c r="W27" s="711">
        <f>J27</f>
        <v>100</v>
      </c>
      <c r="X27" s="712"/>
      <c r="Y27" s="3319"/>
      <c r="Z27" s="55" t="str">
        <f>Q27</f>
        <v>人流量</v>
      </c>
      <c r="AA27" s="1537">
        <f>D27/F27</f>
        <v>1</v>
      </c>
      <c r="AB27" s="1537">
        <f>D27/H27</f>
        <v>1</v>
      </c>
      <c r="AC27" s="1537">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2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26"/>
      <c r="Q29" s="1536">
        <f t="shared" si="11"/>
        <v>111</v>
      </c>
      <c r="R29" s="714" t="s">
        <v>17</v>
      </c>
      <c r="S29" s="715">
        <f t="shared" si="12"/>
        <v>100</v>
      </c>
      <c r="T29" s="714" t="s">
        <v>17</v>
      </c>
      <c r="U29" s="715">
        <f t="shared" si="13"/>
        <v>100</v>
      </c>
      <c r="V29" s="714" t="s">
        <v>17</v>
      </c>
      <c r="W29" s="715">
        <f t="shared" si="14"/>
        <v>100</v>
      </c>
      <c r="X29" s="1539"/>
      <c r="Y29" s="331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26"/>
      <c r="Q30" s="1536">
        <f t="shared" si="11"/>
        <v>111</v>
      </c>
      <c r="R30" s="714" t="s">
        <v>17</v>
      </c>
      <c r="S30" s="715">
        <f t="shared" si="12"/>
        <v>100</v>
      </c>
      <c r="T30" s="714" t="s">
        <v>17</v>
      </c>
      <c r="U30" s="715">
        <f t="shared" si="13"/>
        <v>100</v>
      </c>
      <c r="V30" s="714" t="s">
        <v>17</v>
      </c>
      <c r="W30" s="715">
        <f t="shared" si="14"/>
        <v>100</v>
      </c>
      <c r="X30" s="1539"/>
      <c r="Y30" s="331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26"/>
      <c r="Q31" s="1536">
        <f t="shared" si="11"/>
        <v>111</v>
      </c>
      <c r="R31" s="714" t="s">
        <v>17</v>
      </c>
      <c r="S31" s="715">
        <f t="shared" si="12"/>
        <v>100</v>
      </c>
      <c r="T31" s="714" t="s">
        <v>17</v>
      </c>
      <c r="U31" s="715">
        <f t="shared" si="13"/>
        <v>100</v>
      </c>
      <c r="V31" s="714" t="s">
        <v>17</v>
      </c>
      <c r="W31" s="715">
        <f t="shared" si="14"/>
        <v>100</v>
      </c>
      <c r="X31" s="1539"/>
      <c r="Y31" s="3319"/>
      <c r="Z31" s="1540">
        <f t="shared" si="15"/>
        <v>111</v>
      </c>
      <c r="AA31" s="1537">
        <f t="shared" si="3"/>
        <v>1</v>
      </c>
      <c r="AB31" s="1537">
        <f t="shared" si="4"/>
        <v>1</v>
      </c>
      <c r="AC31" s="1537">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320" t="s">
        <v>2384</v>
      </c>
      <c r="Q32" s="1536" t="str">
        <f t="shared" si="11"/>
        <v>商业类型</v>
      </c>
      <c r="R32" s="714" t="s">
        <v>17</v>
      </c>
      <c r="S32" s="715">
        <f t="shared" si="12"/>
        <v>100</v>
      </c>
      <c r="T32" s="714" t="s">
        <v>17</v>
      </c>
      <c r="U32" s="715">
        <f t="shared" si="13"/>
        <v>100</v>
      </c>
      <c r="V32" s="714" t="s">
        <v>17</v>
      </c>
      <c r="W32" s="715">
        <f t="shared" si="14"/>
        <v>100</v>
      </c>
      <c r="X32" s="1539"/>
      <c r="Y32" s="3323" t="s">
        <v>2384</v>
      </c>
      <c r="Z32" s="1540" t="str">
        <f t="shared" si="15"/>
        <v>商业类型</v>
      </c>
      <c r="AA32" s="1537">
        <f t="shared" si="3"/>
        <v>1</v>
      </c>
      <c r="AB32" s="1537">
        <f t="shared" si="4"/>
        <v>1</v>
      </c>
      <c r="AC32" s="1537">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21"/>
      <c r="Q33" s="716" t="str">
        <f t="shared" si="11"/>
        <v>项目建筑规模</v>
      </c>
      <c r="R33" s="717" t="s">
        <v>17</v>
      </c>
      <c r="S33" s="718" t="e">
        <f t="shared" si="12"/>
        <v>#N/A</v>
      </c>
      <c r="T33" s="717" t="s">
        <v>17</v>
      </c>
      <c r="U33" s="718" t="e">
        <f t="shared" si="13"/>
        <v>#N/A</v>
      </c>
      <c r="V33" s="717" t="s">
        <v>17</v>
      </c>
      <c r="W33" s="718" t="e">
        <f t="shared" si="14"/>
        <v>#N/A</v>
      </c>
      <c r="X33" s="719"/>
      <c r="Y33" s="3323"/>
      <c r="Z33" s="720" t="str">
        <f t="shared" si="15"/>
        <v>项目建筑规模</v>
      </c>
      <c r="AA33" s="1537" t="e">
        <f t="shared" si="3"/>
        <v>#N/A</v>
      </c>
      <c r="AB33" s="1537" t="e">
        <f t="shared" si="4"/>
        <v>#N/A</v>
      </c>
      <c r="AC33" s="1537"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9"/>
      <c r="M34" s="2943"/>
      <c r="N34" s="2943"/>
      <c r="O34" s="2943"/>
      <c r="P34" s="3321"/>
      <c r="Q34" s="1536" t="str">
        <f t="shared" si="11"/>
        <v>建筑结构</v>
      </c>
      <c r="R34" s="714" t="s">
        <v>17</v>
      </c>
      <c r="S34" s="715">
        <f t="shared" si="12"/>
        <v>100</v>
      </c>
      <c r="T34" s="714" t="s">
        <v>17</v>
      </c>
      <c r="U34" s="715">
        <f t="shared" si="13"/>
        <v>100</v>
      </c>
      <c r="V34" s="714" t="s">
        <v>17</v>
      </c>
      <c r="W34" s="715">
        <f t="shared" si="14"/>
        <v>100</v>
      </c>
      <c r="X34" s="1539"/>
      <c r="Y34" s="3323"/>
      <c r="Z34" s="1540" t="str">
        <f t="shared" si="15"/>
        <v>建筑结构</v>
      </c>
      <c r="AA34" s="1537">
        <f t="shared" si="3"/>
        <v>1</v>
      </c>
      <c r="AB34" s="1537">
        <f t="shared" si="4"/>
        <v>1</v>
      </c>
      <c r="AC34" s="1537">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321"/>
      <c r="Q35" s="1536" t="str">
        <f t="shared" si="11"/>
        <v>公共部分装修</v>
      </c>
      <c r="R35" s="714" t="s">
        <v>17</v>
      </c>
      <c r="S35" s="715">
        <f t="shared" si="12"/>
        <v>100</v>
      </c>
      <c r="T35" s="714" t="s">
        <v>17</v>
      </c>
      <c r="U35" s="715">
        <f t="shared" si="13"/>
        <v>100</v>
      </c>
      <c r="V35" s="714" t="s">
        <v>17</v>
      </c>
      <c r="W35" s="715">
        <f t="shared" si="14"/>
        <v>100</v>
      </c>
      <c r="X35" s="1539"/>
      <c r="Y35" s="3323"/>
      <c r="Z35" s="1540" t="str">
        <f t="shared" si="15"/>
        <v>公共部分装修</v>
      </c>
      <c r="AA35" s="1537">
        <f t="shared" si="3"/>
        <v>1</v>
      </c>
      <c r="AB35" s="1537">
        <f t="shared" si="4"/>
        <v>1</v>
      </c>
      <c r="AC35" s="1537">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21"/>
      <c r="Q36" s="1536" t="str">
        <f t="shared" si="11"/>
        <v>成新度</v>
      </c>
      <c r="R36" s="714" t="s">
        <v>17</v>
      </c>
      <c r="S36" s="715" t="e">
        <f t="shared" si="12"/>
        <v>#N/A</v>
      </c>
      <c r="T36" s="714" t="s">
        <v>17</v>
      </c>
      <c r="U36" s="715" t="e">
        <f t="shared" si="13"/>
        <v>#N/A</v>
      </c>
      <c r="V36" s="714" t="s">
        <v>17</v>
      </c>
      <c r="W36" s="715" t="e">
        <f t="shared" si="14"/>
        <v>#N/A</v>
      </c>
      <c r="X36" s="1539"/>
      <c r="Y36" s="3323"/>
      <c r="Z36" s="1540" t="str">
        <f t="shared" si="15"/>
        <v>成新度</v>
      </c>
      <c r="AA36" s="1537" t="e">
        <f t="shared" si="3"/>
        <v>#N/A</v>
      </c>
      <c r="AB36" s="1537" t="e">
        <f t="shared" si="4"/>
        <v>#N/A</v>
      </c>
      <c r="AC36" s="1537"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321"/>
      <c r="Q37" s="1527" t="str">
        <f t="shared" si="11"/>
        <v>市政基础设施</v>
      </c>
      <c r="R37" s="710" t="s">
        <v>17</v>
      </c>
      <c r="S37" s="711">
        <f t="shared" si="12"/>
        <v>100</v>
      </c>
      <c r="T37" s="710" t="s">
        <v>17</v>
      </c>
      <c r="U37" s="711">
        <f t="shared" si="13"/>
        <v>100</v>
      </c>
      <c r="V37" s="710" t="s">
        <v>17</v>
      </c>
      <c r="W37" s="711">
        <f t="shared" si="14"/>
        <v>100</v>
      </c>
      <c r="X37" s="712"/>
      <c r="Y37" s="3323"/>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321" t="s">
        <v>2384</v>
      </c>
      <c r="Q38" s="1536" t="str">
        <f t="shared" si="11"/>
        <v>业态</v>
      </c>
      <c r="R38" s="714" t="s">
        <v>17</v>
      </c>
      <c r="S38" s="715">
        <f t="shared" si="12"/>
        <v>100</v>
      </c>
      <c r="T38" s="714" t="s">
        <v>17</v>
      </c>
      <c r="U38" s="715">
        <f t="shared" si="13"/>
        <v>100</v>
      </c>
      <c r="V38" s="714" t="s">
        <v>17</v>
      </c>
      <c r="W38" s="715">
        <f t="shared" si="14"/>
        <v>100</v>
      </c>
      <c r="X38" s="1539"/>
      <c r="Y38" s="3323" t="s">
        <v>2384</v>
      </c>
      <c r="Z38" s="1540" t="str">
        <f t="shared" si="15"/>
        <v>业态</v>
      </c>
      <c r="AA38" s="1537">
        <f t="shared" si="3"/>
        <v>1</v>
      </c>
      <c r="AB38" s="1537">
        <f t="shared" si="4"/>
        <v>1</v>
      </c>
      <c r="AC38" s="1537">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321"/>
      <c r="Q39" s="1536" t="str">
        <f t="shared" si="11"/>
        <v>层高</v>
      </c>
      <c r="R39" s="714" t="s">
        <v>17</v>
      </c>
      <c r="S39" s="715">
        <f t="shared" si="12"/>
        <v>100</v>
      </c>
      <c r="T39" s="714" t="s">
        <v>17</v>
      </c>
      <c r="U39" s="715">
        <f t="shared" si="13"/>
        <v>100</v>
      </c>
      <c r="V39" s="714" t="s">
        <v>17</v>
      </c>
      <c r="W39" s="715">
        <f t="shared" si="14"/>
        <v>100</v>
      </c>
      <c r="X39" s="1539"/>
      <c r="Y39" s="3323"/>
      <c r="Z39" s="1540" t="str">
        <f t="shared" si="15"/>
        <v>层高</v>
      </c>
      <c r="AA39" s="1537">
        <f t="shared" si="3"/>
        <v>1</v>
      </c>
      <c r="AB39" s="1537">
        <f t="shared" si="4"/>
        <v>1</v>
      </c>
      <c r="AC39" s="1537">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21"/>
      <c r="Q40" s="1536" t="str">
        <f t="shared" si="11"/>
        <v>单套建筑面积</v>
      </c>
      <c r="R40" s="714" t="s">
        <v>17</v>
      </c>
      <c r="S40" s="715">
        <f t="shared" si="12"/>
        <v>100</v>
      </c>
      <c r="T40" s="714" t="s">
        <v>17</v>
      </c>
      <c r="U40" s="715">
        <f t="shared" si="13"/>
        <v>100</v>
      </c>
      <c r="V40" s="714" t="s">
        <v>17</v>
      </c>
      <c r="W40" s="715">
        <f t="shared" si="14"/>
        <v>100</v>
      </c>
      <c r="X40" s="1539"/>
      <c r="Y40" s="3323"/>
      <c r="Z40" s="1540" t="str">
        <f t="shared" si="15"/>
        <v>单套建筑面积</v>
      </c>
      <c r="AA40" s="1537">
        <f t="shared" si="3"/>
        <v>1</v>
      </c>
      <c r="AB40" s="1537">
        <f t="shared" si="4"/>
        <v>1</v>
      </c>
      <c r="AC40" s="1537">
        <f t="shared" si="5"/>
        <v>1</v>
      </c>
    </row>
    <row r="41" spans="1:29" s="430" customFormat="1" ht="15">
      <c r="A41" s="427"/>
      <c r="B41" s="1538"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21"/>
      <c r="Q41" s="716" t="str">
        <f t="shared" si="11"/>
        <v>进深比</v>
      </c>
      <c r="R41" s="717" t="s">
        <v>17</v>
      </c>
      <c r="S41" s="718">
        <f t="shared" si="12"/>
        <v>100</v>
      </c>
      <c r="T41" s="717" t="s">
        <v>17</v>
      </c>
      <c r="U41" s="718">
        <f t="shared" si="13"/>
        <v>100</v>
      </c>
      <c r="V41" s="717" t="s">
        <v>17</v>
      </c>
      <c r="W41" s="718">
        <f t="shared" si="14"/>
        <v>100</v>
      </c>
      <c r="X41" s="719"/>
      <c r="Y41" s="3323"/>
      <c r="Z41" s="720" t="str">
        <f t="shared" si="15"/>
        <v>进深比</v>
      </c>
      <c r="AA41" s="1537">
        <f t="shared" si="3"/>
        <v>1</v>
      </c>
      <c r="AB41" s="1537">
        <f t="shared" si="4"/>
        <v>1</v>
      </c>
      <c r="AC41" s="1537">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321"/>
      <c r="Q42" s="1536" t="str">
        <f t="shared" si="11"/>
        <v>内部装修</v>
      </c>
      <c r="R42" s="714" t="s">
        <v>17</v>
      </c>
      <c r="S42" s="715">
        <f t="shared" si="12"/>
        <v>100</v>
      </c>
      <c r="T42" s="714" t="s">
        <v>17</v>
      </c>
      <c r="U42" s="715">
        <f t="shared" si="13"/>
        <v>100</v>
      </c>
      <c r="V42" s="714" t="s">
        <v>17</v>
      </c>
      <c r="W42" s="715">
        <f t="shared" si="14"/>
        <v>100</v>
      </c>
      <c r="X42" s="1539"/>
      <c r="Y42" s="3323"/>
      <c r="Z42" s="1540" t="str">
        <f t="shared" si="15"/>
        <v>内部装修</v>
      </c>
      <c r="AA42" s="1537">
        <f t="shared" si="3"/>
        <v>1</v>
      </c>
      <c r="AB42" s="1537">
        <f t="shared" si="4"/>
        <v>1</v>
      </c>
      <c r="AC42" s="1537">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321"/>
      <c r="Q43" s="1536" t="str">
        <f t="shared" si="11"/>
        <v>内部装修维护情况</v>
      </c>
      <c r="R43" s="714" t="s">
        <v>17</v>
      </c>
      <c r="S43" s="715">
        <f t="shared" si="12"/>
        <v>100</v>
      </c>
      <c r="T43" s="714" t="s">
        <v>17</v>
      </c>
      <c r="U43" s="715">
        <f t="shared" si="13"/>
        <v>100</v>
      </c>
      <c r="V43" s="714" t="s">
        <v>17</v>
      </c>
      <c r="W43" s="715">
        <f t="shared" si="14"/>
        <v>100</v>
      </c>
      <c r="X43" s="1539"/>
      <c r="Y43" s="332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21"/>
      <c r="Q44" s="1527">
        <f t="shared" si="11"/>
        <v>111</v>
      </c>
      <c r="R44" s="710" t="s">
        <v>17</v>
      </c>
      <c r="S44" s="711">
        <f t="shared" si="12"/>
        <v>100</v>
      </c>
      <c r="T44" s="710" t="s">
        <v>17</v>
      </c>
      <c r="U44" s="711">
        <f t="shared" si="13"/>
        <v>100</v>
      </c>
      <c r="V44" s="710" t="s">
        <v>17</v>
      </c>
      <c r="W44" s="711">
        <f t="shared" si="14"/>
        <v>100</v>
      </c>
      <c r="X44" s="712"/>
      <c r="Y44" s="332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21"/>
      <c r="Q45" s="1536">
        <f t="shared" si="11"/>
        <v>111</v>
      </c>
      <c r="R45" s="714" t="s">
        <v>17</v>
      </c>
      <c r="S45" s="715">
        <f t="shared" si="12"/>
        <v>100</v>
      </c>
      <c r="T45" s="714" t="s">
        <v>17</v>
      </c>
      <c r="U45" s="715">
        <f t="shared" si="13"/>
        <v>100</v>
      </c>
      <c r="V45" s="714" t="s">
        <v>17</v>
      </c>
      <c r="W45" s="715">
        <f t="shared" si="14"/>
        <v>100</v>
      </c>
      <c r="X45" s="1539"/>
      <c r="Y45" s="332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22"/>
      <c r="Q46" s="1536">
        <f t="shared" si="11"/>
        <v>111</v>
      </c>
      <c r="R46" s="714" t="s">
        <v>17</v>
      </c>
      <c r="S46" s="715">
        <f t="shared" si="12"/>
        <v>100</v>
      </c>
      <c r="T46" s="714" t="s">
        <v>17</v>
      </c>
      <c r="U46" s="715">
        <f t="shared" si="13"/>
        <v>100</v>
      </c>
      <c r="V46" s="714" t="s">
        <v>17</v>
      </c>
      <c r="W46" s="715">
        <f t="shared" si="14"/>
        <v>100</v>
      </c>
      <c r="X46" s="1539"/>
      <c r="Y46" s="3324"/>
      <c r="Z46" s="1540">
        <f t="shared" si="15"/>
        <v>111</v>
      </c>
      <c r="AA46" s="1537">
        <f t="shared" si="3"/>
        <v>1</v>
      </c>
      <c r="AB46" s="1537">
        <f t="shared" si="4"/>
        <v>1</v>
      </c>
      <c r="AC46" s="1537">
        <f t="shared" si="5"/>
        <v>1</v>
      </c>
    </row>
    <row r="47" spans="1:29" ht="15">
      <c r="A47" s="438" t="s">
        <v>2396</v>
      </c>
      <c r="B47" s="439"/>
      <c r="C47" s="1316" t="s">
        <v>1</v>
      </c>
      <c r="D47" s="1317"/>
      <c r="E47" s="1318"/>
      <c r="F47" s="1319"/>
      <c r="G47" s="1320"/>
      <c r="H47" s="1321"/>
      <c r="I47" s="1318"/>
      <c r="J47" s="1321"/>
      <c r="K47" s="723"/>
      <c r="L47" s="2951"/>
      <c r="M47" s="2952"/>
      <c r="N47" s="2943"/>
      <c r="O47" s="2952"/>
      <c r="P47" s="3316" t="str">
        <f>A47</f>
        <v>成交单价（元/平方米）</v>
      </c>
      <c r="Q47" s="3316"/>
      <c r="R47" s="3347">
        <f>E47</f>
        <v>0</v>
      </c>
      <c r="S47" s="3347"/>
      <c r="T47" s="3347">
        <f>G47</f>
        <v>0</v>
      </c>
      <c r="U47" s="3347"/>
      <c r="V47" s="3347">
        <f>I47</f>
        <v>0</v>
      </c>
      <c r="W47" s="3347"/>
      <c r="X47" s="699"/>
      <c r="Y47" s="721"/>
      <c r="Z47" s="699"/>
      <c r="AA47" s="699"/>
      <c r="AB47" s="699"/>
      <c r="AC47" s="699"/>
    </row>
    <row r="48" spans="1:29" ht="15.75" thickBot="1">
      <c r="A48" s="445" t="s">
        <v>2488</v>
      </c>
      <c r="B48" s="446"/>
      <c r="C48" s="1322" t="e">
        <f>R49</f>
        <v>#DIV/0!</v>
      </c>
      <c r="D48" s="2538" t="s">
        <v>2878</v>
      </c>
      <c r="E48" s="1323" t="e">
        <f>R48</f>
        <v>#DIV/0!</v>
      </c>
      <c r="F48" s="2539"/>
      <c r="G48" s="1322" t="e">
        <f>T48</f>
        <v>#DIV/0!</v>
      </c>
      <c r="H48" s="2539"/>
      <c r="I48" s="1323" t="e">
        <f>V48</f>
        <v>#DIV/0!</v>
      </c>
      <c r="J48" s="2539"/>
      <c r="K48" s="2541">
        <f>F48+H48+J48</f>
        <v>0</v>
      </c>
      <c r="L48" s="2951"/>
      <c r="M48" s="2952"/>
      <c r="N48" s="2943"/>
      <c r="O48" s="2952"/>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1"/>
      <c r="M49" s="2952"/>
      <c r="N49" s="2943"/>
      <c r="O49" s="2952"/>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2367</v>
      </c>
      <c r="B58" s="463"/>
      <c r="C58" s="1346" t="str">
        <f>YEAR(C7)&amp;"-"&amp;MONTH(C7)</f>
        <v>2021-8</v>
      </c>
      <c r="D58" s="1347">
        <f>EDATE(C58,-1)</f>
        <v>44378</v>
      </c>
      <c r="E58" s="1347">
        <f t="shared" ref="E58:N58" si="16">EDATE(D58,-1)</f>
        <v>44348</v>
      </c>
      <c r="F58" s="1347">
        <f t="shared" si="16"/>
        <v>44317</v>
      </c>
      <c r="G58" s="1347">
        <f t="shared" si="16"/>
        <v>44287</v>
      </c>
      <c r="H58" s="1347">
        <f t="shared" si="16"/>
        <v>44256</v>
      </c>
      <c r="I58" s="1347">
        <f t="shared" si="16"/>
        <v>44228</v>
      </c>
      <c r="J58" s="1347">
        <f t="shared" si="16"/>
        <v>44197</v>
      </c>
      <c r="K58" s="1347">
        <f t="shared" si="16"/>
        <v>44166</v>
      </c>
      <c r="L58" s="1347">
        <f t="shared" si="16"/>
        <v>44136</v>
      </c>
      <c r="M58" s="1347">
        <f t="shared" si="16"/>
        <v>44105</v>
      </c>
      <c r="N58" s="1347">
        <f t="shared" si="16"/>
        <v>44075</v>
      </c>
      <c r="O58" s="1347">
        <f>EDATE(N58,-1)</f>
        <v>44044</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2404</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2369</v>
      </c>
      <c r="B61" s="467"/>
      <c r="C61" s="479" t="s">
        <v>2471</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2407</v>
      </c>
      <c r="B63" s="485" t="s">
        <v>2373</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2378</v>
      </c>
      <c r="B76" s="485" t="s">
        <v>2415</v>
      </c>
      <c r="C76" s="530" t="s">
        <v>2416</v>
      </c>
      <c r="D76" s="530" t="s">
        <v>2417</v>
      </c>
      <c r="E76" s="530" t="s">
        <v>2418</v>
      </c>
      <c r="F76" s="530" t="s">
        <v>2419</v>
      </c>
      <c r="G76" s="530" t="s">
        <v>2420</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2421</v>
      </c>
      <c r="C78" s="535" t="s">
        <v>2416</v>
      </c>
      <c r="D78" s="535" t="s">
        <v>2417</v>
      </c>
      <c r="E78" s="535" t="s">
        <v>2418</v>
      </c>
      <c r="F78" s="535" t="s">
        <v>2419</v>
      </c>
      <c r="G78" s="535" t="s">
        <v>2420</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2422</v>
      </c>
      <c r="C80" s="535" t="s">
        <v>2416</v>
      </c>
      <c r="D80" s="535" t="s">
        <v>2417</v>
      </c>
      <c r="E80" s="535" t="s">
        <v>2418</v>
      </c>
      <c r="F80" s="535" t="s">
        <v>2419</v>
      </c>
      <c r="G80" s="535" t="s">
        <v>2420</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2474</v>
      </c>
      <c r="C82" s="616" t="s">
        <v>2494</v>
      </c>
      <c r="D82" s="616" t="s">
        <v>2495</v>
      </c>
      <c r="E82" s="616" t="s">
        <v>2496</v>
      </c>
      <c r="F82" s="616" t="s">
        <v>2497</v>
      </c>
      <c r="G82" s="616" t="s">
        <v>2498</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2428</v>
      </c>
      <c r="C84" s="535" t="s">
        <v>2416</v>
      </c>
      <c r="D84" s="535" t="s">
        <v>2417</v>
      </c>
      <c r="E84" s="535" t="s">
        <v>2418</v>
      </c>
      <c r="F84" s="535" t="s">
        <v>2419</v>
      </c>
      <c r="G84" s="535" t="s">
        <v>2420</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2499</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2382</v>
      </c>
      <c r="B100" s="485" t="s">
        <v>2500</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2433</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2435</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2437</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2501</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2502</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2503</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2504</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2439</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北京多维物业管理有限公司：</v>
      </c>
    </row>
    <row r="4" spans="1:1" ht="36">
      <c r="A4" s="1665" t="str">
        <f>"受贵公司委托，我公司对"&amp;项目基本情况!S1&amp;"进行了预评估。"</f>
        <v>受贵公司委托，我公司对北京市房山区昊天北大街9号院1号楼房地产抵押价值进行了预评估。</v>
      </c>
    </row>
    <row r="5" spans="1:1" ht="18.75">
      <c r="A5" s="1666" t="s">
        <v>1576</v>
      </c>
    </row>
    <row r="6" spans="1:1" ht="18.75">
      <c r="A6" s="1667" t="s">
        <v>1577</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昊天北大街9号院1号楼房地产，为北京多维物业管理有限公司所有。根据《国有土地使用证》[]，估价对象（分摊）出让国有建设用地使用权面积为19918.64平方米，建筑面积为12608.4平方米。</v>
      </c>
    </row>
    <row r="8" spans="1:1" ht="57.75">
      <c r="A8" s="1668" t="s">
        <v>1578</v>
      </c>
    </row>
    <row r="9" spans="1:1" ht="18.75">
      <c r="A9" s="1667" t="s">
        <v>1579</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昊天北大街9号院1号楼房地产,属北京多维物业管理有限公司开发建设的，该项目尚在开发建设中。根据《国有土地使用证》[]，估价对象（分摊）出让国有建设用地使用权面积为19918.64平方米，规划建筑面积为12608.4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为估价委托人在向交通银行北清路支行办理贷款手续过程中，确定房地产抵押贷款额度提供参考依据而评估房地产抵押价值。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2021年8月26日（评估专业人员实地查勘之日）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26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1573</v>
      </c>
    </row>
    <row r="24" spans="1:1" ht="18">
      <c r="A24" s="1672" t="str">
        <f>"本次评估采用的主估价方法为"&amp;结果表!K4&amp;"和"&amp;结果表!L4&amp;"。"</f>
        <v>本次评估采用的主估价方法为成本法和收益法。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7"/>
      <c r="D2" s="1275" t="e">
        <f ca="1">SUMIF(INDIRECT("'"&amp;F2&amp;"'"&amp;"!A:A"),"承租人权益价值",INDIRECT("'"&amp;F2&amp;"'"&amp;"!c:c"))</f>
        <v>#REF!</v>
      </c>
      <c r="E2" s="2068" t="s">
        <v>2147</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12608.400000000001</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2464</v>
      </c>
      <c r="B4" s="362"/>
      <c r="C4" s="3331" t="s">
        <v>2465</v>
      </c>
      <c r="D4" s="3332"/>
      <c r="E4" s="3333" t="s">
        <v>2466</v>
      </c>
      <c r="F4" s="3334"/>
      <c r="G4" s="3331" t="s">
        <v>2467</v>
      </c>
      <c r="H4" s="3332"/>
      <c r="I4" s="3331" t="s">
        <v>2468</v>
      </c>
      <c r="J4" s="3332"/>
      <c r="K4" s="567" t="s">
        <v>2469</v>
      </c>
      <c r="L4" s="2942"/>
      <c r="M4" s="2943"/>
      <c r="N4" s="2943"/>
      <c r="O4" s="2943"/>
      <c r="P4" s="3365" t="s">
        <v>2470</v>
      </c>
      <c r="Q4" s="3366"/>
      <c r="R4" s="3369" t="s">
        <v>2466</v>
      </c>
      <c r="S4" s="3370"/>
      <c r="T4" s="3369" t="s">
        <v>2467</v>
      </c>
      <c r="U4" s="3370"/>
      <c r="V4" s="3371" t="s">
        <v>2468</v>
      </c>
      <c r="W4" s="3371"/>
      <c r="X4" s="2144"/>
      <c r="Y4" s="3369" t="s">
        <v>2470</v>
      </c>
      <c r="Z4" s="3370"/>
      <c r="AA4" s="3373" t="s">
        <v>2466</v>
      </c>
      <c r="AB4" s="3373" t="s">
        <v>2467</v>
      </c>
      <c r="AC4" s="3362" t="s">
        <v>2468</v>
      </c>
    </row>
    <row r="5" spans="1:29" ht="15">
      <c r="A5" s="364"/>
      <c r="B5" s="365"/>
      <c r="C5" s="3350" t="s">
        <v>2361</v>
      </c>
      <c r="D5" s="3351"/>
      <c r="E5" s="3357" t="s">
        <v>2362</v>
      </c>
      <c r="F5" s="3358"/>
      <c r="G5" s="3350" t="s">
        <v>2363</v>
      </c>
      <c r="H5" s="3351"/>
      <c r="I5" s="3350" t="s">
        <v>2364</v>
      </c>
      <c r="J5" s="3351"/>
      <c r="K5" s="567"/>
      <c r="L5" s="2942"/>
      <c r="M5" s="2943"/>
      <c r="N5" s="2943"/>
      <c r="O5" s="2943"/>
      <c r="P5" s="3367"/>
      <c r="Q5" s="3338"/>
      <c r="R5" s="3343"/>
      <c r="S5" s="3344"/>
      <c r="T5" s="3343"/>
      <c r="U5" s="3344"/>
      <c r="V5" s="3347"/>
      <c r="W5" s="3347"/>
      <c r="X5" s="1539"/>
      <c r="Y5" s="3343"/>
      <c r="Z5" s="3344"/>
      <c r="AA5" s="3329"/>
      <c r="AB5" s="3329"/>
      <c r="AC5" s="3363"/>
    </row>
    <row r="6" spans="1:29" ht="15.75" thickBot="1">
      <c r="A6" s="366"/>
      <c r="B6" s="367"/>
      <c r="C6" s="3348" t="s">
        <v>2365</v>
      </c>
      <c r="D6" s="3349"/>
      <c r="E6" s="3355" t="s">
        <v>2365</v>
      </c>
      <c r="F6" s="3356"/>
      <c r="G6" s="3348" t="s">
        <v>2365</v>
      </c>
      <c r="H6" s="3349"/>
      <c r="I6" s="3348" t="s">
        <v>2365</v>
      </c>
      <c r="J6" s="3349"/>
      <c r="K6" s="567" t="s">
        <v>2366</v>
      </c>
      <c r="L6" s="2942"/>
      <c r="M6" s="2943"/>
      <c r="N6" s="2943"/>
      <c r="O6" s="2943"/>
      <c r="P6" s="3368"/>
      <c r="Q6" s="3340"/>
      <c r="R6" s="3343"/>
      <c r="S6" s="3344"/>
      <c r="T6" s="3345"/>
      <c r="U6" s="3346"/>
      <c r="V6" s="3347"/>
      <c r="W6" s="3347"/>
      <c r="X6" s="1539"/>
      <c r="Y6" s="3345"/>
      <c r="Z6" s="3346"/>
      <c r="AA6" s="3330"/>
      <c r="AB6" s="3330"/>
      <c r="AC6" s="3364"/>
    </row>
    <row r="7" spans="1:29" s="113" customFormat="1" ht="15.75" thickBot="1">
      <c r="A7" s="368" t="s">
        <v>2367</v>
      </c>
      <c r="B7" s="369"/>
      <c r="C7" s="370">
        <f>'数据-取费表'!B2</f>
        <v>44434</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72" t="s">
        <v>2368</v>
      </c>
      <c r="Q7" s="3354"/>
      <c r="R7" s="710" t="s">
        <v>17</v>
      </c>
      <c r="S7" s="711">
        <f t="shared" ref="S7:S15" si="0">F7</f>
        <v>0</v>
      </c>
      <c r="T7" s="710" t="s">
        <v>17</v>
      </c>
      <c r="U7" s="711">
        <f t="shared" ref="U7:U15" si="1">H7</f>
        <v>0</v>
      </c>
      <c r="V7" s="710" t="s">
        <v>17</v>
      </c>
      <c r="W7" s="711">
        <f t="shared" ref="W7:W15" si="2">J7</f>
        <v>0</v>
      </c>
      <c r="X7" s="712"/>
      <c r="Y7" s="3352" t="s">
        <v>2368</v>
      </c>
      <c r="Z7" s="3353"/>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72" t="s">
        <v>2371</v>
      </c>
      <c r="Q8" s="3353"/>
      <c r="R8" s="710" t="s">
        <v>17</v>
      </c>
      <c r="S8" s="711">
        <f t="shared" si="0"/>
        <v>0</v>
      </c>
      <c r="T8" s="710" t="s">
        <v>17</v>
      </c>
      <c r="U8" s="711">
        <f t="shared" si="1"/>
        <v>0</v>
      </c>
      <c r="V8" s="710" t="s">
        <v>17</v>
      </c>
      <c r="W8" s="711">
        <f t="shared" si="2"/>
        <v>0</v>
      </c>
      <c r="X8" s="712"/>
      <c r="Y8" s="3352" t="s">
        <v>2371</v>
      </c>
      <c r="Z8" s="3353"/>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27" t="s">
        <v>2374</v>
      </c>
      <c r="Q9" s="1527" t="str">
        <f t="shared" ref="Q9:Q15" si="6">B9</f>
        <v>用途</v>
      </c>
      <c r="R9" s="710" t="s">
        <v>17</v>
      </c>
      <c r="S9" s="711">
        <f t="shared" si="0"/>
        <v>100</v>
      </c>
      <c r="T9" s="710" t="s">
        <v>17</v>
      </c>
      <c r="U9" s="711">
        <f t="shared" si="1"/>
        <v>100</v>
      </c>
      <c r="V9" s="710" t="s">
        <v>17</v>
      </c>
      <c r="W9" s="711">
        <f t="shared" si="2"/>
        <v>100</v>
      </c>
      <c r="X9" s="712"/>
      <c r="Y9" s="3160"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27"/>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27"/>
      <c r="Q11" s="1527"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327"/>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327"/>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327"/>
      <c r="Q14" s="1527">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25" t="s">
        <v>2379</v>
      </c>
      <c r="Q15" s="1536" t="str">
        <f t="shared" si="6"/>
        <v>办公集聚程度</v>
      </c>
      <c r="R15" s="714" t="s">
        <v>17</v>
      </c>
      <c r="S15" s="715">
        <f t="shared" si="0"/>
        <v>100</v>
      </c>
      <c r="T15" s="714" t="s">
        <v>17</v>
      </c>
      <c r="U15" s="715">
        <f t="shared" si="1"/>
        <v>100</v>
      </c>
      <c r="V15" s="714" t="s">
        <v>17</v>
      </c>
      <c r="W15" s="715">
        <f t="shared" si="2"/>
        <v>100</v>
      </c>
      <c r="X15" s="1539"/>
      <c r="Y15" s="3318" t="s">
        <v>2379</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326"/>
      <c r="Q16" s="1536"/>
      <c r="R16" s="714"/>
      <c r="S16" s="715"/>
      <c r="T16" s="714"/>
      <c r="U16" s="715"/>
      <c r="V16" s="714"/>
      <c r="W16" s="715"/>
      <c r="X16" s="1539"/>
      <c r="Y16" s="3319"/>
      <c r="Z16" s="1540"/>
      <c r="AA16" s="1537">
        <v>1</v>
      </c>
      <c r="AB16" s="1537">
        <v>1</v>
      </c>
      <c r="AC16" s="2148">
        <v>1</v>
      </c>
    </row>
    <row r="17" spans="1:29" ht="71.25">
      <c r="A17" s="387"/>
      <c r="B17" s="587" t="s">
        <v>1943</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26"/>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326"/>
      <c r="Q18" s="1536"/>
      <c r="R18" s="714"/>
      <c r="S18" s="715"/>
      <c r="T18" s="714"/>
      <c r="U18" s="715"/>
      <c r="V18" s="714"/>
      <c r="W18" s="715"/>
      <c r="X18" s="1539"/>
      <c r="Y18" s="3319"/>
      <c r="Z18" s="1540"/>
      <c r="AA18" s="1537">
        <v>1</v>
      </c>
      <c r="AB18" s="1537">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26"/>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326"/>
      <c r="Q20" s="1536"/>
      <c r="R20" s="714"/>
      <c r="S20" s="715"/>
      <c r="T20" s="714"/>
      <c r="U20" s="715"/>
      <c r="V20" s="714"/>
      <c r="W20" s="715"/>
      <c r="X20" s="1539"/>
      <c r="Y20" s="3319"/>
      <c r="Z20" s="1540"/>
      <c r="AA20" s="1537">
        <v>1</v>
      </c>
      <c r="AB20" s="1537">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326"/>
      <c r="Q22" s="1536"/>
      <c r="R22" s="714"/>
      <c r="S22" s="715"/>
      <c r="T22" s="714"/>
      <c r="U22" s="715"/>
      <c r="V22" s="714"/>
      <c r="W22" s="715"/>
      <c r="X22" s="1539"/>
      <c r="Y22" s="3319"/>
      <c r="Z22" s="1540"/>
      <c r="AA22" s="1537">
        <v>1</v>
      </c>
      <c r="AB22" s="1537">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26"/>
      <c r="Q23" s="1536" t="str">
        <f>B23</f>
        <v>环境质量</v>
      </c>
      <c r="R23" s="714" t="s">
        <v>17</v>
      </c>
      <c r="S23" s="715">
        <f>F23</f>
        <v>100</v>
      </c>
      <c r="T23" s="714" t="s">
        <v>17</v>
      </c>
      <c r="U23" s="715">
        <f>H23</f>
        <v>100</v>
      </c>
      <c r="V23" s="714" t="s">
        <v>17</v>
      </c>
      <c r="W23" s="715">
        <f>J23</f>
        <v>100</v>
      </c>
      <c r="X23" s="1539"/>
      <c r="Y23" s="3319"/>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326"/>
      <c r="Q24" s="1536"/>
      <c r="R24" s="714"/>
      <c r="S24" s="715"/>
      <c r="T24" s="714"/>
      <c r="U24" s="715"/>
      <c r="V24" s="714"/>
      <c r="W24" s="715"/>
      <c r="X24" s="1539"/>
      <c r="Y24" s="3319"/>
      <c r="Z24" s="1540"/>
      <c r="AA24" s="1537">
        <v>1</v>
      </c>
      <c r="AB24" s="1537">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326"/>
      <c r="Q25" s="1536" t="str">
        <f>B25</f>
        <v>毗邻道路的类型与等级</v>
      </c>
      <c r="R25" s="714" t="s">
        <v>17</v>
      </c>
      <c r="S25" s="715">
        <f>F25</f>
        <v>100</v>
      </c>
      <c r="T25" s="714" t="s">
        <v>17</v>
      </c>
      <c r="U25" s="715">
        <f>H25</f>
        <v>100</v>
      </c>
      <c r="V25" s="714" t="s">
        <v>17</v>
      </c>
      <c r="W25" s="715">
        <f>J25</f>
        <v>100</v>
      </c>
      <c r="X25" s="1539"/>
      <c r="Y25" s="3319"/>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326"/>
      <c r="Q26" s="1536"/>
      <c r="R26" s="714"/>
      <c r="S26" s="715"/>
      <c r="T26" s="714"/>
      <c r="U26" s="715"/>
      <c r="V26" s="714"/>
      <c r="W26" s="715"/>
      <c r="X26" s="1539"/>
      <c r="Y26" s="3319"/>
      <c r="Z26" s="1540"/>
      <c r="AA26" s="1537">
        <v>1</v>
      </c>
      <c r="AB26" s="1537">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26"/>
      <c r="Q27" s="1536" t="str">
        <f t="shared" ref="Q27:Q47" si="11">B27</f>
        <v>楼层</v>
      </c>
      <c r="R27" s="714" t="s">
        <v>17</v>
      </c>
      <c r="S27" s="715">
        <f>F27</f>
        <v>100</v>
      </c>
      <c r="T27" s="714" t="s">
        <v>17</v>
      </c>
      <c r="U27" s="715">
        <f>H27</f>
        <v>100</v>
      </c>
      <c r="V27" s="714" t="s">
        <v>17</v>
      </c>
      <c r="W27" s="715">
        <f>J27</f>
        <v>100</v>
      </c>
      <c r="X27" s="1539"/>
      <c r="Y27" s="3319"/>
      <c r="Z27" s="1540" t="str">
        <f>Q27</f>
        <v>楼层</v>
      </c>
      <c r="AA27" s="1537">
        <f t="shared" si="3"/>
        <v>1</v>
      </c>
      <c r="AB27" s="1537">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326"/>
      <c r="Q28" s="1527" t="str">
        <f t="shared" si="11"/>
        <v>朝向</v>
      </c>
      <c r="R28" s="710" t="s">
        <v>17</v>
      </c>
      <c r="S28" s="711">
        <f>F28</f>
        <v>100</v>
      </c>
      <c r="T28" s="710" t="s">
        <v>17</v>
      </c>
      <c r="U28" s="711">
        <f>H28</f>
        <v>100</v>
      </c>
      <c r="V28" s="710" t="s">
        <v>17</v>
      </c>
      <c r="W28" s="711">
        <f>J28</f>
        <v>100</v>
      </c>
      <c r="X28" s="712"/>
      <c r="Y28" s="3319"/>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326"/>
      <c r="Q29" s="1536">
        <f t="shared" si="11"/>
        <v>111</v>
      </c>
      <c r="R29" s="714" t="s">
        <v>17</v>
      </c>
      <c r="S29" s="715">
        <f t="shared" ref="S29:S47" si="12">F29</f>
        <v>100</v>
      </c>
      <c r="T29" s="714" t="s">
        <v>17</v>
      </c>
      <c r="U29" s="715">
        <f t="shared" ref="U29:U47" si="13">H29</f>
        <v>100</v>
      </c>
      <c r="V29" s="714" t="s">
        <v>17</v>
      </c>
      <c r="W29" s="715">
        <f t="shared" ref="W29:W47" si="14">J29</f>
        <v>100</v>
      </c>
      <c r="X29" s="1539"/>
      <c r="Y29" s="3319"/>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326"/>
      <c r="Q30" s="1536">
        <f t="shared" si="11"/>
        <v>111</v>
      </c>
      <c r="R30" s="714" t="s">
        <v>17</v>
      </c>
      <c r="S30" s="715">
        <f t="shared" si="12"/>
        <v>100</v>
      </c>
      <c r="T30" s="714" t="s">
        <v>17</v>
      </c>
      <c r="U30" s="715">
        <f t="shared" si="13"/>
        <v>100</v>
      </c>
      <c r="V30" s="714" t="s">
        <v>17</v>
      </c>
      <c r="W30" s="715">
        <f t="shared" si="14"/>
        <v>100</v>
      </c>
      <c r="X30" s="1539"/>
      <c r="Y30" s="3319"/>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326"/>
      <c r="Q31" s="1536">
        <f t="shared" si="11"/>
        <v>111</v>
      </c>
      <c r="R31" s="714" t="s">
        <v>17</v>
      </c>
      <c r="S31" s="715">
        <f t="shared" si="12"/>
        <v>100</v>
      </c>
      <c r="T31" s="714" t="s">
        <v>17</v>
      </c>
      <c r="U31" s="715">
        <f t="shared" si="13"/>
        <v>100</v>
      </c>
      <c r="V31" s="714" t="s">
        <v>17</v>
      </c>
      <c r="W31" s="715">
        <f t="shared" si="14"/>
        <v>100</v>
      </c>
      <c r="X31" s="1539"/>
      <c r="Y31" s="3319"/>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326"/>
      <c r="Q32" s="1536">
        <f t="shared" si="11"/>
        <v>111</v>
      </c>
      <c r="R32" s="714" t="s">
        <v>17</v>
      </c>
      <c r="S32" s="715">
        <f t="shared" si="12"/>
        <v>100</v>
      </c>
      <c r="T32" s="714" t="s">
        <v>17</v>
      </c>
      <c r="U32" s="715">
        <f t="shared" si="13"/>
        <v>100</v>
      </c>
      <c r="V32" s="714" t="s">
        <v>17</v>
      </c>
      <c r="W32" s="715">
        <f t="shared" si="14"/>
        <v>100</v>
      </c>
      <c r="X32" s="1539"/>
      <c r="Y32" s="3319"/>
      <c r="Z32" s="1540">
        <f t="shared" si="15"/>
        <v>111</v>
      </c>
      <c r="AA32" s="1537">
        <f t="shared" si="3"/>
        <v>1</v>
      </c>
      <c r="AB32" s="1537">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320" t="s">
        <v>2384</v>
      </c>
      <c r="Q33" s="1536" t="str">
        <f t="shared" si="11"/>
        <v>建筑类型</v>
      </c>
      <c r="R33" s="714" t="s">
        <v>17</v>
      </c>
      <c r="S33" s="715">
        <f t="shared" si="12"/>
        <v>100</v>
      </c>
      <c r="T33" s="714" t="s">
        <v>17</v>
      </c>
      <c r="U33" s="715">
        <f t="shared" si="13"/>
        <v>100</v>
      </c>
      <c r="V33" s="714" t="s">
        <v>17</v>
      </c>
      <c r="W33" s="715">
        <f t="shared" si="14"/>
        <v>100</v>
      </c>
      <c r="X33" s="1539"/>
      <c r="Y33" s="3323" t="s">
        <v>2384</v>
      </c>
      <c r="Z33" s="1540" t="str">
        <f t="shared" si="15"/>
        <v>建筑类型</v>
      </c>
      <c r="AA33" s="1537">
        <f t="shared" si="3"/>
        <v>1</v>
      </c>
      <c r="AB33" s="1537">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21"/>
      <c r="Q34" s="716" t="str">
        <f t="shared" si="11"/>
        <v>项目建筑规模</v>
      </c>
      <c r="R34" s="717" t="s">
        <v>17</v>
      </c>
      <c r="S34" s="718" t="e">
        <f t="shared" si="12"/>
        <v>#N/A</v>
      </c>
      <c r="T34" s="717" t="s">
        <v>17</v>
      </c>
      <c r="U34" s="718" t="e">
        <f t="shared" si="13"/>
        <v>#N/A</v>
      </c>
      <c r="V34" s="717" t="s">
        <v>17</v>
      </c>
      <c r="W34" s="718" t="e">
        <f t="shared" si="14"/>
        <v>#N/A</v>
      </c>
      <c r="X34" s="719"/>
      <c r="Y34" s="3323"/>
      <c r="Z34" s="720" t="str">
        <f t="shared" si="15"/>
        <v>项目建筑规模</v>
      </c>
      <c r="AA34" s="1537" t="e">
        <f t="shared" si="3"/>
        <v>#N/A</v>
      </c>
      <c r="AB34" s="1537"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21"/>
      <c r="Q35" s="1536" t="str">
        <f t="shared" si="11"/>
        <v>建筑结构</v>
      </c>
      <c r="R35" s="714" t="s">
        <v>17</v>
      </c>
      <c r="S35" s="715">
        <f t="shared" si="12"/>
        <v>100</v>
      </c>
      <c r="T35" s="714" t="s">
        <v>17</v>
      </c>
      <c r="U35" s="715">
        <f t="shared" si="13"/>
        <v>100</v>
      </c>
      <c r="V35" s="714" t="s">
        <v>17</v>
      </c>
      <c r="W35" s="715">
        <f t="shared" si="14"/>
        <v>100</v>
      </c>
      <c r="X35" s="1539"/>
      <c r="Y35" s="3323"/>
      <c r="Z35" s="1540" t="str">
        <f t="shared" si="15"/>
        <v>建筑结构</v>
      </c>
      <c r="AA35" s="1537">
        <f t="shared" si="3"/>
        <v>1</v>
      </c>
      <c r="AB35" s="1537">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21"/>
      <c r="Q36" s="1536" t="str">
        <f t="shared" si="11"/>
        <v>公共部分装修</v>
      </c>
      <c r="R36" s="714" t="s">
        <v>17</v>
      </c>
      <c r="S36" s="715">
        <f t="shared" si="12"/>
        <v>100</v>
      </c>
      <c r="T36" s="714" t="s">
        <v>17</v>
      </c>
      <c r="U36" s="715">
        <f t="shared" si="13"/>
        <v>100</v>
      </c>
      <c r="V36" s="714" t="s">
        <v>17</v>
      </c>
      <c r="W36" s="715">
        <f t="shared" si="14"/>
        <v>100</v>
      </c>
      <c r="X36" s="1539"/>
      <c r="Y36" s="3323"/>
      <c r="Z36" s="1540" t="str">
        <f t="shared" si="15"/>
        <v>公共部分装修</v>
      </c>
      <c r="AA36" s="1537">
        <f t="shared" si="3"/>
        <v>1</v>
      </c>
      <c r="AB36" s="1537">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21"/>
      <c r="Q37" s="1536" t="str">
        <f t="shared" si="11"/>
        <v>成新度</v>
      </c>
      <c r="R37" s="714" t="s">
        <v>17</v>
      </c>
      <c r="S37" s="715" t="e">
        <f t="shared" si="12"/>
        <v>#N/A</v>
      </c>
      <c r="T37" s="714" t="s">
        <v>17</v>
      </c>
      <c r="U37" s="715" t="e">
        <f t="shared" si="13"/>
        <v>#N/A</v>
      </c>
      <c r="V37" s="714" t="s">
        <v>17</v>
      </c>
      <c r="W37" s="715" t="e">
        <f t="shared" si="14"/>
        <v>#N/A</v>
      </c>
      <c r="X37" s="1539"/>
      <c r="Y37" s="3323"/>
      <c r="Z37" s="1540" t="str">
        <f t="shared" si="15"/>
        <v>成新度</v>
      </c>
      <c r="AA37" s="1537" t="e">
        <f t="shared" si="3"/>
        <v>#N/A</v>
      </c>
      <c r="AB37" s="1537"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21"/>
      <c r="Q38" s="1527" t="str">
        <f t="shared" si="11"/>
        <v>写字楼等级</v>
      </c>
      <c r="R38" s="710" t="s">
        <v>17</v>
      </c>
      <c r="S38" s="711">
        <f t="shared" si="12"/>
        <v>100</v>
      </c>
      <c r="T38" s="710" t="s">
        <v>17</v>
      </c>
      <c r="U38" s="711">
        <f t="shared" si="13"/>
        <v>100</v>
      </c>
      <c r="V38" s="710" t="s">
        <v>17</v>
      </c>
      <c r="W38" s="711">
        <f t="shared" si="14"/>
        <v>100</v>
      </c>
      <c r="X38" s="712"/>
      <c r="Y38" s="3323"/>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21" t="s">
        <v>2384</v>
      </c>
      <c r="Q39" s="1536" t="str">
        <f t="shared" si="11"/>
        <v>物业管理</v>
      </c>
      <c r="R39" s="714" t="s">
        <v>17</v>
      </c>
      <c r="S39" s="715">
        <f t="shared" si="12"/>
        <v>100</v>
      </c>
      <c r="T39" s="714" t="s">
        <v>17</v>
      </c>
      <c r="U39" s="715">
        <f t="shared" si="13"/>
        <v>100</v>
      </c>
      <c r="V39" s="714" t="s">
        <v>17</v>
      </c>
      <c r="W39" s="715">
        <f t="shared" si="14"/>
        <v>100</v>
      </c>
      <c r="X39" s="1539"/>
      <c r="Y39" s="3323" t="s">
        <v>2384</v>
      </c>
      <c r="Z39" s="1540" t="str">
        <f t="shared" si="15"/>
        <v>物业管理</v>
      </c>
      <c r="AA39" s="1537">
        <f t="shared" si="3"/>
        <v>1</v>
      </c>
      <c r="AB39" s="1537">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21"/>
      <c r="Q40" s="1536" t="str">
        <f t="shared" si="11"/>
        <v>市政基础设施</v>
      </c>
      <c r="R40" s="714" t="s">
        <v>17</v>
      </c>
      <c r="S40" s="715">
        <f t="shared" si="12"/>
        <v>100</v>
      </c>
      <c r="T40" s="714" t="s">
        <v>17</v>
      </c>
      <c r="U40" s="715">
        <f t="shared" si="13"/>
        <v>100</v>
      </c>
      <c r="V40" s="714" t="s">
        <v>17</v>
      </c>
      <c r="W40" s="715">
        <f t="shared" si="14"/>
        <v>100</v>
      </c>
      <c r="X40" s="1539"/>
      <c r="Y40" s="3323"/>
      <c r="Z40" s="1540" t="str">
        <f t="shared" si="15"/>
        <v>市政基础设施</v>
      </c>
      <c r="AA40" s="1537">
        <f t="shared" si="3"/>
        <v>1</v>
      </c>
      <c r="AB40" s="1537">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21"/>
      <c r="Q41" s="1536" t="str">
        <f t="shared" si="11"/>
        <v>层高</v>
      </c>
      <c r="R41" s="714" t="s">
        <v>17</v>
      </c>
      <c r="S41" s="715">
        <f t="shared" si="12"/>
        <v>100</v>
      </c>
      <c r="T41" s="714" t="s">
        <v>17</v>
      </c>
      <c r="U41" s="715">
        <f t="shared" si="13"/>
        <v>100</v>
      </c>
      <c r="V41" s="714" t="s">
        <v>17</v>
      </c>
      <c r="W41" s="715">
        <f t="shared" si="14"/>
        <v>100</v>
      </c>
      <c r="X41" s="1539"/>
      <c r="Y41" s="3323"/>
      <c r="Z41" s="1540" t="str">
        <f t="shared" si="15"/>
        <v>层高</v>
      </c>
      <c r="AA41" s="1537">
        <f t="shared" si="3"/>
        <v>1</v>
      </c>
      <c r="AB41" s="1537">
        <f t="shared" si="4"/>
        <v>1</v>
      </c>
      <c r="AC41" s="2148">
        <f t="shared" si="5"/>
        <v>1</v>
      </c>
    </row>
    <row r="42" spans="1:29" s="430" customFormat="1" ht="15">
      <c r="A42" s="427"/>
      <c r="B42" s="153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21"/>
      <c r="Q42" s="716" t="str">
        <f t="shared" si="11"/>
        <v>单套建筑面积</v>
      </c>
      <c r="R42" s="717" t="s">
        <v>17</v>
      </c>
      <c r="S42" s="718">
        <f t="shared" si="12"/>
        <v>100</v>
      </c>
      <c r="T42" s="717" t="s">
        <v>17</v>
      </c>
      <c r="U42" s="718">
        <f t="shared" si="13"/>
        <v>100</v>
      </c>
      <c r="V42" s="717" t="s">
        <v>17</v>
      </c>
      <c r="W42" s="718">
        <f t="shared" si="14"/>
        <v>100</v>
      </c>
      <c r="X42" s="719"/>
      <c r="Y42" s="3323"/>
      <c r="Z42" s="720" t="str">
        <f t="shared" si="15"/>
        <v>单套建筑面积</v>
      </c>
      <c r="AA42" s="1537">
        <f t="shared" si="3"/>
        <v>1</v>
      </c>
      <c r="AB42" s="1537">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21"/>
      <c r="Q43" s="1536" t="str">
        <f t="shared" si="11"/>
        <v>内部装修</v>
      </c>
      <c r="R43" s="714" t="s">
        <v>17</v>
      </c>
      <c r="S43" s="715">
        <f t="shared" si="12"/>
        <v>100</v>
      </c>
      <c r="T43" s="714" t="s">
        <v>17</v>
      </c>
      <c r="U43" s="715">
        <f t="shared" si="13"/>
        <v>100</v>
      </c>
      <c r="V43" s="714" t="s">
        <v>17</v>
      </c>
      <c r="W43" s="715">
        <f t="shared" si="14"/>
        <v>100</v>
      </c>
      <c r="X43" s="1539"/>
      <c r="Y43" s="3323"/>
      <c r="Z43" s="1540" t="str">
        <f t="shared" si="15"/>
        <v>内部装修</v>
      </c>
      <c r="AA43" s="1537">
        <f t="shared" si="3"/>
        <v>1</v>
      </c>
      <c r="AB43" s="1537">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321"/>
      <c r="Q44" s="1536" t="str">
        <f t="shared" si="11"/>
        <v>内部装修维护情况</v>
      </c>
      <c r="R44" s="714" t="s">
        <v>17</v>
      </c>
      <c r="S44" s="715">
        <f t="shared" si="12"/>
        <v>100</v>
      </c>
      <c r="T44" s="714" t="s">
        <v>17</v>
      </c>
      <c r="U44" s="715">
        <f t="shared" si="13"/>
        <v>100</v>
      </c>
      <c r="V44" s="714" t="s">
        <v>17</v>
      </c>
      <c r="W44" s="715">
        <f t="shared" si="14"/>
        <v>100</v>
      </c>
      <c r="X44" s="1539"/>
      <c r="Y44" s="3323"/>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21"/>
      <c r="Q45" s="1527">
        <f t="shared" si="11"/>
        <v>111</v>
      </c>
      <c r="R45" s="710" t="s">
        <v>17</v>
      </c>
      <c r="S45" s="711">
        <f t="shared" si="12"/>
        <v>100</v>
      </c>
      <c r="T45" s="710" t="s">
        <v>17</v>
      </c>
      <c r="U45" s="711">
        <f t="shared" si="13"/>
        <v>100</v>
      </c>
      <c r="V45" s="710" t="s">
        <v>17</v>
      </c>
      <c r="W45" s="711">
        <f t="shared" si="14"/>
        <v>100</v>
      </c>
      <c r="X45" s="712"/>
      <c r="Y45" s="3323"/>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21"/>
      <c r="Q46" s="1536">
        <f t="shared" si="11"/>
        <v>111</v>
      </c>
      <c r="R46" s="714" t="s">
        <v>17</v>
      </c>
      <c r="S46" s="715">
        <f t="shared" si="12"/>
        <v>100</v>
      </c>
      <c r="T46" s="714" t="s">
        <v>17</v>
      </c>
      <c r="U46" s="715">
        <f t="shared" si="13"/>
        <v>100</v>
      </c>
      <c r="V46" s="714" t="s">
        <v>17</v>
      </c>
      <c r="W46" s="715">
        <f t="shared" si="14"/>
        <v>100</v>
      </c>
      <c r="X46" s="1539"/>
      <c r="Y46" s="3323"/>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22"/>
      <c r="Q47" s="1536">
        <f t="shared" si="11"/>
        <v>111</v>
      </c>
      <c r="R47" s="714" t="s">
        <v>17</v>
      </c>
      <c r="S47" s="715">
        <f t="shared" si="12"/>
        <v>100</v>
      </c>
      <c r="T47" s="714" t="s">
        <v>17</v>
      </c>
      <c r="U47" s="715">
        <f t="shared" si="13"/>
        <v>100</v>
      </c>
      <c r="V47" s="714" t="s">
        <v>17</v>
      </c>
      <c r="W47" s="715">
        <f t="shared" si="14"/>
        <v>100</v>
      </c>
      <c r="X47" s="1539"/>
      <c r="Y47" s="3324"/>
      <c r="Z47" s="1540">
        <f t="shared" si="15"/>
        <v>111</v>
      </c>
      <c r="AA47" s="1537">
        <f t="shared" si="3"/>
        <v>1</v>
      </c>
      <c r="AB47" s="1537">
        <f t="shared" si="4"/>
        <v>1</v>
      </c>
      <c r="AC47" s="2148">
        <f t="shared" si="5"/>
        <v>1</v>
      </c>
    </row>
    <row r="48" spans="1:29" ht="15">
      <c r="A48" s="438" t="s">
        <v>2396</v>
      </c>
      <c r="B48" s="439"/>
      <c r="C48" s="1316" t="s">
        <v>1</v>
      </c>
      <c r="D48" s="1317"/>
      <c r="E48" s="1318"/>
      <c r="F48" s="1319"/>
      <c r="G48" s="1320"/>
      <c r="H48" s="1321"/>
      <c r="I48" s="1318"/>
      <c r="J48" s="444"/>
      <c r="K48" s="723"/>
      <c r="L48" s="2951"/>
      <c r="M48" s="2943"/>
      <c r="N48" s="2943"/>
      <c r="O48" s="2943"/>
      <c r="P48" s="3327" t="str">
        <f>A48</f>
        <v>成交单价（元/平方米）</v>
      </c>
      <c r="Q48" s="3316"/>
      <c r="R48" s="3317">
        <f>E48</f>
        <v>0</v>
      </c>
      <c r="S48" s="3317"/>
      <c r="T48" s="3317">
        <f>G48</f>
        <v>0</v>
      </c>
      <c r="U48" s="3317"/>
      <c r="V48" s="3317">
        <f>I48</f>
        <v>0</v>
      </c>
      <c r="W48" s="3317"/>
      <c r="X48" s="405"/>
      <c r="Y48" s="721"/>
      <c r="Z48" s="405"/>
      <c r="AA48" s="405"/>
      <c r="AB48" s="405"/>
      <c r="AC48" s="586"/>
    </row>
    <row r="49" spans="1:29" ht="15.75" thickBot="1">
      <c r="A49" s="445" t="s">
        <v>2488</v>
      </c>
      <c r="B49" s="446"/>
      <c r="C49" s="1322" t="e">
        <f>R50</f>
        <v>#DIV/0!</v>
      </c>
      <c r="D49" s="2538" t="s">
        <v>2878</v>
      </c>
      <c r="E49" s="1323" t="e">
        <f>R49</f>
        <v>#DIV/0!</v>
      </c>
      <c r="F49" s="2539"/>
      <c r="G49" s="1322" t="e">
        <f>T49</f>
        <v>#DIV/0!</v>
      </c>
      <c r="H49" s="2539"/>
      <c r="I49" s="1323" t="e">
        <f>V49</f>
        <v>#DIV/0!</v>
      </c>
      <c r="J49" s="2539"/>
      <c r="K49" s="2541">
        <f>F49+H49+J49</f>
        <v>0</v>
      </c>
      <c r="L49" s="2951"/>
      <c r="M49" s="2943"/>
      <c r="N49" s="2943"/>
      <c r="O49" s="2943"/>
      <c r="P49" s="3327" t="str">
        <f>A49</f>
        <v>比较价值（元/平方米）</v>
      </c>
      <c r="Q49" s="3316"/>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1"/>
      <c r="M50" s="2943"/>
      <c r="N50" s="2943"/>
      <c r="O50" s="2943"/>
      <c r="P50" s="3359" t="str">
        <f>A50</f>
        <v>估价对象XX用房的比较价值（楼面单价，元/平方米）</v>
      </c>
      <c r="Q50" s="3360"/>
      <c r="R50" s="3361" t="e">
        <f>IF(F1="售价",ROUND(IF(D49="简单平均",AVERAGE(R49:V49),R49*F49+T49*H49+V49*J49),0),ROUND(IF(D49="简单平均",AVERAGE(R49:V49),R49*F49+T49*H49+V49*J49),1))</f>
        <v>#DIV/0!</v>
      </c>
      <c r="S50" s="3361"/>
      <c r="T50" s="3361"/>
      <c r="U50" s="3361"/>
      <c r="V50" s="3361"/>
      <c r="W50" s="3361"/>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2493</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2367</v>
      </c>
      <c r="B59" s="463"/>
      <c r="C59" s="1346" t="str">
        <f>YEAR(C7)&amp;"-"&amp;MONTH(C7)</f>
        <v>2021-8</v>
      </c>
      <c r="D59" s="1347">
        <f>EDATE(C59,-1)</f>
        <v>44378</v>
      </c>
      <c r="E59" s="1347">
        <f>EDATE(D59,-1)</f>
        <v>44348</v>
      </c>
      <c r="F59" s="1347">
        <f t="shared" ref="F59:O59" si="16">EDATE(E59,-1)</f>
        <v>44317</v>
      </c>
      <c r="G59" s="1347">
        <f t="shared" si="16"/>
        <v>44287</v>
      </c>
      <c r="H59" s="1347">
        <f t="shared" si="16"/>
        <v>44256</v>
      </c>
      <c r="I59" s="1347">
        <f t="shared" si="16"/>
        <v>44228</v>
      </c>
      <c r="J59" s="1347">
        <f t="shared" si="16"/>
        <v>44197</v>
      </c>
      <c r="K59" s="1347">
        <f t="shared" si="16"/>
        <v>44166</v>
      </c>
      <c r="L59" s="1347">
        <f t="shared" si="16"/>
        <v>44136</v>
      </c>
      <c r="M59" s="1347">
        <f t="shared" si="16"/>
        <v>44105</v>
      </c>
      <c r="N59" s="1347">
        <f t="shared" si="16"/>
        <v>44075</v>
      </c>
      <c r="O59" s="1347">
        <f t="shared" si="16"/>
        <v>44044</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2404</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2369</v>
      </c>
      <c r="B62" s="467"/>
      <c r="C62" s="479" t="s">
        <v>2471</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2407</v>
      </c>
      <c r="B64" s="485" t="s">
        <v>2373</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2378</v>
      </c>
      <c r="B77" s="485" t="s">
        <v>2516</v>
      </c>
      <c r="C77" s="530" t="s">
        <v>2416</v>
      </c>
      <c r="D77" s="530" t="s">
        <v>2417</v>
      </c>
      <c r="E77" s="530" t="s">
        <v>2418</v>
      </c>
      <c r="F77" s="530" t="s">
        <v>2419</v>
      </c>
      <c r="G77" s="530" t="s">
        <v>2420</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2421</v>
      </c>
      <c r="C79" s="535" t="s">
        <v>2416</v>
      </c>
      <c r="D79" s="535" t="s">
        <v>2417</v>
      </c>
      <c r="E79" s="535" t="s">
        <v>2418</v>
      </c>
      <c r="F79" s="535" t="s">
        <v>2419</v>
      </c>
      <c r="G79" s="535" t="s">
        <v>2420</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2422</v>
      </c>
      <c r="C81" s="535" t="s">
        <v>2416</v>
      </c>
      <c r="D81" s="535" t="s">
        <v>2417</v>
      </c>
      <c r="E81" s="535" t="s">
        <v>2418</v>
      </c>
      <c r="F81" s="535" t="s">
        <v>2419</v>
      </c>
      <c r="G81" s="535" t="s">
        <v>2420</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2508</v>
      </c>
      <c r="C83" s="616" t="s">
        <v>2494</v>
      </c>
      <c r="D83" s="616" t="s">
        <v>2495</v>
      </c>
      <c r="E83" s="616" t="s">
        <v>2496</v>
      </c>
      <c r="F83" s="616" t="s">
        <v>2497</v>
      </c>
      <c r="G83" s="616" t="s">
        <v>2498</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2517</v>
      </c>
      <c r="C85" s="535" t="s">
        <v>2416</v>
      </c>
      <c r="D85" s="535" t="s">
        <v>2417</v>
      </c>
      <c r="E85" s="535" t="s">
        <v>2418</v>
      </c>
      <c r="F85" s="535" t="s">
        <v>2419</v>
      </c>
      <c r="G85" s="535" t="s">
        <v>2420</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2518</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2382</v>
      </c>
      <c r="B101" s="485" t="s">
        <v>2431</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2433</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2435</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2519</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2436</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2437</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2520</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2503</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2439</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U39" activeCellId="1" sqref="F7:F40 U39"/>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7"/>
      <c r="D2" s="1038" t="e">
        <f ca="1">SUMIF(INDIRECT("'"&amp;F2&amp;"'"&amp;"!A:A"),"承租人权益价值",INDIRECT("'"&amp;F2&amp;"'"&amp;"!c:c"))</f>
        <v>#REF!</v>
      </c>
      <c r="E2" s="2068" t="s">
        <v>2147</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12608.400000000001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31" t="s">
        <v>2465</v>
      </c>
      <c r="D4" s="3332"/>
      <c r="E4" s="3333" t="s">
        <v>2466</v>
      </c>
      <c r="F4" s="3334"/>
      <c r="G4" s="3331" t="s">
        <v>2467</v>
      </c>
      <c r="H4" s="3332"/>
      <c r="I4" s="3331" t="s">
        <v>2468</v>
      </c>
      <c r="J4" s="3332"/>
      <c r="K4" s="567" t="s">
        <v>2469</v>
      </c>
      <c r="L4" s="1044"/>
      <c r="M4" s="1045"/>
      <c r="N4" s="1045"/>
      <c r="O4" s="1045"/>
      <c r="P4" s="3335" t="s">
        <v>2470</v>
      </c>
      <c r="Q4" s="3336"/>
      <c r="R4" s="3341" t="s">
        <v>2466</v>
      </c>
      <c r="S4" s="3342"/>
      <c r="T4" s="3341" t="s">
        <v>2467</v>
      </c>
      <c r="U4" s="3342"/>
      <c r="V4" s="3347" t="s">
        <v>2468</v>
      </c>
      <c r="W4" s="3347"/>
      <c r="X4" s="1539"/>
      <c r="Y4" s="3341" t="s">
        <v>2470</v>
      </c>
      <c r="Z4" s="3342"/>
      <c r="AA4" s="3328" t="s">
        <v>2466</v>
      </c>
      <c r="AB4" s="3329" t="s">
        <v>2467</v>
      </c>
      <c r="AC4" s="3328" t="s">
        <v>2468</v>
      </c>
    </row>
    <row r="5" spans="1:29" ht="15">
      <c r="A5" s="364"/>
      <c r="B5" s="365"/>
      <c r="C5" s="3350" t="s">
        <v>2361</v>
      </c>
      <c r="D5" s="3351"/>
      <c r="E5" s="3357" t="s">
        <v>2362</v>
      </c>
      <c r="F5" s="3358"/>
      <c r="G5" s="3350" t="s">
        <v>2363</v>
      </c>
      <c r="H5" s="3351"/>
      <c r="I5" s="3350" t="s">
        <v>2364</v>
      </c>
      <c r="J5" s="3351"/>
      <c r="K5" s="567"/>
      <c r="L5" s="1044"/>
      <c r="M5" s="1045"/>
      <c r="N5" s="1045"/>
      <c r="O5" s="1045"/>
      <c r="P5" s="3337"/>
      <c r="Q5" s="3338"/>
      <c r="R5" s="3343"/>
      <c r="S5" s="3344"/>
      <c r="T5" s="3343"/>
      <c r="U5" s="3344"/>
      <c r="V5" s="3347"/>
      <c r="W5" s="3347"/>
      <c r="X5" s="1539"/>
      <c r="Y5" s="3343"/>
      <c r="Z5" s="3344"/>
      <c r="AA5" s="3329"/>
      <c r="AB5" s="3329"/>
      <c r="AC5" s="3329"/>
    </row>
    <row r="6" spans="1:29" ht="15.75" thickBot="1">
      <c r="A6" s="366"/>
      <c r="B6" s="367"/>
      <c r="C6" s="3348" t="s">
        <v>2365</v>
      </c>
      <c r="D6" s="3349"/>
      <c r="E6" s="3355" t="s">
        <v>2365</v>
      </c>
      <c r="F6" s="3356"/>
      <c r="G6" s="3348" t="s">
        <v>2365</v>
      </c>
      <c r="H6" s="3349"/>
      <c r="I6" s="3348" t="s">
        <v>2365</v>
      </c>
      <c r="J6" s="3349"/>
      <c r="K6" s="567" t="s">
        <v>2366</v>
      </c>
      <c r="L6" s="1044"/>
      <c r="M6" s="1045"/>
      <c r="N6" s="1045"/>
      <c r="O6" s="1045"/>
      <c r="P6" s="3339"/>
      <c r="Q6" s="3340"/>
      <c r="R6" s="3343"/>
      <c r="S6" s="3344"/>
      <c r="T6" s="3345"/>
      <c r="U6" s="3346"/>
      <c r="V6" s="3347"/>
      <c r="W6" s="3347"/>
      <c r="X6" s="1539"/>
      <c r="Y6" s="3345"/>
      <c r="Z6" s="3346"/>
      <c r="AA6" s="3330"/>
      <c r="AB6" s="3330"/>
      <c r="AC6" s="3330"/>
    </row>
    <row r="7" spans="1:29" s="113" customFormat="1" ht="15.75" thickBot="1">
      <c r="A7" s="368" t="s">
        <v>2367</v>
      </c>
      <c r="B7" s="369"/>
      <c r="C7" s="370">
        <f>'数据-取费表'!B2</f>
        <v>44434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2" t="s">
        <v>2368</v>
      </c>
      <c r="Q7" s="3354"/>
      <c r="R7" s="710" t="s">
        <v>17</v>
      </c>
      <c r="S7" s="711">
        <f t="shared" ref="S7:S15" si="0">F7</f>
        <v>0</v>
      </c>
      <c r="T7" s="710" t="s">
        <v>17</v>
      </c>
      <c r="U7" s="711">
        <f t="shared" ref="U7:U15" si="1">H7</f>
        <v>0</v>
      </c>
      <c r="V7" s="710" t="s">
        <v>17</v>
      </c>
      <c r="W7" s="711">
        <f t="shared" ref="W7:W15" si="2">J7</f>
        <v>0</v>
      </c>
      <c r="X7" s="712"/>
      <c r="Y7" s="3352" t="s">
        <v>2368</v>
      </c>
      <c r="Z7" s="3353"/>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2" t="s">
        <v>2371</v>
      </c>
      <c r="Q8" s="3353"/>
      <c r="R8" s="710" t="s">
        <v>17</v>
      </c>
      <c r="S8" s="711">
        <f t="shared" si="0"/>
        <v>0</v>
      </c>
      <c r="T8" s="710" t="s">
        <v>17</v>
      </c>
      <c r="U8" s="711">
        <f t="shared" si="1"/>
        <v>0</v>
      </c>
      <c r="V8" s="710" t="s">
        <v>17</v>
      </c>
      <c r="W8" s="711">
        <f t="shared" si="2"/>
        <v>0</v>
      </c>
      <c r="X8" s="712"/>
      <c r="Y8" s="3352" t="s">
        <v>2371</v>
      </c>
      <c r="Z8" s="3353"/>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6" t="s">
        <v>2374</v>
      </c>
      <c r="Q9" s="1527" t="str">
        <f t="shared" ref="Q9:Q15" si="6">B9</f>
        <v>用途</v>
      </c>
      <c r="R9" s="710" t="s">
        <v>17</v>
      </c>
      <c r="S9" s="711">
        <f t="shared" si="0"/>
        <v>100</v>
      </c>
      <c r="T9" s="710" t="s">
        <v>17</v>
      </c>
      <c r="U9" s="711">
        <f t="shared" si="1"/>
        <v>100</v>
      </c>
      <c r="V9" s="710" t="s">
        <v>17</v>
      </c>
      <c r="W9" s="711">
        <f t="shared" si="2"/>
        <v>100</v>
      </c>
      <c r="X9" s="712"/>
      <c r="Y9" s="3160"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6"/>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6"/>
      <c r="Q11" s="1527"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6"/>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6"/>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6"/>
      <c r="Q14" s="1527">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8" t="s">
        <v>2379</v>
      </c>
      <c r="Q15" s="1536" t="str">
        <f t="shared" si="6"/>
        <v>产业集聚程度</v>
      </c>
      <c r="R15" s="714" t="s">
        <v>17</v>
      </c>
      <c r="S15" s="715">
        <f t="shared" si="0"/>
        <v>100</v>
      </c>
      <c r="T15" s="714" t="s">
        <v>17</v>
      </c>
      <c r="U15" s="715">
        <f t="shared" si="1"/>
        <v>100</v>
      </c>
      <c r="V15" s="714" t="s">
        <v>17</v>
      </c>
      <c r="W15" s="715">
        <f t="shared" si="2"/>
        <v>100</v>
      </c>
      <c r="X15" s="1539"/>
      <c r="Y15" s="3318" t="s">
        <v>2379</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9"/>
      <c r="Q16" s="1536"/>
      <c r="R16" s="714"/>
      <c r="S16" s="715"/>
      <c r="T16" s="714"/>
      <c r="U16" s="715"/>
      <c r="V16" s="714"/>
      <c r="W16" s="715"/>
      <c r="X16" s="1539"/>
      <c r="Y16" s="3319"/>
      <c r="Z16" s="1540"/>
      <c r="AA16" s="1537">
        <v>1</v>
      </c>
      <c r="AB16" s="1537">
        <v>1</v>
      </c>
      <c r="AC16" s="1537">
        <v>1</v>
      </c>
    </row>
    <row r="17" spans="1:29" ht="85.5">
      <c r="A17" s="387"/>
      <c r="B17" s="410" t="s">
        <v>1943</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9"/>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9"/>
      <c r="Q18" s="1536"/>
      <c r="R18" s="714"/>
      <c r="S18" s="715"/>
      <c r="T18" s="714"/>
      <c r="U18" s="715"/>
      <c r="V18" s="714"/>
      <c r="W18" s="715"/>
      <c r="X18" s="1539"/>
      <c r="Y18" s="3319"/>
      <c r="Z18" s="1540"/>
      <c r="AA18" s="1537">
        <v>1</v>
      </c>
      <c r="AB18" s="1537">
        <v>1</v>
      </c>
      <c r="AC18" s="1537">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9"/>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9"/>
      <c r="Q20" s="1536"/>
      <c r="R20" s="714"/>
      <c r="S20" s="715"/>
      <c r="T20" s="714"/>
      <c r="U20" s="715"/>
      <c r="V20" s="714"/>
      <c r="W20" s="715"/>
      <c r="X20" s="1539"/>
      <c r="Y20" s="3319"/>
      <c r="Z20" s="1540"/>
      <c r="AA20" s="1537">
        <v>1</v>
      </c>
      <c r="AB20" s="1537">
        <v>1</v>
      </c>
      <c r="AC20" s="1537">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9"/>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9"/>
      <c r="Q22" s="1536"/>
      <c r="R22" s="714"/>
      <c r="S22" s="715"/>
      <c r="T22" s="714"/>
      <c r="U22" s="715"/>
      <c r="V22" s="714"/>
      <c r="W22" s="715"/>
      <c r="X22" s="1539"/>
      <c r="Y22" s="3319"/>
      <c r="Z22" s="1540"/>
      <c r="AA22" s="1537">
        <v>1</v>
      </c>
      <c r="AB22" s="1537">
        <v>1</v>
      </c>
      <c r="AC22" s="1537">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9"/>
      <c r="Q23" s="1536" t="str">
        <f>B23</f>
        <v>环境质量</v>
      </c>
      <c r="R23" s="714" t="s">
        <v>17</v>
      </c>
      <c r="S23" s="715">
        <f>F23</f>
        <v>100</v>
      </c>
      <c r="T23" s="714" t="s">
        <v>17</v>
      </c>
      <c r="U23" s="715">
        <f>H23</f>
        <v>100</v>
      </c>
      <c r="V23" s="714" t="s">
        <v>17</v>
      </c>
      <c r="W23" s="715">
        <f>J23</f>
        <v>100</v>
      </c>
      <c r="X23" s="1539"/>
      <c r="Y23" s="331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9"/>
      <c r="Q24" s="1536"/>
      <c r="R24" s="714"/>
      <c r="S24" s="715"/>
      <c r="T24" s="714"/>
      <c r="U24" s="715"/>
      <c r="V24" s="714"/>
      <c r="W24" s="715"/>
      <c r="X24" s="1539"/>
      <c r="Y24" s="331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9"/>
      <c r="Q25" s="1536">
        <f>B25</f>
        <v>111</v>
      </c>
      <c r="R25" s="714" t="s">
        <v>17</v>
      </c>
      <c r="S25" s="715">
        <f>F25</f>
        <v>100</v>
      </c>
      <c r="T25" s="714" t="s">
        <v>17</v>
      </c>
      <c r="U25" s="715">
        <f>H25</f>
        <v>100</v>
      </c>
      <c r="V25" s="714" t="s">
        <v>17</v>
      </c>
      <c r="W25" s="715">
        <f>J25</f>
        <v>100</v>
      </c>
      <c r="X25" s="1539"/>
      <c r="Y25" s="331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9"/>
      <c r="Q26" s="1536">
        <f t="shared" ref="Q26:Q40" si="11">B26</f>
        <v>111</v>
      </c>
      <c r="R26" s="714" t="s">
        <v>17</v>
      </c>
      <c r="S26" s="715">
        <f>F26</f>
        <v>100</v>
      </c>
      <c r="T26" s="714" t="s">
        <v>17</v>
      </c>
      <c r="U26" s="715">
        <f>H26</f>
        <v>100</v>
      </c>
      <c r="V26" s="714" t="s">
        <v>17</v>
      </c>
      <c r="W26" s="715">
        <f>J26</f>
        <v>100</v>
      </c>
      <c r="X26" s="1539"/>
      <c r="Y26" s="331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9"/>
      <c r="Q27" s="1527">
        <f t="shared" si="11"/>
        <v>111</v>
      </c>
      <c r="R27" s="710" t="s">
        <v>17</v>
      </c>
      <c r="S27" s="711">
        <f>F27</f>
        <v>100</v>
      </c>
      <c r="T27" s="710" t="s">
        <v>17</v>
      </c>
      <c r="U27" s="711">
        <f>H27</f>
        <v>100</v>
      </c>
      <c r="V27" s="710" t="s">
        <v>17</v>
      </c>
      <c r="W27" s="711">
        <f>J27</f>
        <v>100</v>
      </c>
      <c r="X27" s="712"/>
      <c r="Y27" s="331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9"/>
      <c r="Q28" s="1536">
        <f t="shared" si="11"/>
        <v>111</v>
      </c>
      <c r="R28" s="714" t="s">
        <v>17</v>
      </c>
      <c r="S28" s="715">
        <f t="shared" ref="S28:S40" si="12">F28</f>
        <v>100</v>
      </c>
      <c r="T28" s="714" t="s">
        <v>17</v>
      </c>
      <c r="U28" s="715">
        <f t="shared" ref="U28:U40" si="13">H28</f>
        <v>100</v>
      </c>
      <c r="V28" s="714" t="s">
        <v>17</v>
      </c>
      <c r="W28" s="715">
        <f t="shared" ref="W28:W40" si="14">J28</f>
        <v>100</v>
      </c>
      <c r="X28" s="1539"/>
      <c r="Y28" s="3319"/>
      <c r="Z28" s="1540">
        <f t="shared" ref="Z28:Z40" si="15">Q28</f>
        <v>111</v>
      </c>
      <c r="AA28" s="1537">
        <f t="shared" si="3"/>
        <v>1</v>
      </c>
      <c r="AB28" s="1537">
        <f t="shared" si="4"/>
        <v>1</v>
      </c>
      <c r="AC28" s="1537">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4" t="s">
        <v>2384</v>
      </c>
      <c r="Q29" s="1536" t="str">
        <f t="shared" si="11"/>
        <v>建筑类型</v>
      </c>
      <c r="R29" s="714" t="s">
        <v>17</v>
      </c>
      <c r="S29" s="715">
        <f t="shared" si="12"/>
        <v>100</v>
      </c>
      <c r="T29" s="714" t="s">
        <v>17</v>
      </c>
      <c r="U29" s="715">
        <f t="shared" si="13"/>
        <v>100</v>
      </c>
      <c r="V29" s="714" t="s">
        <v>17</v>
      </c>
      <c r="W29" s="715">
        <f t="shared" si="14"/>
        <v>100</v>
      </c>
      <c r="X29" s="1539"/>
      <c r="Y29" s="3323" t="s">
        <v>2384</v>
      </c>
      <c r="Z29" s="1540" t="str">
        <f t="shared" si="15"/>
        <v>建筑类型</v>
      </c>
      <c r="AA29" s="1537">
        <f t="shared" si="3"/>
        <v>1</v>
      </c>
      <c r="AB29" s="1537">
        <f t="shared" si="4"/>
        <v>1</v>
      </c>
      <c r="AC29" s="153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3"/>
      <c r="Q30" s="716" t="str">
        <f t="shared" si="11"/>
        <v>项目建筑规模</v>
      </c>
      <c r="R30" s="717" t="s">
        <v>17</v>
      </c>
      <c r="S30" s="718" t="e">
        <f t="shared" si="12"/>
        <v>#N/A</v>
      </c>
      <c r="T30" s="717" t="s">
        <v>17</v>
      </c>
      <c r="U30" s="718" t="e">
        <f t="shared" si="13"/>
        <v>#N/A</v>
      </c>
      <c r="V30" s="717" t="s">
        <v>17</v>
      </c>
      <c r="W30" s="718" t="e">
        <f t="shared" si="14"/>
        <v>#N/A</v>
      </c>
      <c r="X30" s="719"/>
      <c r="Y30" s="3323"/>
      <c r="Z30" s="720" t="str">
        <f t="shared" si="15"/>
        <v>项目建筑规模</v>
      </c>
      <c r="AA30" s="1537" t="e">
        <f t="shared" si="3"/>
        <v>#N/A</v>
      </c>
      <c r="AB30" s="1537" t="e">
        <f t="shared" si="4"/>
        <v>#N/A</v>
      </c>
      <c r="AC30" s="153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3"/>
      <c r="Q31" s="1536" t="str">
        <f t="shared" si="11"/>
        <v>建筑结构</v>
      </c>
      <c r="R31" s="714" t="s">
        <v>17</v>
      </c>
      <c r="S31" s="715">
        <f t="shared" si="12"/>
        <v>100</v>
      </c>
      <c r="T31" s="714" t="s">
        <v>17</v>
      </c>
      <c r="U31" s="715">
        <f t="shared" si="13"/>
        <v>100</v>
      </c>
      <c r="V31" s="714" t="s">
        <v>17</v>
      </c>
      <c r="W31" s="715">
        <f t="shared" si="14"/>
        <v>100</v>
      </c>
      <c r="X31" s="1539"/>
      <c r="Y31" s="3323"/>
      <c r="Z31" s="1540" t="str">
        <f t="shared" si="15"/>
        <v>建筑结构</v>
      </c>
      <c r="AA31" s="1537">
        <f t="shared" si="3"/>
        <v>1</v>
      </c>
      <c r="AB31" s="1537">
        <f t="shared" si="4"/>
        <v>1</v>
      </c>
      <c r="AC31" s="153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3"/>
      <c r="Q32" s="1536" t="str">
        <f t="shared" si="11"/>
        <v>公共部分装修</v>
      </c>
      <c r="R32" s="714" t="s">
        <v>17</v>
      </c>
      <c r="S32" s="715">
        <f t="shared" si="12"/>
        <v>100</v>
      </c>
      <c r="T32" s="714" t="s">
        <v>17</v>
      </c>
      <c r="U32" s="715">
        <f t="shared" si="13"/>
        <v>100</v>
      </c>
      <c r="V32" s="714" t="s">
        <v>17</v>
      </c>
      <c r="W32" s="715">
        <f t="shared" si="14"/>
        <v>100</v>
      </c>
      <c r="X32" s="1539"/>
      <c r="Y32" s="3323"/>
      <c r="Z32" s="1540" t="str">
        <f t="shared" si="15"/>
        <v>公共部分装修</v>
      </c>
      <c r="AA32" s="1537">
        <f t="shared" si="3"/>
        <v>1</v>
      </c>
      <c r="AB32" s="1537">
        <f t="shared" si="4"/>
        <v>1</v>
      </c>
      <c r="AC32" s="153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3"/>
      <c r="Q33" s="1536" t="str">
        <f t="shared" si="11"/>
        <v>成新度</v>
      </c>
      <c r="R33" s="714" t="s">
        <v>17</v>
      </c>
      <c r="S33" s="715" t="e">
        <f t="shared" si="12"/>
        <v>#N/A</v>
      </c>
      <c r="T33" s="714" t="s">
        <v>17</v>
      </c>
      <c r="U33" s="715" t="e">
        <f t="shared" si="13"/>
        <v>#N/A</v>
      </c>
      <c r="V33" s="714" t="s">
        <v>17</v>
      </c>
      <c r="W33" s="715" t="e">
        <f t="shared" si="14"/>
        <v>#N/A</v>
      </c>
      <c r="X33" s="1539"/>
      <c r="Y33" s="3323"/>
      <c r="Z33" s="1540" t="str">
        <f t="shared" si="15"/>
        <v>成新度</v>
      </c>
      <c r="AA33" s="1537" t="e">
        <f t="shared" si="3"/>
        <v>#N/A</v>
      </c>
      <c r="AB33" s="1537" t="e">
        <f t="shared" si="4"/>
        <v>#N/A</v>
      </c>
      <c r="AC33" s="153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3"/>
      <c r="Q34" s="1527" t="str">
        <f t="shared" si="11"/>
        <v>物业管理</v>
      </c>
      <c r="R34" s="710" t="s">
        <v>17</v>
      </c>
      <c r="S34" s="711">
        <f t="shared" si="12"/>
        <v>100</v>
      </c>
      <c r="T34" s="710" t="s">
        <v>17</v>
      </c>
      <c r="U34" s="711">
        <f t="shared" si="13"/>
        <v>100</v>
      </c>
      <c r="V34" s="710" t="s">
        <v>17</v>
      </c>
      <c r="W34" s="711">
        <f t="shared" si="14"/>
        <v>100</v>
      </c>
      <c r="X34" s="712"/>
      <c r="Y34" s="3323"/>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3" t="s">
        <v>2384</v>
      </c>
      <c r="Q35" s="1536" t="str">
        <f t="shared" si="11"/>
        <v>市政基础设施</v>
      </c>
      <c r="R35" s="714" t="s">
        <v>17</v>
      </c>
      <c r="S35" s="715">
        <f t="shared" si="12"/>
        <v>100</v>
      </c>
      <c r="T35" s="714" t="s">
        <v>17</v>
      </c>
      <c r="U35" s="715">
        <f t="shared" si="13"/>
        <v>100</v>
      </c>
      <c r="V35" s="714" t="s">
        <v>17</v>
      </c>
      <c r="W35" s="715">
        <f t="shared" si="14"/>
        <v>100</v>
      </c>
      <c r="X35" s="1539"/>
      <c r="Y35" s="3323" t="s">
        <v>2384</v>
      </c>
      <c r="Z35" s="1540" t="str">
        <f t="shared" si="15"/>
        <v>市政基础设施</v>
      </c>
      <c r="AA35" s="1537">
        <f t="shared" si="3"/>
        <v>1</v>
      </c>
      <c r="AB35" s="1537">
        <f t="shared" si="4"/>
        <v>1</v>
      </c>
      <c r="AC35" s="153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3"/>
      <c r="Q36" s="1536" t="str">
        <f t="shared" si="11"/>
        <v>内部装修</v>
      </c>
      <c r="R36" s="714" t="s">
        <v>17</v>
      </c>
      <c r="S36" s="715">
        <f t="shared" si="12"/>
        <v>100</v>
      </c>
      <c r="T36" s="714" t="s">
        <v>17</v>
      </c>
      <c r="U36" s="715">
        <f t="shared" si="13"/>
        <v>100</v>
      </c>
      <c r="V36" s="714" t="s">
        <v>17</v>
      </c>
      <c r="W36" s="715">
        <f t="shared" si="14"/>
        <v>100</v>
      </c>
      <c r="X36" s="1539"/>
      <c r="Y36" s="3323"/>
      <c r="Z36" s="1540" t="str">
        <f t="shared" si="15"/>
        <v>内部装修</v>
      </c>
      <c r="AA36" s="1537">
        <f t="shared" si="3"/>
        <v>1</v>
      </c>
      <c r="AB36" s="1537">
        <f t="shared" si="4"/>
        <v>1</v>
      </c>
      <c r="AC36" s="153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3"/>
      <c r="Q37" s="1536" t="str">
        <f t="shared" si="11"/>
        <v>内部装修状况</v>
      </c>
      <c r="R37" s="714" t="s">
        <v>17</v>
      </c>
      <c r="S37" s="715">
        <f t="shared" si="12"/>
        <v>100</v>
      </c>
      <c r="T37" s="714" t="s">
        <v>17</v>
      </c>
      <c r="U37" s="715">
        <f t="shared" si="13"/>
        <v>100</v>
      </c>
      <c r="V37" s="714" t="s">
        <v>17</v>
      </c>
      <c r="W37" s="715">
        <f t="shared" si="14"/>
        <v>100</v>
      </c>
      <c r="X37" s="1539"/>
      <c r="Y37" s="332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3"/>
      <c r="Q38" s="716">
        <f t="shared" si="11"/>
        <v>111</v>
      </c>
      <c r="R38" s="717" t="s">
        <v>17</v>
      </c>
      <c r="S38" s="718">
        <f t="shared" si="12"/>
        <v>100</v>
      </c>
      <c r="T38" s="717" t="s">
        <v>17</v>
      </c>
      <c r="U38" s="718">
        <f t="shared" si="13"/>
        <v>100</v>
      </c>
      <c r="V38" s="717" t="s">
        <v>17</v>
      </c>
      <c r="W38" s="718">
        <f t="shared" si="14"/>
        <v>100</v>
      </c>
      <c r="X38" s="719"/>
      <c r="Y38" s="332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3"/>
      <c r="Q39" s="1536">
        <f t="shared" si="11"/>
        <v>111</v>
      </c>
      <c r="R39" s="714" t="s">
        <v>17</v>
      </c>
      <c r="S39" s="715">
        <f t="shared" si="12"/>
        <v>100</v>
      </c>
      <c r="T39" s="714" t="s">
        <v>17</v>
      </c>
      <c r="U39" s="715">
        <f t="shared" si="13"/>
        <v>100</v>
      </c>
      <c r="V39" s="714" t="s">
        <v>17</v>
      </c>
      <c r="W39" s="715">
        <f t="shared" si="14"/>
        <v>100</v>
      </c>
      <c r="X39" s="1539"/>
      <c r="Y39" s="332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4"/>
      <c r="Q40" s="1536">
        <f t="shared" si="11"/>
        <v>111</v>
      </c>
      <c r="R40" s="714" t="s">
        <v>17</v>
      </c>
      <c r="S40" s="715">
        <f t="shared" si="12"/>
        <v>100</v>
      </c>
      <c r="T40" s="714" t="s">
        <v>17</v>
      </c>
      <c r="U40" s="715">
        <f t="shared" si="13"/>
        <v>100</v>
      </c>
      <c r="V40" s="714" t="s">
        <v>17</v>
      </c>
      <c r="W40" s="715">
        <f t="shared" si="14"/>
        <v>100</v>
      </c>
      <c r="X40" s="1539"/>
      <c r="Y40" s="3324"/>
      <c r="Z40" s="1540">
        <f t="shared" si="15"/>
        <v>111</v>
      </c>
      <c r="AA40" s="1537">
        <f t="shared" si="3"/>
        <v>1</v>
      </c>
      <c r="AB40" s="1537">
        <f t="shared" si="4"/>
        <v>1</v>
      </c>
      <c r="AC40" s="1537">
        <f t="shared" si="5"/>
        <v>1</v>
      </c>
    </row>
    <row r="41" spans="1:29" ht="15">
      <c r="A41" s="438" t="s">
        <v>2396</v>
      </c>
      <c r="B41" s="439"/>
      <c r="C41" s="1316" t="s">
        <v>1</v>
      </c>
      <c r="D41" s="1317"/>
      <c r="E41" s="1318"/>
      <c r="F41" s="1319"/>
      <c r="G41" s="1320"/>
      <c r="H41" s="1321"/>
      <c r="I41" s="1318"/>
      <c r="J41" s="1321"/>
      <c r="K41" s="723"/>
      <c r="L41" s="1057"/>
      <c r="M41" s="1058"/>
      <c r="N41" s="1045"/>
      <c r="O41" s="1058"/>
      <c r="P41" s="3316" t="str">
        <f>A41</f>
        <v>成交单价（元/平方米）</v>
      </c>
      <c r="Q41" s="3316"/>
      <c r="R41" s="3317">
        <f>E41</f>
        <v>0</v>
      </c>
      <c r="S41" s="3317"/>
      <c r="T41" s="3317">
        <f>G41</f>
        <v>0</v>
      </c>
      <c r="U41" s="3317"/>
      <c r="V41" s="3317">
        <f>I41</f>
        <v>0</v>
      </c>
      <c r="W41" s="3317"/>
      <c r="X41" s="699"/>
      <c r="Y41" s="721"/>
      <c r="Z41" s="699"/>
      <c r="AA41" s="699"/>
      <c r="AB41" s="699"/>
      <c r="AC41" s="699"/>
    </row>
    <row r="42" spans="1:29" ht="15.75" thickBot="1">
      <c r="A42" s="445" t="s">
        <v>2488</v>
      </c>
      <c r="B42" s="446"/>
      <c r="C42" s="1322" t="e">
        <f>R43</f>
        <v>#DIV/0!</v>
      </c>
      <c r="D42" s="2538" t="s">
        <v>2878</v>
      </c>
      <c r="E42" s="1323" t="e">
        <f>R42</f>
        <v>#DIV/0!</v>
      </c>
      <c r="F42" s="2539"/>
      <c r="G42" s="1322" t="e">
        <f>T42</f>
        <v>#DIV/0!</v>
      </c>
      <c r="H42" s="2539"/>
      <c r="I42" s="1323" t="e">
        <f>V42</f>
        <v>#DIV/0!</v>
      </c>
      <c r="J42" s="2539"/>
      <c r="K42" s="2541">
        <f>F42+H42+J42</f>
        <v>0</v>
      </c>
      <c r="L42" s="1057"/>
      <c r="M42" s="1058"/>
      <c r="N42" s="1045"/>
      <c r="O42" s="1058"/>
      <c r="P42" s="3316" t="str">
        <f>A42</f>
        <v>比较价值（元/平方米）</v>
      </c>
      <c r="Q42" s="3316"/>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13" t="str">
        <f>A43</f>
        <v>估价对象XX用房的比较价值（楼面单价，元/平方米）</v>
      </c>
      <c r="Q43" s="3314"/>
      <c r="R43" s="3315" t="e">
        <f>IF(F1="售价",ROUND(IF(D42="简单平均",AVERAGE(R42:V42),R42*F42+T42*H42+V42*J42),0),ROUND(IF(D42="简单平均",AVERAGE(R42:V42),R42*F42+T42*H42+V42*J42),1))</f>
        <v>#DIV/0!</v>
      </c>
      <c r="S43" s="3315"/>
      <c r="T43" s="3315"/>
      <c r="U43" s="3315"/>
      <c r="V43" s="3315"/>
      <c r="W43" s="3315"/>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2021-8</v>
      </c>
      <c r="D52" s="1347">
        <f>EDATE(C52,-1)</f>
        <v>44378</v>
      </c>
      <c r="E52" s="1347">
        <f t="shared" ref="E52:O52" si="16">EDATE(D52,-1)</f>
        <v>44348</v>
      </c>
      <c r="F52" s="1347">
        <f t="shared" si="16"/>
        <v>44317</v>
      </c>
      <c r="G52" s="1347">
        <f t="shared" si="16"/>
        <v>44287</v>
      </c>
      <c r="H52" s="1347">
        <f t="shared" si="16"/>
        <v>44256</v>
      </c>
      <c r="I52" s="1347">
        <f t="shared" si="16"/>
        <v>44228</v>
      </c>
      <c r="J52" s="1347">
        <f t="shared" si="16"/>
        <v>44197</v>
      </c>
      <c r="K52" s="1347">
        <f t="shared" si="16"/>
        <v>44166</v>
      </c>
      <c r="L52" s="1347">
        <f t="shared" si="16"/>
        <v>44136</v>
      </c>
      <c r="M52" s="1347">
        <f t="shared" si="16"/>
        <v>44105</v>
      </c>
      <c r="N52" s="1347">
        <f t="shared" si="16"/>
        <v>44075</v>
      </c>
      <c r="O52" s="1347">
        <f t="shared" si="16"/>
        <v>44044</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7"/>
      <c r="O54" s="2998"/>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39" activeCellId="1" sqref="F7:F40 U39"/>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5"/>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7"/>
      <c r="D2" s="1038" t="e">
        <f ca="1">SUMIF(INDIRECT("'"&amp;F2&amp;"'"&amp;"!A:A"),"承租人权益价值",INDIRECT("'"&amp;F2&amp;"'"&amp;"!c:c"))</f>
        <v>#REF!</v>
      </c>
      <c r="E2" s="2068" t="s">
        <v>2147</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2464</v>
      </c>
      <c r="B4" s="362"/>
      <c r="C4" s="3331" t="s">
        <v>2465</v>
      </c>
      <c r="D4" s="3332"/>
      <c r="E4" s="3333" t="s">
        <v>2466</v>
      </c>
      <c r="F4" s="3334"/>
      <c r="G4" s="3331" t="s">
        <v>2467</v>
      </c>
      <c r="H4" s="3332"/>
      <c r="I4" s="3331" t="s">
        <v>2468</v>
      </c>
      <c r="J4" s="3332"/>
      <c r="K4" s="567" t="s">
        <v>2469</v>
      </c>
      <c r="L4" s="2942"/>
      <c r="M4" s="2943"/>
      <c r="N4" s="2943"/>
      <c r="O4" s="2943"/>
      <c r="P4" s="3335" t="s">
        <v>2470</v>
      </c>
      <c r="Q4" s="3336"/>
      <c r="R4" s="3341" t="s">
        <v>2466</v>
      </c>
      <c r="S4" s="3342"/>
      <c r="T4" s="3341" t="s">
        <v>2467</v>
      </c>
      <c r="U4" s="3342"/>
      <c r="V4" s="3347" t="s">
        <v>2468</v>
      </c>
      <c r="W4" s="3347"/>
      <c r="X4" s="1539"/>
      <c r="Y4" s="3341" t="s">
        <v>2470</v>
      </c>
      <c r="Z4" s="3342"/>
      <c r="AA4" s="3328" t="s">
        <v>2466</v>
      </c>
      <c r="AB4" s="3329" t="s">
        <v>2467</v>
      </c>
      <c r="AC4" s="3328" t="s">
        <v>2468</v>
      </c>
    </row>
    <row r="5" spans="1:29" ht="15">
      <c r="A5" s="364"/>
      <c r="B5" s="365"/>
      <c r="C5" s="3350" t="s">
        <v>2361</v>
      </c>
      <c r="D5" s="3351"/>
      <c r="E5" s="3357" t="s">
        <v>2362</v>
      </c>
      <c r="F5" s="3358"/>
      <c r="G5" s="3350" t="s">
        <v>2363</v>
      </c>
      <c r="H5" s="3351"/>
      <c r="I5" s="3350" t="s">
        <v>2364</v>
      </c>
      <c r="J5" s="3351"/>
      <c r="K5" s="567"/>
      <c r="L5" s="2942"/>
      <c r="M5" s="2943"/>
      <c r="N5" s="2943"/>
      <c r="O5" s="2943"/>
      <c r="P5" s="3337"/>
      <c r="Q5" s="3338"/>
      <c r="R5" s="3343"/>
      <c r="S5" s="3344"/>
      <c r="T5" s="3343"/>
      <c r="U5" s="3344"/>
      <c r="V5" s="3347"/>
      <c r="W5" s="3347"/>
      <c r="X5" s="1539"/>
      <c r="Y5" s="3343"/>
      <c r="Z5" s="3344"/>
      <c r="AA5" s="3329"/>
      <c r="AB5" s="3329"/>
      <c r="AC5" s="3329"/>
    </row>
    <row r="6" spans="1:29" ht="15.75" thickBot="1">
      <c r="A6" s="366"/>
      <c r="B6" s="367"/>
      <c r="C6" s="3348" t="s">
        <v>2365</v>
      </c>
      <c r="D6" s="3349"/>
      <c r="E6" s="3355" t="s">
        <v>2365</v>
      </c>
      <c r="F6" s="3356"/>
      <c r="G6" s="3348" t="s">
        <v>2365</v>
      </c>
      <c r="H6" s="3349"/>
      <c r="I6" s="3348" t="s">
        <v>2365</v>
      </c>
      <c r="J6" s="3349"/>
      <c r="K6" s="567" t="s">
        <v>2366</v>
      </c>
      <c r="L6" s="2942"/>
      <c r="M6" s="2943"/>
      <c r="N6" s="2943"/>
      <c r="O6" s="2943"/>
      <c r="P6" s="3339"/>
      <c r="Q6" s="3340"/>
      <c r="R6" s="3343"/>
      <c r="S6" s="3344"/>
      <c r="T6" s="3345"/>
      <c r="U6" s="3346"/>
      <c r="V6" s="3347"/>
      <c r="W6" s="3347"/>
      <c r="X6" s="1539"/>
      <c r="Y6" s="3345"/>
      <c r="Z6" s="3346"/>
      <c r="AA6" s="3330"/>
      <c r="AB6" s="3330"/>
      <c r="AC6" s="3330"/>
    </row>
    <row r="7" spans="1:29" s="113" customFormat="1" ht="15.75" thickBot="1">
      <c r="A7" s="368" t="s">
        <v>2367</v>
      </c>
      <c r="B7" s="369"/>
      <c r="C7" s="370">
        <f>'数据-取费表'!B2</f>
        <v>44434</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52" t="s">
        <v>2368</v>
      </c>
      <c r="Q7" s="3354"/>
      <c r="R7" s="710" t="s">
        <v>17</v>
      </c>
      <c r="S7" s="711">
        <f t="shared" ref="S7:S14" si="0">F7</f>
        <v>0</v>
      </c>
      <c r="T7" s="710" t="s">
        <v>17</v>
      </c>
      <c r="U7" s="711">
        <f t="shared" ref="U7:U14" si="1">H7</f>
        <v>0</v>
      </c>
      <c r="V7" s="710" t="s">
        <v>17</v>
      </c>
      <c r="W7" s="711">
        <f t="shared" ref="W7:W14" si="2">J7</f>
        <v>0</v>
      </c>
      <c r="X7" s="712"/>
      <c r="Y7" s="3352" t="s">
        <v>2368</v>
      </c>
      <c r="Z7" s="3353"/>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52" t="s">
        <v>2371</v>
      </c>
      <c r="Q8" s="3353"/>
      <c r="R8" s="710" t="s">
        <v>17</v>
      </c>
      <c r="S8" s="711">
        <f t="shared" si="0"/>
        <v>0</v>
      </c>
      <c r="T8" s="710" t="s">
        <v>17</v>
      </c>
      <c r="U8" s="711">
        <f t="shared" si="1"/>
        <v>0</v>
      </c>
      <c r="V8" s="710" t="s">
        <v>17</v>
      </c>
      <c r="W8" s="711">
        <f t="shared" si="2"/>
        <v>0</v>
      </c>
      <c r="X8" s="712"/>
      <c r="Y8" s="3352" t="s">
        <v>2371</v>
      </c>
      <c r="Z8" s="3353"/>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16" t="s">
        <v>2374</v>
      </c>
      <c r="Q9" s="1527" t="str">
        <f t="shared" ref="Q9:Q14" si="6">B9</f>
        <v>用途</v>
      </c>
      <c r="R9" s="710" t="s">
        <v>17</v>
      </c>
      <c r="S9" s="711">
        <f t="shared" si="0"/>
        <v>100</v>
      </c>
      <c r="T9" s="710" t="s">
        <v>17</v>
      </c>
      <c r="U9" s="711">
        <f t="shared" si="1"/>
        <v>100</v>
      </c>
      <c r="V9" s="710" t="s">
        <v>17</v>
      </c>
      <c r="W9" s="711">
        <f t="shared" si="2"/>
        <v>100</v>
      </c>
      <c r="X9" s="712"/>
      <c r="Y9" s="3160"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16"/>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16"/>
      <c r="Q11" s="1527">
        <f t="shared" si="6"/>
        <v>111</v>
      </c>
      <c r="R11" s="710" t="s">
        <v>17</v>
      </c>
      <c r="S11" s="711">
        <f t="shared" si="0"/>
        <v>100</v>
      </c>
      <c r="T11" s="710" t="s">
        <v>17</v>
      </c>
      <c r="U11" s="711">
        <f t="shared" si="1"/>
        <v>100</v>
      </c>
      <c r="V11" s="710" t="s">
        <v>17</v>
      </c>
      <c r="W11" s="711">
        <f t="shared" si="2"/>
        <v>100</v>
      </c>
      <c r="X11" s="712"/>
      <c r="Y11" s="316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16"/>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16"/>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18" t="s">
        <v>2379</v>
      </c>
      <c r="Q14" s="1536" t="str">
        <f t="shared" si="6"/>
        <v>交通便捷度</v>
      </c>
      <c r="R14" s="714" t="s">
        <v>17</v>
      </c>
      <c r="S14" s="715">
        <f t="shared" si="0"/>
        <v>100</v>
      </c>
      <c r="T14" s="714" t="s">
        <v>17</v>
      </c>
      <c r="U14" s="715">
        <f t="shared" si="1"/>
        <v>100</v>
      </c>
      <c r="V14" s="714" t="s">
        <v>17</v>
      </c>
      <c r="W14" s="715">
        <f t="shared" si="2"/>
        <v>100</v>
      </c>
      <c r="X14" s="1539"/>
      <c r="Y14" s="3318" t="s">
        <v>2379</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319"/>
      <c r="Q15" s="1536"/>
      <c r="R15" s="714"/>
      <c r="S15" s="715"/>
      <c r="T15" s="714"/>
      <c r="U15" s="715"/>
      <c r="V15" s="714"/>
      <c r="W15" s="715"/>
      <c r="X15" s="1539"/>
      <c r="Y15" s="3319"/>
      <c r="Z15" s="1540"/>
      <c r="AA15" s="1537">
        <v>1</v>
      </c>
      <c r="AB15" s="1537">
        <v>1</v>
      </c>
      <c r="AC15" s="1537">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19"/>
      <c r="Q16" s="1536" t="str">
        <f>B16</f>
        <v>公共配套设施</v>
      </c>
      <c r="R16" s="714" t="s">
        <v>17</v>
      </c>
      <c r="S16" s="715">
        <f>F16</f>
        <v>100</v>
      </c>
      <c r="T16" s="714" t="s">
        <v>17</v>
      </c>
      <c r="U16" s="715">
        <f>H16</f>
        <v>100</v>
      </c>
      <c r="V16" s="714" t="s">
        <v>17</v>
      </c>
      <c r="W16" s="715">
        <f>J16</f>
        <v>100</v>
      </c>
      <c r="X16" s="1539"/>
      <c r="Y16" s="331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319"/>
      <c r="Q17" s="1536"/>
      <c r="R17" s="714"/>
      <c r="S17" s="715"/>
      <c r="T17" s="714"/>
      <c r="U17" s="715"/>
      <c r="V17" s="714"/>
      <c r="W17" s="715"/>
      <c r="X17" s="1539"/>
      <c r="Y17" s="3319"/>
      <c r="Z17" s="1540"/>
      <c r="AA17" s="1537">
        <v>1</v>
      </c>
      <c r="AB17" s="1537">
        <v>1</v>
      </c>
      <c r="AC17" s="1537">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19"/>
      <c r="Q18" s="1536" t="str">
        <f>B18</f>
        <v>基础设施水平</v>
      </c>
      <c r="R18" s="714" t="s">
        <v>17</v>
      </c>
      <c r="S18" s="715">
        <f>F18</f>
        <v>100</v>
      </c>
      <c r="T18" s="714" t="s">
        <v>17</v>
      </c>
      <c r="U18" s="715">
        <f>H18</f>
        <v>100</v>
      </c>
      <c r="V18" s="714" t="s">
        <v>17</v>
      </c>
      <c r="W18" s="715">
        <f>J18</f>
        <v>100</v>
      </c>
      <c r="X18" s="1539"/>
      <c r="Y18" s="331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319"/>
      <c r="Q19" s="1536"/>
      <c r="R19" s="714"/>
      <c r="S19" s="715"/>
      <c r="T19" s="714"/>
      <c r="U19" s="715"/>
      <c r="V19" s="714"/>
      <c r="W19" s="715"/>
      <c r="X19" s="1539"/>
      <c r="Y19" s="3319"/>
      <c r="Z19" s="1540"/>
      <c r="AA19" s="1537">
        <v>1</v>
      </c>
      <c r="AB19" s="1537">
        <v>1</v>
      </c>
      <c r="AC19" s="1537">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19"/>
      <c r="Q20" s="1536" t="str">
        <f>B20</f>
        <v>自然及人文环境</v>
      </c>
      <c r="R20" s="714" t="s">
        <v>17</v>
      </c>
      <c r="S20" s="715">
        <f>F20</f>
        <v>100</v>
      </c>
      <c r="T20" s="714" t="s">
        <v>17</v>
      </c>
      <c r="U20" s="715">
        <f>H20</f>
        <v>100</v>
      </c>
      <c r="V20" s="714" t="s">
        <v>17</v>
      </c>
      <c r="W20" s="715">
        <f>J20</f>
        <v>100</v>
      </c>
      <c r="X20" s="1539"/>
      <c r="Y20" s="331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319"/>
      <c r="Q21" s="1536"/>
      <c r="R21" s="714"/>
      <c r="S21" s="715"/>
      <c r="T21" s="714"/>
      <c r="U21" s="715"/>
      <c r="V21" s="714"/>
      <c r="W21" s="715"/>
      <c r="X21" s="1539"/>
      <c r="Y21" s="3319"/>
      <c r="Z21" s="1540"/>
      <c r="AA21" s="1537">
        <v>1</v>
      </c>
      <c r="AB21" s="1537">
        <v>1</v>
      </c>
      <c r="AC21" s="153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19"/>
      <c r="Q22" s="1536" t="str">
        <f>B22</f>
        <v>楼层</v>
      </c>
      <c r="R22" s="714" t="s">
        <v>17</v>
      </c>
      <c r="S22" s="715">
        <f>F22</f>
        <v>100</v>
      </c>
      <c r="T22" s="714" t="s">
        <v>17</v>
      </c>
      <c r="U22" s="715">
        <f>H22</f>
        <v>100</v>
      </c>
      <c r="V22" s="714" t="s">
        <v>17</v>
      </c>
      <c r="W22" s="715">
        <f>J22</f>
        <v>100</v>
      </c>
      <c r="X22" s="1539"/>
      <c r="Y22" s="331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19"/>
      <c r="Q23" s="1536">
        <f>B23</f>
        <v>111</v>
      </c>
      <c r="R23" s="714" t="s">
        <v>17</v>
      </c>
      <c r="S23" s="715">
        <f>F23</f>
        <v>100</v>
      </c>
      <c r="T23" s="714" t="s">
        <v>17</v>
      </c>
      <c r="U23" s="715">
        <f>H23</f>
        <v>100</v>
      </c>
      <c r="V23" s="714" t="s">
        <v>17</v>
      </c>
      <c r="W23" s="715">
        <f>J23</f>
        <v>100</v>
      </c>
      <c r="X23" s="1539"/>
      <c r="Y23" s="331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19"/>
      <c r="Q24" s="1536">
        <f t="shared" ref="Q24:Q36" si="11">B24</f>
        <v>111</v>
      </c>
      <c r="R24" s="714" t="s">
        <v>17</v>
      </c>
      <c r="S24" s="715">
        <f>F24</f>
        <v>100</v>
      </c>
      <c r="T24" s="714" t="s">
        <v>17</v>
      </c>
      <c r="U24" s="715">
        <f>H24</f>
        <v>100</v>
      </c>
      <c r="V24" s="714" t="s">
        <v>17</v>
      </c>
      <c r="W24" s="715">
        <f>J24</f>
        <v>100</v>
      </c>
      <c r="X24" s="1539"/>
      <c r="Y24" s="331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19"/>
      <c r="Q25" s="1527">
        <f t="shared" si="11"/>
        <v>111</v>
      </c>
      <c r="R25" s="710" t="s">
        <v>17</v>
      </c>
      <c r="S25" s="711">
        <f>F25</f>
        <v>100</v>
      </c>
      <c r="T25" s="710" t="s">
        <v>17</v>
      </c>
      <c r="U25" s="711">
        <f>H25</f>
        <v>100</v>
      </c>
      <c r="V25" s="710" t="s">
        <v>17</v>
      </c>
      <c r="W25" s="711">
        <f>J25</f>
        <v>100</v>
      </c>
      <c r="X25" s="712"/>
      <c r="Y25" s="3319"/>
      <c r="Z25" s="55">
        <f>Q25</f>
        <v>111</v>
      </c>
      <c r="AA25" s="1537">
        <f>D25/F25</f>
        <v>1</v>
      </c>
      <c r="AB25" s="1537">
        <f>D25/H25</f>
        <v>1</v>
      </c>
      <c r="AC25" s="1537">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74" t="s">
        <v>2384</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3" t="s">
        <v>2384</v>
      </c>
      <c r="Z26" s="1540" t="str">
        <f t="shared" ref="Z26:Z36" si="15">Q26</f>
        <v>配套类型</v>
      </c>
      <c r="AA26" s="1537">
        <f t="shared" si="3"/>
        <v>1</v>
      </c>
      <c r="AB26" s="1537">
        <f t="shared" si="4"/>
        <v>1</v>
      </c>
      <c r="AC26" s="153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23"/>
      <c r="Q27" s="716" t="str">
        <f t="shared" si="11"/>
        <v>项目停车位配比</v>
      </c>
      <c r="R27" s="717" t="s">
        <v>17</v>
      </c>
      <c r="S27" s="718">
        <f t="shared" si="12"/>
        <v>100</v>
      </c>
      <c r="T27" s="717" t="s">
        <v>17</v>
      </c>
      <c r="U27" s="718">
        <f t="shared" si="13"/>
        <v>100</v>
      </c>
      <c r="V27" s="717" t="s">
        <v>17</v>
      </c>
      <c r="W27" s="718">
        <f t="shared" si="14"/>
        <v>100</v>
      </c>
      <c r="X27" s="719"/>
      <c r="Y27" s="3323"/>
      <c r="Z27" s="720" t="str">
        <f t="shared" si="15"/>
        <v>项目停车位配比</v>
      </c>
      <c r="AA27" s="1537">
        <f t="shared" si="3"/>
        <v>1</v>
      </c>
      <c r="AB27" s="1537">
        <f t="shared" si="4"/>
        <v>1</v>
      </c>
      <c r="AC27" s="153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23"/>
      <c r="Q28" s="1536" t="str">
        <f t="shared" si="11"/>
        <v>公共部分装修</v>
      </c>
      <c r="R28" s="714" t="s">
        <v>17</v>
      </c>
      <c r="S28" s="715">
        <f t="shared" si="12"/>
        <v>100</v>
      </c>
      <c r="T28" s="714" t="s">
        <v>17</v>
      </c>
      <c r="U28" s="715">
        <f t="shared" si="13"/>
        <v>100</v>
      </c>
      <c r="V28" s="714" t="s">
        <v>17</v>
      </c>
      <c r="W28" s="715">
        <f t="shared" si="14"/>
        <v>100</v>
      </c>
      <c r="X28" s="1539"/>
      <c r="Y28" s="3323"/>
      <c r="Z28" s="1540" t="str">
        <f t="shared" si="15"/>
        <v>公共部分装修</v>
      </c>
      <c r="AA28" s="1537">
        <f t="shared" si="3"/>
        <v>1</v>
      </c>
      <c r="AB28" s="1537">
        <f t="shared" si="4"/>
        <v>1</v>
      </c>
      <c r="AC28" s="153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23"/>
      <c r="Q29" s="1536" t="str">
        <f t="shared" si="11"/>
        <v>成新率</v>
      </c>
      <c r="R29" s="714" t="s">
        <v>17</v>
      </c>
      <c r="S29" s="715" t="e">
        <f t="shared" si="12"/>
        <v>#N/A</v>
      </c>
      <c r="T29" s="714" t="s">
        <v>17</v>
      </c>
      <c r="U29" s="715" t="e">
        <f t="shared" si="13"/>
        <v>#N/A</v>
      </c>
      <c r="V29" s="714" t="s">
        <v>17</v>
      </c>
      <c r="W29" s="715" t="e">
        <f t="shared" si="14"/>
        <v>#N/A</v>
      </c>
      <c r="X29" s="1539"/>
      <c r="Y29" s="3323"/>
      <c r="Z29" s="1540" t="str">
        <f t="shared" si="15"/>
        <v>成新率</v>
      </c>
      <c r="AA29" s="1537" t="e">
        <f t="shared" si="3"/>
        <v>#N/A</v>
      </c>
      <c r="AB29" s="1537" t="e">
        <f t="shared" si="4"/>
        <v>#N/A</v>
      </c>
      <c r="AC29" s="153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23"/>
      <c r="Q30" s="1536" t="str">
        <f t="shared" si="11"/>
        <v>物业等级</v>
      </c>
      <c r="R30" s="714" t="s">
        <v>17</v>
      </c>
      <c r="S30" s="715">
        <f t="shared" si="12"/>
        <v>100</v>
      </c>
      <c r="T30" s="714" t="s">
        <v>17</v>
      </c>
      <c r="U30" s="715">
        <f t="shared" si="13"/>
        <v>100</v>
      </c>
      <c r="V30" s="714" t="s">
        <v>17</v>
      </c>
      <c r="W30" s="715">
        <f t="shared" si="14"/>
        <v>100</v>
      </c>
      <c r="X30" s="1539"/>
      <c r="Y30" s="3323"/>
      <c r="Z30" s="1540" t="str">
        <f t="shared" si="15"/>
        <v>物业等级</v>
      </c>
      <c r="AA30" s="1537">
        <f t="shared" si="3"/>
        <v>1</v>
      </c>
      <c r="AB30" s="1537">
        <f t="shared" si="4"/>
        <v>1</v>
      </c>
      <c r="AC30" s="153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23"/>
      <c r="Q31" s="1527" t="str">
        <f t="shared" si="11"/>
        <v>停车位面积</v>
      </c>
      <c r="R31" s="710" t="s">
        <v>17</v>
      </c>
      <c r="S31" s="711" t="e">
        <f t="shared" si="12"/>
        <v>#N/A</v>
      </c>
      <c r="T31" s="710" t="s">
        <v>17</v>
      </c>
      <c r="U31" s="711" t="e">
        <f t="shared" si="13"/>
        <v>#N/A</v>
      </c>
      <c r="V31" s="710" t="s">
        <v>17</v>
      </c>
      <c r="W31" s="711" t="e">
        <f t="shared" si="14"/>
        <v>#N/A</v>
      </c>
      <c r="X31" s="712"/>
      <c r="Y31" s="3323"/>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23" t="s">
        <v>2384</v>
      </c>
      <c r="Q32" s="1536" t="str">
        <f t="shared" si="11"/>
        <v>车位类型</v>
      </c>
      <c r="R32" s="714" t="s">
        <v>17</v>
      </c>
      <c r="S32" s="715">
        <f t="shared" si="12"/>
        <v>100</v>
      </c>
      <c r="T32" s="714" t="s">
        <v>17</v>
      </c>
      <c r="U32" s="715">
        <f t="shared" si="13"/>
        <v>100</v>
      </c>
      <c r="V32" s="714" t="s">
        <v>17</v>
      </c>
      <c r="W32" s="715">
        <f t="shared" si="14"/>
        <v>100</v>
      </c>
      <c r="X32" s="1539"/>
      <c r="Y32" s="3323" t="s">
        <v>2384</v>
      </c>
      <c r="Z32" s="1540" t="str">
        <f t="shared" si="15"/>
        <v>车位类型</v>
      </c>
      <c r="AA32" s="1537">
        <f t="shared" si="3"/>
        <v>1</v>
      </c>
      <c r="AB32" s="1537">
        <f t="shared" si="4"/>
        <v>1</v>
      </c>
      <c r="AC32" s="153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23"/>
      <c r="Q33" s="1536" t="str">
        <f t="shared" si="11"/>
        <v>是否直接入户</v>
      </c>
      <c r="R33" s="714" t="s">
        <v>17</v>
      </c>
      <c r="S33" s="715">
        <f t="shared" si="12"/>
        <v>100</v>
      </c>
      <c r="T33" s="714" t="s">
        <v>17</v>
      </c>
      <c r="U33" s="715">
        <f t="shared" si="13"/>
        <v>100</v>
      </c>
      <c r="V33" s="714" t="s">
        <v>17</v>
      </c>
      <c r="W33" s="715">
        <f t="shared" si="14"/>
        <v>100</v>
      </c>
      <c r="X33" s="1539"/>
      <c r="Y33" s="332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23"/>
      <c r="Q34" s="1536">
        <f t="shared" si="11"/>
        <v>111</v>
      </c>
      <c r="R34" s="714" t="s">
        <v>17</v>
      </c>
      <c r="S34" s="715">
        <f t="shared" si="12"/>
        <v>100</v>
      </c>
      <c r="T34" s="714" t="s">
        <v>17</v>
      </c>
      <c r="U34" s="715">
        <f t="shared" si="13"/>
        <v>100</v>
      </c>
      <c r="V34" s="714" t="s">
        <v>17</v>
      </c>
      <c r="W34" s="715">
        <f t="shared" si="14"/>
        <v>100</v>
      </c>
      <c r="X34" s="1539"/>
      <c r="Y34" s="332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23"/>
      <c r="Q35" s="716">
        <f t="shared" si="11"/>
        <v>111</v>
      </c>
      <c r="R35" s="717" t="s">
        <v>17</v>
      </c>
      <c r="S35" s="718">
        <f t="shared" si="12"/>
        <v>100</v>
      </c>
      <c r="T35" s="717" t="s">
        <v>17</v>
      </c>
      <c r="U35" s="718">
        <f t="shared" si="13"/>
        <v>100</v>
      </c>
      <c r="V35" s="717" t="s">
        <v>17</v>
      </c>
      <c r="W35" s="718">
        <f t="shared" si="14"/>
        <v>100</v>
      </c>
      <c r="X35" s="719"/>
      <c r="Y35" s="332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23"/>
      <c r="Q36" s="1536">
        <f t="shared" si="11"/>
        <v>111</v>
      </c>
      <c r="R36" s="714" t="s">
        <v>17</v>
      </c>
      <c r="S36" s="715">
        <f t="shared" si="12"/>
        <v>100</v>
      </c>
      <c r="T36" s="714" t="s">
        <v>17</v>
      </c>
      <c r="U36" s="715">
        <f t="shared" si="13"/>
        <v>100</v>
      </c>
      <c r="V36" s="714" t="s">
        <v>17</v>
      </c>
      <c r="W36" s="715">
        <f t="shared" si="14"/>
        <v>100</v>
      </c>
      <c r="X36" s="1539"/>
      <c r="Y36" s="3323"/>
      <c r="Z36" s="1540">
        <f t="shared" si="15"/>
        <v>111</v>
      </c>
      <c r="AA36" s="1537">
        <f t="shared" si="3"/>
        <v>1</v>
      </c>
      <c r="AB36" s="1537">
        <f t="shared" si="4"/>
        <v>1</v>
      </c>
      <c r="AC36" s="1537">
        <f t="shared" si="5"/>
        <v>1</v>
      </c>
    </row>
    <row r="37" spans="1:29" ht="15">
      <c r="A37" s="438" t="s">
        <v>2539</v>
      </c>
      <c r="B37" s="2159" t="s">
        <v>2540</v>
      </c>
      <c r="C37" s="1316" t="s">
        <v>1</v>
      </c>
      <c r="D37" s="1317"/>
      <c r="E37" s="1318"/>
      <c r="F37" s="1319"/>
      <c r="G37" s="1320"/>
      <c r="H37" s="1321"/>
      <c r="I37" s="1318"/>
      <c r="J37" s="1321"/>
      <c r="K37" s="576"/>
      <c r="L37" s="2951"/>
      <c r="M37" s="2952"/>
      <c r="N37" s="2943"/>
      <c r="O37" s="2952"/>
      <c r="P37" s="3316" t="str">
        <f>A37</f>
        <v>成交单价</v>
      </c>
      <c r="Q37" s="3316"/>
      <c r="R37" s="3317">
        <f>E37</f>
        <v>0</v>
      </c>
      <c r="S37" s="3317"/>
      <c r="T37" s="3317">
        <f>G37</f>
        <v>0</v>
      </c>
      <c r="U37" s="3317"/>
      <c r="V37" s="3317">
        <f>I37</f>
        <v>0</v>
      </c>
      <c r="W37" s="3317"/>
      <c r="X37" s="699"/>
      <c r="Y37" s="721"/>
      <c r="Z37" s="699"/>
      <c r="AA37" s="699"/>
      <c r="AB37" s="699"/>
      <c r="AC37" s="699"/>
    </row>
    <row r="38" spans="1:29" ht="15.75" thickBot="1">
      <c r="A38" s="445" t="s">
        <v>2541</v>
      </c>
      <c r="B38" s="446" t="str">
        <f>B37</f>
        <v>元/车位</v>
      </c>
      <c r="C38" s="1322" t="e">
        <f>R39</f>
        <v>#DIV/0!</v>
      </c>
      <c r="D38" s="2538" t="s">
        <v>2878</v>
      </c>
      <c r="E38" s="1323" t="e">
        <f>R38</f>
        <v>#DIV/0!</v>
      </c>
      <c r="F38" s="2539"/>
      <c r="G38" s="1322" t="e">
        <f>T38</f>
        <v>#DIV/0!</v>
      </c>
      <c r="H38" s="2539"/>
      <c r="I38" s="1323" t="e">
        <f>V38</f>
        <v>#DIV/0!</v>
      </c>
      <c r="J38" s="2539"/>
      <c r="K38" s="2541">
        <f>F38+H38+J38</f>
        <v>0</v>
      </c>
      <c r="L38" s="2951"/>
      <c r="M38" s="2952"/>
      <c r="N38" s="2952"/>
      <c r="O38" s="2952"/>
      <c r="P38" s="3316" t="str">
        <f>A38</f>
        <v>比较价值（元/平方米）</v>
      </c>
      <c r="Q38" s="3316"/>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1"/>
      <c r="M39" s="2952"/>
      <c r="N39" s="2952"/>
      <c r="O39" s="2952"/>
      <c r="P39" s="3313" t="str">
        <f>A39</f>
        <v>估价对象XX用房的比较价值（楼面单价，元/平方米）</v>
      </c>
      <c r="Q39" s="3314"/>
      <c r="R39" s="3375" t="e">
        <f>IF(F1="售价",ROUND(IF(D38="简单平均",AVERAGE(R38:W38),R38*F38+T38*H38+V38*J38),0),ROUND(IF(D38="简单平均",AVERAGE(R38:V38),R38*F38+T38*H38+V38*J38),1))</f>
        <v>#DIV/0!</v>
      </c>
      <c r="S39" s="3375"/>
      <c r="T39" s="3375"/>
      <c r="U39" s="3375"/>
      <c r="V39" s="3375"/>
      <c r="W39" s="3375"/>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2546</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2547</v>
      </c>
      <c r="B48" s="463"/>
      <c r="C48" s="1346" t="str">
        <f>YEAR(C7)&amp;"-"&amp;MONTH(C7)</f>
        <v>2021-8</v>
      </c>
      <c r="D48" s="1347">
        <f>EDATE(C48,-1)</f>
        <v>44378</v>
      </c>
      <c r="E48" s="1347">
        <f t="shared" ref="E48:O48" si="16">EDATE(D48,-1)</f>
        <v>44348</v>
      </c>
      <c r="F48" s="1347">
        <f t="shared" si="16"/>
        <v>44317</v>
      </c>
      <c r="G48" s="1347">
        <f t="shared" si="16"/>
        <v>44287</v>
      </c>
      <c r="H48" s="1347">
        <f t="shared" si="16"/>
        <v>44256</v>
      </c>
      <c r="I48" s="1347">
        <f t="shared" si="16"/>
        <v>44228</v>
      </c>
      <c r="J48" s="1347">
        <f t="shared" si="16"/>
        <v>44197</v>
      </c>
      <c r="K48" s="1347">
        <f t="shared" si="16"/>
        <v>44166</v>
      </c>
      <c r="L48" s="1347">
        <f t="shared" si="16"/>
        <v>44136</v>
      </c>
      <c r="M48" s="1347">
        <f t="shared" si="16"/>
        <v>44105</v>
      </c>
      <c r="N48" s="1347">
        <f t="shared" si="16"/>
        <v>44075</v>
      </c>
      <c r="O48" s="1347">
        <f t="shared" si="16"/>
        <v>44044</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2404</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2369</v>
      </c>
      <c r="B51" s="467"/>
      <c r="C51" s="479" t="s">
        <v>2471</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2407</v>
      </c>
      <c r="B53" s="485" t="s">
        <v>2373</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2422</v>
      </c>
      <c r="C65" s="535" t="s">
        <v>2416</v>
      </c>
      <c r="D65" s="535" t="s">
        <v>2417</v>
      </c>
      <c r="E65" s="535" t="s">
        <v>2418</v>
      </c>
      <c r="F65" s="535" t="s">
        <v>2419</v>
      </c>
      <c r="G65" s="535" t="s">
        <v>2420</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2508</v>
      </c>
      <c r="C67" s="616" t="s">
        <v>2494</v>
      </c>
      <c r="D67" s="616" t="s">
        <v>2495</v>
      </c>
      <c r="E67" s="616" t="s">
        <v>2496</v>
      </c>
      <c r="F67" s="616" t="s">
        <v>2497</v>
      </c>
      <c r="G67" s="616" t="s">
        <v>2498</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2428</v>
      </c>
      <c r="C69" s="535" t="s">
        <v>2416</v>
      </c>
      <c r="D69" s="535" t="s">
        <v>2417</v>
      </c>
      <c r="E69" s="535" t="s">
        <v>2418</v>
      </c>
      <c r="F69" s="535" t="s">
        <v>2419</v>
      </c>
      <c r="G69" s="535" t="s">
        <v>2420</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2548</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2382</v>
      </c>
      <c r="B79" s="485" t="s">
        <v>2549</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2550</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2435</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2552</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2554</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2555</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39" activeCellId="1" sqref="F7:F40 U39"/>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7"/>
      <c r="D2" s="1038" t="e">
        <f ca="1">SUMIF(INDIRECT("'"&amp;F2&amp;"'"&amp;"!A:A"),"承租人权益价值",INDIRECT("'"&amp;F2&amp;"'"&amp;"!c:c"))</f>
        <v>#REF!</v>
      </c>
      <c r="E2" s="2068" t="s">
        <v>2147</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2464</v>
      </c>
      <c r="B4" s="362"/>
      <c r="C4" s="3331" t="s">
        <v>2465</v>
      </c>
      <c r="D4" s="3332"/>
      <c r="E4" s="3333" t="s">
        <v>2466</v>
      </c>
      <c r="F4" s="3334"/>
      <c r="G4" s="3331" t="s">
        <v>2467</v>
      </c>
      <c r="H4" s="3332"/>
      <c r="I4" s="3331" t="s">
        <v>2468</v>
      </c>
      <c r="J4" s="3332"/>
      <c r="K4" s="567" t="s">
        <v>2469</v>
      </c>
      <c r="L4" s="2942"/>
      <c r="M4" s="2943"/>
      <c r="N4" s="2943"/>
      <c r="O4" s="2943"/>
      <c r="P4" s="3335" t="s">
        <v>2470</v>
      </c>
      <c r="Q4" s="3336"/>
      <c r="R4" s="3341" t="s">
        <v>2466</v>
      </c>
      <c r="S4" s="3342"/>
      <c r="T4" s="3341" t="s">
        <v>2467</v>
      </c>
      <c r="U4" s="3342"/>
      <c r="V4" s="3347" t="s">
        <v>2468</v>
      </c>
      <c r="W4" s="3347"/>
      <c r="X4" s="1539"/>
      <c r="Y4" s="3341" t="s">
        <v>2470</v>
      </c>
      <c r="Z4" s="3342"/>
      <c r="AA4" s="3328" t="s">
        <v>2466</v>
      </c>
      <c r="AB4" s="3329" t="s">
        <v>2467</v>
      </c>
      <c r="AC4" s="3328" t="s">
        <v>2468</v>
      </c>
    </row>
    <row r="5" spans="1:29" ht="15">
      <c r="A5" s="364"/>
      <c r="B5" s="365"/>
      <c r="C5" s="3350" t="s">
        <v>2361</v>
      </c>
      <c r="D5" s="3351"/>
      <c r="E5" s="3357" t="s">
        <v>2362</v>
      </c>
      <c r="F5" s="3358"/>
      <c r="G5" s="3350" t="s">
        <v>2363</v>
      </c>
      <c r="H5" s="3351"/>
      <c r="I5" s="3350" t="s">
        <v>2364</v>
      </c>
      <c r="J5" s="3351"/>
      <c r="K5" s="567"/>
      <c r="L5" s="2942"/>
      <c r="M5" s="2943"/>
      <c r="N5" s="2943"/>
      <c r="O5" s="2943"/>
      <c r="P5" s="3337"/>
      <c r="Q5" s="3338"/>
      <c r="R5" s="3343"/>
      <c r="S5" s="3344"/>
      <c r="T5" s="3343"/>
      <c r="U5" s="3344"/>
      <c r="V5" s="3347"/>
      <c r="W5" s="3347"/>
      <c r="X5" s="1539"/>
      <c r="Y5" s="3343"/>
      <c r="Z5" s="3344"/>
      <c r="AA5" s="3329"/>
      <c r="AB5" s="3329"/>
      <c r="AC5" s="3329"/>
    </row>
    <row r="6" spans="1:29" ht="15.75" thickBot="1">
      <c r="A6" s="366"/>
      <c r="B6" s="367"/>
      <c r="C6" s="3348" t="s">
        <v>2365</v>
      </c>
      <c r="D6" s="3349"/>
      <c r="E6" s="3355" t="s">
        <v>2365</v>
      </c>
      <c r="F6" s="3356"/>
      <c r="G6" s="3348" t="s">
        <v>2365</v>
      </c>
      <c r="H6" s="3349"/>
      <c r="I6" s="3348" t="s">
        <v>2365</v>
      </c>
      <c r="J6" s="3349"/>
      <c r="K6" s="567" t="s">
        <v>2366</v>
      </c>
      <c r="L6" s="2942"/>
      <c r="M6" s="2943"/>
      <c r="N6" s="2943"/>
      <c r="O6" s="2943"/>
      <c r="P6" s="3339"/>
      <c r="Q6" s="3340"/>
      <c r="R6" s="3343"/>
      <c r="S6" s="3344"/>
      <c r="T6" s="3345"/>
      <c r="U6" s="3346"/>
      <c r="V6" s="3347"/>
      <c r="W6" s="3347"/>
      <c r="X6" s="1539"/>
      <c r="Y6" s="3345"/>
      <c r="Z6" s="3346"/>
      <c r="AA6" s="3330"/>
      <c r="AB6" s="3330"/>
      <c r="AC6" s="3330"/>
    </row>
    <row r="7" spans="1:29" s="113" customFormat="1" ht="15.75" thickBot="1">
      <c r="A7" s="368" t="s">
        <v>2367</v>
      </c>
      <c r="B7" s="369"/>
      <c r="C7" s="370">
        <f>'数据-取费表'!B2</f>
        <v>44434</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352" t="s">
        <v>2368</v>
      </c>
      <c r="Q7" s="3354"/>
      <c r="R7" s="710" t="s">
        <v>17</v>
      </c>
      <c r="S7" s="711">
        <f t="shared" ref="S7:S14" si="0">F7</f>
        <v>0</v>
      </c>
      <c r="T7" s="710" t="s">
        <v>17</v>
      </c>
      <c r="U7" s="711">
        <f t="shared" ref="U7:U14" si="1">H7</f>
        <v>0</v>
      </c>
      <c r="V7" s="710" t="s">
        <v>17</v>
      </c>
      <c r="W7" s="711">
        <f t="shared" ref="W7:W14" si="2">J7</f>
        <v>0</v>
      </c>
      <c r="X7" s="712"/>
      <c r="Y7" s="3352" t="s">
        <v>2368</v>
      </c>
      <c r="Z7" s="3353"/>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52" t="s">
        <v>2371</v>
      </c>
      <c r="Q8" s="3353"/>
      <c r="R8" s="710" t="s">
        <v>17</v>
      </c>
      <c r="S8" s="711">
        <f t="shared" si="0"/>
        <v>0</v>
      </c>
      <c r="T8" s="710" t="s">
        <v>17</v>
      </c>
      <c r="U8" s="711">
        <f t="shared" si="1"/>
        <v>0</v>
      </c>
      <c r="V8" s="710" t="s">
        <v>17</v>
      </c>
      <c r="W8" s="711">
        <f t="shared" si="2"/>
        <v>0</v>
      </c>
      <c r="X8" s="712"/>
      <c r="Y8" s="3352" t="s">
        <v>2371</v>
      </c>
      <c r="Z8" s="3353"/>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16" t="s">
        <v>2374</v>
      </c>
      <c r="Q9" s="1527" t="str">
        <f t="shared" ref="Q9:Q14" si="6">B9</f>
        <v>用途</v>
      </c>
      <c r="R9" s="710" t="s">
        <v>17</v>
      </c>
      <c r="S9" s="711">
        <f t="shared" si="0"/>
        <v>100</v>
      </c>
      <c r="T9" s="710" t="s">
        <v>17</v>
      </c>
      <c r="U9" s="711">
        <f t="shared" si="1"/>
        <v>100</v>
      </c>
      <c r="V9" s="710" t="s">
        <v>17</v>
      </c>
      <c r="W9" s="711">
        <f t="shared" si="2"/>
        <v>100</v>
      </c>
      <c r="X9" s="712"/>
      <c r="Y9" s="3160"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16"/>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16"/>
      <c r="Q11" s="1527">
        <f t="shared" si="6"/>
        <v>111</v>
      </c>
      <c r="R11" s="710" t="s">
        <v>17</v>
      </c>
      <c r="S11" s="711">
        <f t="shared" si="0"/>
        <v>100</v>
      </c>
      <c r="T11" s="710" t="s">
        <v>17</v>
      </c>
      <c r="U11" s="711">
        <f t="shared" si="1"/>
        <v>100</v>
      </c>
      <c r="V11" s="710" t="s">
        <v>17</v>
      </c>
      <c r="W11" s="711">
        <f t="shared" si="2"/>
        <v>100</v>
      </c>
      <c r="X11" s="712"/>
      <c r="Y11" s="316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16"/>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316"/>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18" t="s">
        <v>2379</v>
      </c>
      <c r="Q14" s="1536" t="str">
        <f t="shared" si="6"/>
        <v>交通便捷度</v>
      </c>
      <c r="R14" s="714" t="s">
        <v>17</v>
      </c>
      <c r="S14" s="715">
        <f t="shared" si="0"/>
        <v>100</v>
      </c>
      <c r="T14" s="714" t="s">
        <v>17</v>
      </c>
      <c r="U14" s="715">
        <f t="shared" si="1"/>
        <v>100</v>
      </c>
      <c r="V14" s="714" t="s">
        <v>17</v>
      </c>
      <c r="W14" s="715">
        <f t="shared" si="2"/>
        <v>100</v>
      </c>
      <c r="X14" s="1539"/>
      <c r="Y14" s="3318" t="s">
        <v>2379</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319"/>
      <c r="Q15" s="1536"/>
      <c r="R15" s="714"/>
      <c r="S15" s="715"/>
      <c r="T15" s="714"/>
      <c r="U15" s="715"/>
      <c r="V15" s="714"/>
      <c r="W15" s="715"/>
      <c r="X15" s="1539"/>
      <c r="Y15" s="3319"/>
      <c r="Z15" s="1540"/>
      <c r="AA15" s="1537">
        <v>1</v>
      </c>
      <c r="AB15" s="1537">
        <v>1</v>
      </c>
      <c r="AC15" s="1537">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19"/>
      <c r="Q16" s="1536" t="str">
        <f>B16</f>
        <v>公共配套设施</v>
      </c>
      <c r="R16" s="714" t="s">
        <v>17</v>
      </c>
      <c r="S16" s="715">
        <f>F16</f>
        <v>100</v>
      </c>
      <c r="T16" s="714" t="s">
        <v>17</v>
      </c>
      <c r="U16" s="715">
        <f>H16</f>
        <v>100</v>
      </c>
      <c r="V16" s="714" t="s">
        <v>17</v>
      </c>
      <c r="W16" s="715">
        <f>J16</f>
        <v>100</v>
      </c>
      <c r="X16" s="1539"/>
      <c r="Y16" s="331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319"/>
      <c r="Q17" s="1536"/>
      <c r="R17" s="714"/>
      <c r="S17" s="715"/>
      <c r="T17" s="714"/>
      <c r="U17" s="715"/>
      <c r="V17" s="714"/>
      <c r="W17" s="715"/>
      <c r="X17" s="1539"/>
      <c r="Y17" s="3319"/>
      <c r="Z17" s="1540"/>
      <c r="AA17" s="1537">
        <v>1</v>
      </c>
      <c r="AB17" s="1537">
        <v>1</v>
      </c>
      <c r="AC17" s="1537">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19"/>
      <c r="Q18" s="1536" t="str">
        <f>B18</f>
        <v>基础设施水平</v>
      </c>
      <c r="R18" s="714" t="s">
        <v>17</v>
      </c>
      <c r="S18" s="715">
        <f>F18</f>
        <v>100</v>
      </c>
      <c r="T18" s="714" t="s">
        <v>17</v>
      </c>
      <c r="U18" s="715">
        <f>H18</f>
        <v>100</v>
      </c>
      <c r="V18" s="714" t="s">
        <v>17</v>
      </c>
      <c r="W18" s="715">
        <f>J18</f>
        <v>100</v>
      </c>
      <c r="X18" s="1539"/>
      <c r="Y18" s="331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319"/>
      <c r="Q19" s="1536"/>
      <c r="R19" s="714"/>
      <c r="S19" s="715"/>
      <c r="T19" s="714"/>
      <c r="U19" s="715"/>
      <c r="V19" s="714"/>
      <c r="W19" s="715"/>
      <c r="X19" s="1539"/>
      <c r="Y19" s="3319"/>
      <c r="Z19" s="1540"/>
      <c r="AA19" s="1537">
        <v>1</v>
      </c>
      <c r="AB19" s="1537">
        <v>1</v>
      </c>
      <c r="AC19" s="1537">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19"/>
      <c r="Q20" s="1536" t="str">
        <f>B20</f>
        <v>自然及人文环境</v>
      </c>
      <c r="R20" s="714" t="s">
        <v>17</v>
      </c>
      <c r="S20" s="715">
        <f>F20</f>
        <v>100</v>
      </c>
      <c r="T20" s="714" t="s">
        <v>17</v>
      </c>
      <c r="U20" s="715">
        <f>H20</f>
        <v>100</v>
      </c>
      <c r="V20" s="714" t="s">
        <v>17</v>
      </c>
      <c r="W20" s="715">
        <f>J20</f>
        <v>100</v>
      </c>
      <c r="X20" s="1539"/>
      <c r="Y20" s="331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319"/>
      <c r="Q21" s="1536"/>
      <c r="R21" s="714"/>
      <c r="S21" s="715"/>
      <c r="T21" s="714"/>
      <c r="U21" s="715"/>
      <c r="V21" s="714"/>
      <c r="W21" s="715"/>
      <c r="X21" s="1539"/>
      <c r="Y21" s="3319"/>
      <c r="Z21" s="1540"/>
      <c r="AA21" s="1537">
        <v>1</v>
      </c>
      <c r="AB21" s="1537">
        <v>1</v>
      </c>
      <c r="AC21" s="153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19"/>
      <c r="Q22" s="1536" t="str">
        <f>B22</f>
        <v>楼层</v>
      </c>
      <c r="R22" s="714" t="s">
        <v>17</v>
      </c>
      <c r="S22" s="715">
        <f>F22</f>
        <v>100</v>
      </c>
      <c r="T22" s="714" t="s">
        <v>17</v>
      </c>
      <c r="U22" s="715">
        <f>H22</f>
        <v>100</v>
      </c>
      <c r="V22" s="714" t="s">
        <v>17</v>
      </c>
      <c r="W22" s="715">
        <f>J22</f>
        <v>100</v>
      </c>
      <c r="X22" s="1539"/>
      <c r="Y22" s="331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19"/>
      <c r="Q23" s="1536">
        <f>B23</f>
        <v>111</v>
      </c>
      <c r="R23" s="714" t="s">
        <v>17</v>
      </c>
      <c r="S23" s="715">
        <f>F23</f>
        <v>100</v>
      </c>
      <c r="T23" s="714" t="s">
        <v>17</v>
      </c>
      <c r="U23" s="715">
        <f>H23</f>
        <v>100</v>
      </c>
      <c r="V23" s="714" t="s">
        <v>17</v>
      </c>
      <c r="W23" s="715">
        <f>J23</f>
        <v>100</v>
      </c>
      <c r="X23" s="1539"/>
      <c r="Y23" s="331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19"/>
      <c r="Q24" s="1536">
        <f t="shared" ref="Q24:Q34" si="11">B24</f>
        <v>111</v>
      </c>
      <c r="R24" s="714" t="s">
        <v>17</v>
      </c>
      <c r="S24" s="715">
        <f>F24</f>
        <v>100</v>
      </c>
      <c r="T24" s="714" t="s">
        <v>17</v>
      </c>
      <c r="U24" s="715">
        <f>H24</f>
        <v>100</v>
      </c>
      <c r="V24" s="714" t="s">
        <v>17</v>
      </c>
      <c r="W24" s="715">
        <f>J24</f>
        <v>100</v>
      </c>
      <c r="X24" s="1539"/>
      <c r="Y24" s="331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319"/>
      <c r="Q25" s="1527">
        <f t="shared" si="11"/>
        <v>111</v>
      </c>
      <c r="R25" s="710" t="s">
        <v>17</v>
      </c>
      <c r="S25" s="711">
        <f>F25</f>
        <v>100</v>
      </c>
      <c r="T25" s="710" t="s">
        <v>17</v>
      </c>
      <c r="U25" s="711">
        <f>H25</f>
        <v>100</v>
      </c>
      <c r="V25" s="710" t="s">
        <v>17</v>
      </c>
      <c r="W25" s="711">
        <f>J25</f>
        <v>100</v>
      </c>
      <c r="X25" s="712"/>
      <c r="Y25" s="3319"/>
      <c r="Z25" s="55">
        <f>Q25</f>
        <v>111</v>
      </c>
      <c r="AA25" s="1537">
        <f>D25/F25</f>
        <v>1</v>
      </c>
      <c r="AB25" s="1537">
        <f>D25/H25</f>
        <v>1</v>
      </c>
      <c r="AC25" s="1537">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374" t="s">
        <v>2384</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3" t="s">
        <v>2384</v>
      </c>
      <c r="Z26" s="1540" t="str">
        <f t="shared" ref="Z26:Z34" si="15">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23"/>
      <c r="Q27" s="716" t="str">
        <f t="shared" si="11"/>
        <v>成新率</v>
      </c>
      <c r="R27" s="717" t="s">
        <v>17</v>
      </c>
      <c r="S27" s="718" t="e">
        <f t="shared" si="12"/>
        <v>#N/A</v>
      </c>
      <c r="T27" s="717" t="s">
        <v>17</v>
      </c>
      <c r="U27" s="718" t="e">
        <f t="shared" si="13"/>
        <v>#N/A</v>
      </c>
      <c r="V27" s="717" t="s">
        <v>17</v>
      </c>
      <c r="W27" s="718" t="e">
        <f t="shared" si="14"/>
        <v>#N/A</v>
      </c>
      <c r="X27" s="719"/>
      <c r="Y27" s="3323"/>
      <c r="Z27" s="720" t="str">
        <f t="shared" si="15"/>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23"/>
      <c r="Q28" s="1536" t="str">
        <f t="shared" si="11"/>
        <v>物业等级</v>
      </c>
      <c r="R28" s="714" t="s">
        <v>17</v>
      </c>
      <c r="S28" s="715">
        <f t="shared" si="12"/>
        <v>100</v>
      </c>
      <c r="T28" s="714" t="s">
        <v>17</v>
      </c>
      <c r="U28" s="715">
        <f t="shared" si="13"/>
        <v>100</v>
      </c>
      <c r="V28" s="714" t="s">
        <v>17</v>
      </c>
      <c r="W28" s="715">
        <f t="shared" si="14"/>
        <v>100</v>
      </c>
      <c r="X28" s="1539"/>
      <c r="Y28" s="3323"/>
      <c r="Z28" s="1540" t="str">
        <f t="shared" si="15"/>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23"/>
      <c r="Q29" s="1536" t="str">
        <f t="shared" si="11"/>
        <v>有无电梯</v>
      </c>
      <c r="R29" s="714" t="s">
        <v>17</v>
      </c>
      <c r="S29" s="715">
        <f t="shared" si="12"/>
        <v>100</v>
      </c>
      <c r="T29" s="714" t="s">
        <v>17</v>
      </c>
      <c r="U29" s="715">
        <f t="shared" si="13"/>
        <v>100</v>
      </c>
      <c r="V29" s="714" t="s">
        <v>17</v>
      </c>
      <c r="W29" s="715">
        <f t="shared" si="14"/>
        <v>100</v>
      </c>
      <c r="X29" s="1539"/>
      <c r="Y29" s="3323"/>
      <c r="Z29" s="1540" t="str">
        <f t="shared" si="15"/>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23"/>
      <c r="Q30" s="1536" t="str">
        <f t="shared" si="11"/>
        <v>建筑面积</v>
      </c>
      <c r="R30" s="714" t="s">
        <v>17</v>
      </c>
      <c r="S30" s="715" t="e">
        <f t="shared" si="12"/>
        <v>#N/A</v>
      </c>
      <c r="T30" s="714" t="s">
        <v>17</v>
      </c>
      <c r="U30" s="715" t="e">
        <f t="shared" si="13"/>
        <v>#N/A</v>
      </c>
      <c r="V30" s="714" t="s">
        <v>17</v>
      </c>
      <c r="W30" s="715" t="e">
        <f t="shared" si="14"/>
        <v>#N/A</v>
      </c>
      <c r="X30" s="1539"/>
      <c r="Y30" s="3323"/>
      <c r="Z30" s="1540" t="str">
        <f t="shared" si="15"/>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23"/>
      <c r="Q31" s="1527" t="str">
        <f t="shared" si="11"/>
        <v>是否封闭</v>
      </c>
      <c r="R31" s="710" t="s">
        <v>17</v>
      </c>
      <c r="S31" s="711">
        <f t="shared" si="12"/>
        <v>100</v>
      </c>
      <c r="T31" s="710" t="s">
        <v>17</v>
      </c>
      <c r="U31" s="711">
        <f t="shared" si="13"/>
        <v>100</v>
      </c>
      <c r="V31" s="710" t="s">
        <v>17</v>
      </c>
      <c r="W31" s="711">
        <f t="shared" si="14"/>
        <v>100</v>
      </c>
      <c r="X31" s="712"/>
      <c r="Y31" s="332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23" t="s">
        <v>2384</v>
      </c>
      <c r="Q32" s="1536">
        <f t="shared" si="11"/>
        <v>111</v>
      </c>
      <c r="R32" s="714" t="s">
        <v>17</v>
      </c>
      <c r="S32" s="715">
        <f t="shared" si="12"/>
        <v>100</v>
      </c>
      <c r="T32" s="714" t="s">
        <v>17</v>
      </c>
      <c r="U32" s="715">
        <f t="shared" si="13"/>
        <v>100</v>
      </c>
      <c r="V32" s="714" t="s">
        <v>17</v>
      </c>
      <c r="W32" s="715">
        <f t="shared" si="14"/>
        <v>100</v>
      </c>
      <c r="X32" s="1539"/>
      <c r="Y32" s="3323" t="s">
        <v>2384</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23"/>
      <c r="Q33" s="1536">
        <f t="shared" si="11"/>
        <v>111</v>
      </c>
      <c r="R33" s="714" t="s">
        <v>17</v>
      </c>
      <c r="S33" s="715">
        <f t="shared" si="12"/>
        <v>100</v>
      </c>
      <c r="T33" s="714" t="s">
        <v>17</v>
      </c>
      <c r="U33" s="715">
        <f t="shared" si="13"/>
        <v>100</v>
      </c>
      <c r="V33" s="714" t="s">
        <v>17</v>
      </c>
      <c r="W33" s="715">
        <f t="shared" si="14"/>
        <v>100</v>
      </c>
      <c r="X33" s="1539"/>
      <c r="Y33" s="332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323"/>
      <c r="Q34" s="1536">
        <f t="shared" si="11"/>
        <v>111</v>
      </c>
      <c r="R34" s="714" t="s">
        <v>17</v>
      </c>
      <c r="S34" s="715">
        <f t="shared" si="12"/>
        <v>100</v>
      </c>
      <c r="T34" s="714" t="s">
        <v>17</v>
      </c>
      <c r="U34" s="715">
        <f t="shared" si="13"/>
        <v>100</v>
      </c>
      <c r="V34" s="714" t="s">
        <v>17</v>
      </c>
      <c r="W34" s="715">
        <f t="shared" si="14"/>
        <v>100</v>
      </c>
      <c r="X34" s="1539"/>
      <c r="Y34" s="3323"/>
      <c r="Z34" s="1540">
        <f t="shared" si="15"/>
        <v>111</v>
      </c>
      <c r="AA34" s="1537">
        <f t="shared" si="3"/>
        <v>1</v>
      </c>
      <c r="AB34" s="1537">
        <f t="shared" si="4"/>
        <v>1</v>
      </c>
      <c r="AC34" s="1537">
        <f t="shared" si="5"/>
        <v>1</v>
      </c>
    </row>
    <row r="35" spans="1:30" ht="15">
      <c r="A35" s="438" t="s">
        <v>2396</v>
      </c>
      <c r="B35" s="439"/>
      <c r="C35" s="1316" t="s">
        <v>1</v>
      </c>
      <c r="D35" s="1317"/>
      <c r="E35" s="1318"/>
      <c r="F35" s="1319"/>
      <c r="G35" s="1320"/>
      <c r="H35" s="1321"/>
      <c r="I35" s="1318"/>
      <c r="J35" s="1321"/>
      <c r="K35" s="723"/>
      <c r="L35" s="2951"/>
      <c r="M35" s="2952"/>
      <c r="N35" s="2943"/>
      <c r="O35" s="2952"/>
      <c r="P35" s="3316" t="str">
        <f>A35</f>
        <v>成交单价（元/平方米）</v>
      </c>
      <c r="Q35" s="3316"/>
      <c r="R35" s="3317">
        <f>E35</f>
        <v>0</v>
      </c>
      <c r="S35" s="3317"/>
      <c r="T35" s="3317">
        <f>G35</f>
        <v>0</v>
      </c>
      <c r="U35" s="3317"/>
      <c r="V35" s="3317">
        <f>I35</f>
        <v>0</v>
      </c>
      <c r="W35" s="3317"/>
      <c r="X35" s="699"/>
      <c r="Y35" s="721"/>
      <c r="Z35" s="699"/>
      <c r="AA35" s="699"/>
      <c r="AB35" s="699"/>
      <c r="AC35" s="699"/>
    </row>
    <row r="36" spans="1:30" ht="15.75" thickBot="1">
      <c r="A36" s="445" t="s">
        <v>2488</v>
      </c>
      <c r="B36" s="446"/>
      <c r="C36" s="1322" t="e">
        <f>R37</f>
        <v>#DIV/0!</v>
      </c>
      <c r="D36" s="2538" t="s">
        <v>2878</v>
      </c>
      <c r="E36" s="1323" t="e">
        <f>R36</f>
        <v>#DIV/0!</v>
      </c>
      <c r="F36" s="2539"/>
      <c r="G36" s="1322" t="e">
        <f>T36</f>
        <v>#DIV/0!</v>
      </c>
      <c r="H36" s="2539"/>
      <c r="I36" s="1323" t="e">
        <f>V36</f>
        <v>#DIV/0!</v>
      </c>
      <c r="J36" s="2539"/>
      <c r="K36" s="2541">
        <f>F36+H36+J36</f>
        <v>0</v>
      </c>
      <c r="L36" s="2951"/>
      <c r="M36" s="2952"/>
      <c r="N36" s="2943"/>
      <c r="O36" s="2952"/>
      <c r="P36" s="3316" t="str">
        <f>A36</f>
        <v>比较价值（元/平方米）</v>
      </c>
      <c r="Q36" s="3316"/>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1"/>
      <c r="M37" s="2952"/>
      <c r="N37" s="2952"/>
      <c r="O37" s="2952"/>
      <c r="P37" s="3313" t="str">
        <f>A37</f>
        <v>估价对象XX用房的比较价值（楼面单价，元/平方米）</v>
      </c>
      <c r="Q37" s="3314"/>
      <c r="R37" s="3375" t="e">
        <f>IF(F1="售价",ROUND(IF(D36="简单平均",AVERAGE(R36:W36),R36*F36+T36*H36+V36*J36),0),ROUND(IF(D36="简单平均",AVERAGE(R36:V36),R36*F36+T36*H36+V36*J36),1))</f>
        <v>#DIV/0!</v>
      </c>
      <c r="S37" s="3375"/>
      <c r="T37" s="3375"/>
      <c r="U37" s="3375"/>
      <c r="V37" s="3375"/>
      <c r="W37" s="3375"/>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2493</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2367</v>
      </c>
      <c r="B46" s="463"/>
      <c r="C46" s="1346" t="str">
        <f>YEAR(C7)&amp;"-"&amp;MONTH(C7)</f>
        <v>2021-8</v>
      </c>
      <c r="D46" s="1347">
        <f>EDATE(C46,-1)</f>
        <v>44378</v>
      </c>
      <c r="E46" s="1347">
        <f t="shared" ref="E46:O46" si="16">EDATE(D46,-1)</f>
        <v>44348</v>
      </c>
      <c r="F46" s="1347">
        <f t="shared" si="16"/>
        <v>44317</v>
      </c>
      <c r="G46" s="1347">
        <f t="shared" si="16"/>
        <v>44287</v>
      </c>
      <c r="H46" s="1347">
        <f t="shared" si="16"/>
        <v>44256</v>
      </c>
      <c r="I46" s="1347">
        <f t="shared" si="16"/>
        <v>44228</v>
      </c>
      <c r="J46" s="1347">
        <f t="shared" si="16"/>
        <v>44197</v>
      </c>
      <c r="K46" s="1347">
        <f t="shared" si="16"/>
        <v>44166</v>
      </c>
      <c r="L46" s="1347">
        <f t="shared" si="16"/>
        <v>44136</v>
      </c>
      <c r="M46" s="1347">
        <f t="shared" si="16"/>
        <v>44105</v>
      </c>
      <c r="N46" s="1347">
        <f t="shared" si="16"/>
        <v>44075</v>
      </c>
      <c r="O46" s="1347">
        <f t="shared" si="16"/>
        <v>44044</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2404</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2369</v>
      </c>
      <c r="B49" s="467"/>
      <c r="C49" s="479" t="s">
        <v>2471</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2407</v>
      </c>
      <c r="B51" s="485" t="s">
        <v>2373</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2559</v>
      </c>
      <c r="C63" s="535" t="s">
        <v>2416</v>
      </c>
      <c r="D63" s="535" t="s">
        <v>2417</v>
      </c>
      <c r="E63" s="535" t="s">
        <v>2418</v>
      </c>
      <c r="F63" s="535" t="s">
        <v>2419</v>
      </c>
      <c r="G63" s="535" t="s">
        <v>2420</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2508</v>
      </c>
      <c r="C65" s="616" t="s">
        <v>2494</v>
      </c>
      <c r="D65" s="616" t="s">
        <v>2495</v>
      </c>
      <c r="E65" s="616" t="s">
        <v>2496</v>
      </c>
      <c r="F65" s="616" t="s">
        <v>2497</v>
      </c>
      <c r="G65" s="616" t="s">
        <v>2498</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2428</v>
      </c>
      <c r="C67" s="535" t="s">
        <v>2416</v>
      </c>
      <c r="D67" s="535" t="s">
        <v>2417</v>
      </c>
      <c r="E67" s="535" t="s">
        <v>2418</v>
      </c>
      <c r="F67" s="535" t="s">
        <v>2419</v>
      </c>
      <c r="G67" s="535" t="s">
        <v>2420</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2548</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2382</v>
      </c>
      <c r="B77" s="485" t="s">
        <v>2435</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2552</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2560</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2562</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2464</v>
      </c>
      <c r="B4" s="362"/>
      <c r="C4" s="3331" t="s">
        <v>2465</v>
      </c>
      <c r="D4" s="3332"/>
      <c r="E4" s="3333" t="s">
        <v>2466</v>
      </c>
      <c r="F4" s="3334"/>
      <c r="G4" s="3331" t="s">
        <v>2467</v>
      </c>
      <c r="H4" s="3332"/>
      <c r="I4" s="3331" t="s">
        <v>2468</v>
      </c>
      <c r="J4" s="3332"/>
      <c r="K4" s="567" t="s">
        <v>2469</v>
      </c>
      <c r="L4" s="2942"/>
      <c r="M4" s="2943"/>
      <c r="N4" s="2943"/>
      <c r="O4" s="2943"/>
      <c r="P4" s="3335" t="s">
        <v>2470</v>
      </c>
      <c r="Q4" s="3336"/>
      <c r="R4" s="3341" t="s">
        <v>2466</v>
      </c>
      <c r="S4" s="3342"/>
      <c r="T4" s="3341" t="s">
        <v>2467</v>
      </c>
      <c r="U4" s="3342"/>
      <c r="V4" s="3347" t="s">
        <v>2468</v>
      </c>
      <c r="W4" s="3347"/>
      <c r="X4" s="1539"/>
      <c r="Y4" s="3341" t="s">
        <v>2470</v>
      </c>
      <c r="Z4" s="3342"/>
      <c r="AA4" s="3328" t="s">
        <v>2466</v>
      </c>
      <c r="AB4" s="3329" t="s">
        <v>2467</v>
      </c>
      <c r="AC4" s="3328" t="s">
        <v>2468</v>
      </c>
    </row>
    <row r="5" spans="1:30" ht="15">
      <c r="A5" s="364"/>
      <c r="B5" s="365"/>
      <c r="C5" s="3350" t="s">
        <v>2361</v>
      </c>
      <c r="D5" s="3351"/>
      <c r="E5" s="3357" t="s">
        <v>2362</v>
      </c>
      <c r="F5" s="3358"/>
      <c r="G5" s="3350" t="s">
        <v>2363</v>
      </c>
      <c r="H5" s="3351"/>
      <c r="I5" s="3350" t="s">
        <v>2364</v>
      </c>
      <c r="J5" s="3351"/>
      <c r="K5" s="567"/>
      <c r="L5" s="2942"/>
      <c r="M5" s="2943"/>
      <c r="N5" s="2943"/>
      <c r="O5" s="2943"/>
      <c r="P5" s="3337"/>
      <c r="Q5" s="3338"/>
      <c r="R5" s="3343"/>
      <c r="S5" s="3344"/>
      <c r="T5" s="3343"/>
      <c r="U5" s="3344"/>
      <c r="V5" s="3347"/>
      <c r="W5" s="3347"/>
      <c r="X5" s="1539"/>
      <c r="Y5" s="3343"/>
      <c r="Z5" s="3344"/>
      <c r="AA5" s="3329"/>
      <c r="AB5" s="3329"/>
      <c r="AC5" s="3329"/>
    </row>
    <row r="6" spans="1:30" ht="15.75" thickBot="1">
      <c r="A6" s="366"/>
      <c r="B6" s="367"/>
      <c r="C6" s="3348" t="s">
        <v>2365</v>
      </c>
      <c r="D6" s="3349"/>
      <c r="E6" s="3355" t="s">
        <v>2365</v>
      </c>
      <c r="F6" s="3356"/>
      <c r="G6" s="3348" t="s">
        <v>2365</v>
      </c>
      <c r="H6" s="3349"/>
      <c r="I6" s="3348" t="s">
        <v>2365</v>
      </c>
      <c r="J6" s="3349"/>
      <c r="K6" s="567" t="s">
        <v>2366</v>
      </c>
      <c r="L6" s="2942"/>
      <c r="M6" s="2943"/>
      <c r="N6" s="2943"/>
      <c r="O6" s="2943"/>
      <c r="P6" s="3339"/>
      <c r="Q6" s="3340"/>
      <c r="R6" s="3343"/>
      <c r="S6" s="3344"/>
      <c r="T6" s="3345"/>
      <c r="U6" s="3346"/>
      <c r="V6" s="3347"/>
      <c r="W6" s="3347"/>
      <c r="X6" s="1539"/>
      <c r="Y6" s="3345"/>
      <c r="Z6" s="3346"/>
      <c r="AA6" s="3330"/>
      <c r="AB6" s="3330"/>
      <c r="AC6" s="3330"/>
    </row>
    <row r="7" spans="1:30" s="113" customFormat="1" ht="15.75" thickBot="1">
      <c r="A7" s="368" t="s">
        <v>2367</v>
      </c>
      <c r="B7" s="369"/>
      <c r="C7" s="370">
        <f>'数据-取费表'!B2</f>
        <v>44434</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352" t="s">
        <v>2368</v>
      </c>
      <c r="Q7" s="3354"/>
      <c r="R7" s="710" t="s">
        <v>17</v>
      </c>
      <c r="S7" s="711">
        <f t="shared" ref="S7:S15" si="0">F7</f>
        <v>0</v>
      </c>
      <c r="T7" s="710" t="s">
        <v>17</v>
      </c>
      <c r="U7" s="711">
        <f t="shared" ref="U7:U15" si="1">H7</f>
        <v>0</v>
      </c>
      <c r="V7" s="710" t="s">
        <v>17</v>
      </c>
      <c r="W7" s="711">
        <f t="shared" ref="W7:W15" si="2">J7</f>
        <v>0</v>
      </c>
      <c r="X7" s="712"/>
      <c r="Y7" s="3352" t="s">
        <v>2368</v>
      </c>
      <c r="Z7" s="3353"/>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52" t="s">
        <v>2371</v>
      </c>
      <c r="Q8" s="3353"/>
      <c r="R8" s="710" t="s">
        <v>17</v>
      </c>
      <c r="S8" s="711">
        <f t="shared" si="0"/>
        <v>0</v>
      </c>
      <c r="T8" s="710" t="s">
        <v>17</v>
      </c>
      <c r="U8" s="711">
        <f t="shared" si="1"/>
        <v>0</v>
      </c>
      <c r="V8" s="710" t="s">
        <v>17</v>
      </c>
      <c r="W8" s="711">
        <f t="shared" si="2"/>
        <v>0</v>
      </c>
      <c r="X8" s="712"/>
      <c r="Y8" s="3352" t="s">
        <v>2371</v>
      </c>
      <c r="Z8" s="3353"/>
      <c r="AA8" s="713" t="e">
        <f t="shared" ref="AA8:AA45" si="3">D8/F8</f>
        <v>#DIV/0!</v>
      </c>
      <c r="AB8" s="713" t="e">
        <f t="shared" ref="AB8:AB45" si="4">D8/H8</f>
        <v>#DIV/0!</v>
      </c>
      <c r="AC8" s="713" t="e">
        <f t="shared" ref="AC8:AC45" si="5">D8/J8</f>
        <v>#DIV/0!</v>
      </c>
    </row>
    <row r="9" spans="1:30" s="113" customFormat="1">
      <c r="A9" s="375" t="s">
        <v>2372</v>
      </c>
      <c r="B9" s="67" t="s">
        <v>2373</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316" t="s">
        <v>2374</v>
      </c>
      <c r="Q9" s="1527" t="str">
        <f t="shared" ref="Q9:Q15" si="6">B9</f>
        <v>用途</v>
      </c>
      <c r="R9" s="710" t="s">
        <v>17</v>
      </c>
      <c r="S9" s="711">
        <f t="shared" si="0"/>
        <v>100</v>
      </c>
      <c r="T9" s="710" t="s">
        <v>17</v>
      </c>
      <c r="U9" s="711">
        <f t="shared" si="1"/>
        <v>100</v>
      </c>
      <c r="V9" s="710" t="s">
        <v>17</v>
      </c>
      <c r="W9" s="711">
        <f t="shared" si="2"/>
        <v>100</v>
      </c>
      <c r="X9" s="712"/>
      <c r="Y9" s="3160"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131</v>
      </c>
      <c r="G10" s="422"/>
      <c r="H10" s="132">
        <f>ROUND(100/'数据-取费表'!G16,0)</f>
        <v>131</v>
      </c>
      <c r="I10" s="422"/>
      <c r="J10" s="132">
        <f>ROUND(100/'数据-取费表'!G16,0)</f>
        <v>131</v>
      </c>
      <c r="K10" s="628"/>
      <c r="L10" s="2946"/>
      <c r="M10" s="2947"/>
      <c r="N10" s="2947"/>
      <c r="O10" s="3000"/>
      <c r="P10" s="3316"/>
      <c r="Q10" s="1527" t="str">
        <f t="shared" si="6"/>
        <v>土地使用年限（年）</v>
      </c>
      <c r="R10" s="710" t="s">
        <v>17</v>
      </c>
      <c r="S10" s="711">
        <f t="shared" si="0"/>
        <v>131</v>
      </c>
      <c r="T10" s="710" t="s">
        <v>17</v>
      </c>
      <c r="U10" s="711">
        <f t="shared" si="1"/>
        <v>131</v>
      </c>
      <c r="V10" s="710" t="s">
        <v>17</v>
      </c>
      <c r="W10" s="711">
        <f t="shared" si="2"/>
        <v>131</v>
      </c>
      <c r="X10" s="712"/>
      <c r="Y10" s="3160"/>
      <c r="Z10" s="55" t="str">
        <f t="shared" si="7"/>
        <v>土地使用年限（年）</v>
      </c>
      <c r="AA10" s="713">
        <f t="shared" si="3"/>
        <v>0.76335877862595425</v>
      </c>
      <c r="AB10" s="713">
        <f t="shared" si="4"/>
        <v>0.76335877862595425</v>
      </c>
      <c r="AC10" s="713">
        <f t="shared" si="5"/>
        <v>0.76335877862595425</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16"/>
      <c r="Q11" s="1527"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16"/>
      <c r="Q12" s="1527" t="str">
        <f t="shared" si="6"/>
        <v>配建</v>
      </c>
      <c r="R12" s="710" t="s">
        <v>17</v>
      </c>
      <c r="S12" s="711">
        <f t="shared" si="0"/>
        <v>100</v>
      </c>
      <c r="T12" s="710" t="s">
        <v>17</v>
      </c>
      <c r="U12" s="711">
        <f t="shared" si="1"/>
        <v>100</v>
      </c>
      <c r="V12" s="710" t="s">
        <v>17</v>
      </c>
      <c r="W12" s="711">
        <f t="shared" si="2"/>
        <v>100</v>
      </c>
      <c r="X12" s="712"/>
      <c r="Y12" s="316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16"/>
      <c r="Q13" s="1527">
        <f t="shared" si="6"/>
        <v>111</v>
      </c>
      <c r="R13" s="710" t="s">
        <v>17</v>
      </c>
      <c r="S13" s="711">
        <f t="shared" si="0"/>
        <v>100</v>
      </c>
      <c r="T13" s="710" t="s">
        <v>17</v>
      </c>
      <c r="U13" s="711">
        <f t="shared" si="1"/>
        <v>100</v>
      </c>
      <c r="V13" s="710" t="s">
        <v>17</v>
      </c>
      <c r="W13" s="711">
        <f t="shared" si="2"/>
        <v>100</v>
      </c>
      <c r="X13" s="712"/>
      <c r="Y13" s="316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16"/>
      <c r="Q14" s="1527">
        <f t="shared" si="6"/>
        <v>111</v>
      </c>
      <c r="R14" s="710" t="s">
        <v>17</v>
      </c>
      <c r="S14" s="711">
        <f t="shared" si="0"/>
        <v>100</v>
      </c>
      <c r="T14" s="710" t="s">
        <v>17</v>
      </c>
      <c r="U14" s="711">
        <f t="shared" si="1"/>
        <v>100</v>
      </c>
      <c r="V14" s="710" t="s">
        <v>17</v>
      </c>
      <c r="W14" s="711">
        <f t="shared" si="2"/>
        <v>100</v>
      </c>
      <c r="X14" s="712"/>
      <c r="Y14" s="3160"/>
      <c r="Z14" s="55">
        <f t="shared" si="7"/>
        <v>111</v>
      </c>
      <c r="AA14" s="713">
        <f>D14/F14</f>
        <v>1</v>
      </c>
      <c r="AB14" s="713">
        <f>D14/H14</f>
        <v>1</v>
      </c>
      <c r="AC14" s="713">
        <f>D14/J14</f>
        <v>1</v>
      </c>
    </row>
    <row r="15" spans="1:30" ht="99.75">
      <c r="A15" s="399" t="s">
        <v>2378</v>
      </c>
      <c r="B15" s="65" t="s">
        <v>1941</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18" t="s">
        <v>2379</v>
      </c>
      <c r="Q15" s="1536" t="str">
        <f t="shared" si="6"/>
        <v>居住社区成熟度</v>
      </c>
      <c r="R15" s="714" t="s">
        <v>17</v>
      </c>
      <c r="S15" s="715">
        <f t="shared" si="0"/>
        <v>100</v>
      </c>
      <c r="T15" s="714" t="s">
        <v>17</v>
      </c>
      <c r="U15" s="715">
        <f t="shared" si="1"/>
        <v>100</v>
      </c>
      <c r="V15" s="714" t="s">
        <v>17</v>
      </c>
      <c r="W15" s="715">
        <f t="shared" si="2"/>
        <v>100</v>
      </c>
      <c r="X15" s="1539"/>
      <c r="Y15" s="3318" t="s">
        <v>2379</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319"/>
      <c r="Q16" s="1536"/>
      <c r="R16" s="714"/>
      <c r="S16" s="715"/>
      <c r="T16" s="714"/>
      <c r="U16" s="715"/>
      <c r="V16" s="714"/>
      <c r="W16" s="715"/>
      <c r="X16" s="1539"/>
      <c r="Y16" s="3319"/>
      <c r="Z16" s="1540"/>
      <c r="AA16" s="1537">
        <v>1</v>
      </c>
      <c r="AB16" s="1537">
        <v>1</v>
      </c>
      <c r="AC16" s="1537">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19"/>
      <c r="Q17" s="1536" t="str">
        <f>B17</f>
        <v>商业繁华度</v>
      </c>
      <c r="R17" s="714" t="s">
        <v>17</v>
      </c>
      <c r="S17" s="715">
        <f>F17</f>
        <v>100</v>
      </c>
      <c r="T17" s="714" t="s">
        <v>17</v>
      </c>
      <c r="U17" s="715">
        <f>H17</f>
        <v>100</v>
      </c>
      <c r="V17" s="714" t="s">
        <v>17</v>
      </c>
      <c r="W17" s="715">
        <f>J17</f>
        <v>100</v>
      </c>
      <c r="X17" s="1539"/>
      <c r="Y17" s="331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319"/>
      <c r="Q18" s="1536"/>
      <c r="R18" s="714"/>
      <c r="S18" s="715"/>
      <c r="T18" s="714"/>
      <c r="U18" s="715"/>
      <c r="V18" s="714"/>
      <c r="W18" s="715"/>
      <c r="X18" s="1539"/>
      <c r="Y18" s="3319"/>
      <c r="Z18" s="1540"/>
      <c r="AA18" s="1537">
        <v>1</v>
      </c>
      <c r="AB18" s="1537">
        <v>1</v>
      </c>
      <c r="AC18" s="1537">
        <v>1</v>
      </c>
    </row>
    <row r="19" spans="1:29" ht="71.25">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19"/>
      <c r="Q19" s="1536" t="str">
        <f>B19</f>
        <v>办公集聚程度</v>
      </c>
      <c r="R19" s="714" t="s">
        <v>17</v>
      </c>
      <c r="S19" s="715">
        <f>F19</f>
        <v>100</v>
      </c>
      <c r="T19" s="714" t="s">
        <v>17</v>
      </c>
      <c r="U19" s="715">
        <f>H19</f>
        <v>100</v>
      </c>
      <c r="V19" s="714" t="s">
        <v>17</v>
      </c>
      <c r="W19" s="715">
        <f>J19</f>
        <v>100</v>
      </c>
      <c r="X19" s="1539"/>
      <c r="Y19" s="331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319"/>
      <c r="Q20" s="1536"/>
      <c r="R20" s="714"/>
      <c r="S20" s="715"/>
      <c r="T20" s="714"/>
      <c r="U20" s="715"/>
      <c r="V20" s="714"/>
      <c r="W20" s="715"/>
      <c r="X20" s="1539"/>
      <c r="Y20" s="3319"/>
      <c r="Z20" s="1540"/>
      <c r="AA20" s="1537">
        <v>1</v>
      </c>
      <c r="AB20" s="1537">
        <v>1</v>
      </c>
      <c r="AC20" s="1537">
        <v>1</v>
      </c>
    </row>
    <row r="21" spans="1:29" ht="85.5">
      <c r="A21" s="387"/>
      <c r="B21" s="410" t="s">
        <v>2528</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19"/>
      <c r="Q21" s="1536" t="str">
        <f>B21</f>
        <v>交通便捷度</v>
      </c>
      <c r="R21" s="714" t="s">
        <v>17</v>
      </c>
      <c r="S21" s="715">
        <f>F21</f>
        <v>100</v>
      </c>
      <c r="T21" s="714" t="s">
        <v>17</v>
      </c>
      <c r="U21" s="715">
        <f>H21</f>
        <v>100</v>
      </c>
      <c r="V21" s="714" t="s">
        <v>17</v>
      </c>
      <c r="W21" s="715">
        <f>J21</f>
        <v>100</v>
      </c>
      <c r="X21" s="1539"/>
      <c r="Y21" s="331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319"/>
      <c r="Q22" s="1536"/>
      <c r="R22" s="714"/>
      <c r="S22" s="715"/>
      <c r="T22" s="714"/>
      <c r="U22" s="715"/>
      <c r="V22" s="714"/>
      <c r="W22" s="715"/>
      <c r="X22" s="1539"/>
      <c r="Y22" s="3319"/>
      <c r="Z22" s="1540"/>
      <c r="AA22" s="1537">
        <v>1</v>
      </c>
      <c r="AB22" s="1537">
        <v>1</v>
      </c>
      <c r="AC22" s="1537">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19"/>
      <c r="Q23" s="1536" t="str">
        <f t="shared" ref="Q23:Q37" si="8">B23</f>
        <v>区域土地利用方向</v>
      </c>
      <c r="R23" s="714" t="s">
        <v>17</v>
      </c>
      <c r="S23" s="715">
        <f>F23</f>
        <v>100</v>
      </c>
      <c r="T23" s="714" t="s">
        <v>17</v>
      </c>
      <c r="U23" s="715">
        <f>H23</f>
        <v>100</v>
      </c>
      <c r="V23" s="714" t="s">
        <v>17</v>
      </c>
      <c r="W23" s="715">
        <f>J23</f>
        <v>100</v>
      </c>
      <c r="X23" s="1539"/>
      <c r="Y23" s="331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319"/>
      <c r="Q24" s="1536"/>
      <c r="R24" s="714"/>
      <c r="S24" s="715"/>
      <c r="T24" s="714"/>
      <c r="U24" s="715"/>
      <c r="V24" s="714"/>
      <c r="W24" s="715"/>
      <c r="X24" s="1539"/>
      <c r="Y24" s="3319"/>
      <c r="Z24" s="1540"/>
      <c r="AA24" s="1537"/>
      <c r="AB24" s="1537"/>
      <c r="AC24" s="1537"/>
    </row>
    <row r="25" spans="1:29" ht="57">
      <c r="A25" s="364"/>
      <c r="B25" s="1293" t="s">
        <v>2568</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19"/>
      <c r="Q25" s="1536" t="str">
        <f t="shared" si="8"/>
        <v>自然及人文环境状况</v>
      </c>
      <c r="R25" s="714" t="s">
        <v>17</v>
      </c>
      <c r="S25" s="715">
        <f>F25</f>
        <v>100</v>
      </c>
      <c r="T25" s="714" t="s">
        <v>17</v>
      </c>
      <c r="U25" s="715">
        <f>H25</f>
        <v>100</v>
      </c>
      <c r="V25" s="714" t="s">
        <v>17</v>
      </c>
      <c r="W25" s="715">
        <f>J25</f>
        <v>100</v>
      </c>
      <c r="X25" s="1539"/>
      <c r="Y25" s="331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319"/>
      <c r="Q26" s="1536"/>
      <c r="R26" s="714"/>
      <c r="S26" s="715"/>
      <c r="T26" s="714"/>
      <c r="U26" s="715"/>
      <c r="V26" s="714"/>
      <c r="W26" s="715"/>
      <c r="X26" s="1539"/>
      <c r="Y26" s="3319"/>
      <c r="Z26" s="1540"/>
      <c r="AA26" s="1537">
        <v>1</v>
      </c>
      <c r="AB26" s="1537">
        <v>1</v>
      </c>
      <c r="AC26" s="1537">
        <v>1</v>
      </c>
    </row>
    <row r="27" spans="1:29" s="113" customFormat="1" ht="42.75">
      <c r="A27" s="605"/>
      <c r="B27" s="1293" t="s">
        <v>2473</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19"/>
      <c r="Q27" s="1527" t="str">
        <f t="shared" si="8"/>
        <v>公共配套设施</v>
      </c>
      <c r="R27" s="710" t="s">
        <v>17</v>
      </c>
      <c r="S27" s="711">
        <f>F27</f>
        <v>100</v>
      </c>
      <c r="T27" s="710" t="s">
        <v>17</v>
      </c>
      <c r="U27" s="711">
        <f>H27</f>
        <v>100</v>
      </c>
      <c r="V27" s="710" t="s">
        <v>17</v>
      </c>
      <c r="W27" s="711">
        <f>J27</f>
        <v>100</v>
      </c>
      <c r="X27" s="712"/>
      <c r="Y27" s="331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319"/>
      <c r="Q28" s="1527"/>
      <c r="R28" s="710"/>
      <c r="S28" s="711"/>
      <c r="T28" s="710"/>
      <c r="U28" s="711"/>
      <c r="V28" s="710"/>
      <c r="W28" s="711"/>
      <c r="X28" s="712"/>
      <c r="Y28" s="3319"/>
      <c r="Z28" s="55"/>
      <c r="AA28" s="1537">
        <v>1</v>
      </c>
      <c r="AB28" s="1537">
        <v>1</v>
      </c>
      <c r="AC28" s="1537">
        <v>1</v>
      </c>
    </row>
    <row r="29" spans="1:29" s="113" customFormat="1" ht="28.5">
      <c r="A29" s="605"/>
      <c r="B29" s="1293" t="s">
        <v>2474</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19"/>
      <c r="Q29" s="1527" t="str">
        <f t="shared" ref="Q29" si="9">B29</f>
        <v>基础设施水平</v>
      </c>
      <c r="R29" s="710" t="s">
        <v>17</v>
      </c>
      <c r="S29" s="711">
        <f>F29</f>
        <v>100</v>
      </c>
      <c r="T29" s="710" t="s">
        <v>17</v>
      </c>
      <c r="U29" s="711">
        <f>H29</f>
        <v>100</v>
      </c>
      <c r="V29" s="710" t="s">
        <v>17</v>
      </c>
      <c r="W29" s="711">
        <f>J29</f>
        <v>100</v>
      </c>
      <c r="X29" s="712"/>
      <c r="Y29" s="331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319"/>
      <c r="Q30" s="1527"/>
      <c r="R30" s="710"/>
      <c r="S30" s="711"/>
      <c r="T30" s="710"/>
      <c r="U30" s="711"/>
      <c r="V30" s="710"/>
      <c r="W30" s="711"/>
      <c r="X30" s="712"/>
      <c r="Y30" s="3319"/>
      <c r="Z30" s="55"/>
      <c r="AA30" s="1537">
        <v>1</v>
      </c>
      <c r="AB30" s="1537">
        <v>1</v>
      </c>
      <c r="AC30" s="1537">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1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9"/>
      <c r="Z31" s="1540" t="str">
        <f t="shared" ref="Z31:Z45" si="13">Q31</f>
        <v>临街状况</v>
      </c>
      <c r="AA31" s="1537">
        <f t="shared" si="3"/>
        <v>1</v>
      </c>
      <c r="AB31" s="1537">
        <f t="shared" si="4"/>
        <v>1</v>
      </c>
      <c r="AC31" s="1537">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19"/>
      <c r="Q32" s="1536" t="str">
        <f t="shared" si="8"/>
        <v>毗邻道路的类型与等级</v>
      </c>
      <c r="R32" s="714" t="s">
        <v>17</v>
      </c>
      <c r="S32" s="715">
        <f t="shared" si="10"/>
        <v>100</v>
      </c>
      <c r="T32" s="714" t="s">
        <v>17</v>
      </c>
      <c r="U32" s="715">
        <f t="shared" si="11"/>
        <v>100</v>
      </c>
      <c r="V32" s="714" t="s">
        <v>17</v>
      </c>
      <c r="W32" s="715">
        <f t="shared" si="12"/>
        <v>100</v>
      </c>
      <c r="X32" s="1539"/>
      <c r="Y32" s="331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319"/>
      <c r="Q33" s="1536"/>
      <c r="R33" s="714"/>
      <c r="S33" s="715"/>
      <c r="T33" s="714"/>
      <c r="U33" s="715"/>
      <c r="V33" s="714"/>
      <c r="W33" s="715"/>
      <c r="X33" s="1539"/>
      <c r="Y33" s="3319"/>
      <c r="Z33" s="1540"/>
      <c r="AA33" s="1537">
        <v>1</v>
      </c>
      <c r="AB33" s="1537">
        <v>1</v>
      </c>
      <c r="AC33" s="1537">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19"/>
      <c r="Q34" s="1536" t="str">
        <f t="shared" si="8"/>
        <v>土地级别</v>
      </c>
      <c r="R34" s="714" t="s">
        <v>17</v>
      </c>
      <c r="S34" s="715">
        <f t="shared" si="10"/>
        <v>100</v>
      </c>
      <c r="T34" s="714" t="s">
        <v>17</v>
      </c>
      <c r="U34" s="715">
        <f t="shared" si="11"/>
        <v>100</v>
      </c>
      <c r="V34" s="714" t="s">
        <v>17</v>
      </c>
      <c r="W34" s="715">
        <f t="shared" si="12"/>
        <v>100</v>
      </c>
      <c r="X34" s="1539"/>
      <c r="Y34" s="331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19"/>
      <c r="Q35" s="1536">
        <f t="shared" si="8"/>
        <v>111</v>
      </c>
      <c r="R35" s="714" t="s">
        <v>17</v>
      </c>
      <c r="S35" s="715">
        <f t="shared" si="10"/>
        <v>100</v>
      </c>
      <c r="T35" s="714" t="s">
        <v>17</v>
      </c>
      <c r="U35" s="715">
        <f t="shared" si="11"/>
        <v>100</v>
      </c>
      <c r="V35" s="714" t="s">
        <v>17</v>
      </c>
      <c r="W35" s="715">
        <f t="shared" si="12"/>
        <v>100</v>
      </c>
      <c r="X35" s="1539"/>
      <c r="Y35" s="331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74" t="s">
        <v>2384</v>
      </c>
      <c r="Q36" s="1536">
        <f t="shared" si="8"/>
        <v>111</v>
      </c>
      <c r="R36" s="714" t="s">
        <v>17</v>
      </c>
      <c r="S36" s="715">
        <f t="shared" si="10"/>
        <v>100</v>
      </c>
      <c r="T36" s="714" t="s">
        <v>17</v>
      </c>
      <c r="U36" s="715">
        <f t="shared" si="11"/>
        <v>100</v>
      </c>
      <c r="V36" s="714" t="s">
        <v>17</v>
      </c>
      <c r="W36" s="715">
        <f t="shared" si="12"/>
        <v>100</v>
      </c>
      <c r="X36" s="1539"/>
      <c r="Y36" s="3323" t="s">
        <v>2384</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23"/>
      <c r="Q37" s="1536">
        <f t="shared" si="8"/>
        <v>111</v>
      </c>
      <c r="R37" s="717" t="s">
        <v>17</v>
      </c>
      <c r="S37" s="718">
        <f t="shared" si="10"/>
        <v>100</v>
      </c>
      <c r="T37" s="717" t="s">
        <v>17</v>
      </c>
      <c r="U37" s="718">
        <f t="shared" si="11"/>
        <v>100</v>
      </c>
      <c r="V37" s="717" t="s">
        <v>17</v>
      </c>
      <c r="W37" s="718">
        <f t="shared" si="12"/>
        <v>100</v>
      </c>
      <c r="X37" s="719"/>
      <c r="Y37" s="3323"/>
      <c r="Z37" s="720">
        <f t="shared" si="13"/>
        <v>111</v>
      </c>
      <c r="AA37" s="1537">
        <f t="shared" si="3"/>
        <v>1</v>
      </c>
      <c r="AB37" s="1537">
        <f t="shared" si="4"/>
        <v>1</v>
      </c>
      <c r="AC37" s="1537">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23"/>
      <c r="Q38" s="1536" t="str">
        <f>B38</f>
        <v>宗地面积</v>
      </c>
      <c r="R38" s="714" t="s">
        <v>17</v>
      </c>
      <c r="S38" s="715" t="e">
        <f t="shared" si="10"/>
        <v>#N/A</v>
      </c>
      <c r="T38" s="714" t="s">
        <v>17</v>
      </c>
      <c r="U38" s="715" t="e">
        <f t="shared" si="11"/>
        <v>#N/A</v>
      </c>
      <c r="V38" s="714" t="s">
        <v>17</v>
      </c>
      <c r="W38" s="715" t="e">
        <f t="shared" si="12"/>
        <v>#N/A</v>
      </c>
      <c r="X38" s="1539"/>
      <c r="Y38" s="3323"/>
      <c r="Z38" s="1540" t="str">
        <f t="shared" si="13"/>
        <v>宗地面积</v>
      </c>
      <c r="AA38" s="1537" t="e">
        <f t="shared" si="3"/>
        <v>#N/A</v>
      </c>
      <c r="AB38" s="1537" t="e">
        <f t="shared" si="4"/>
        <v>#N/A</v>
      </c>
      <c r="AC38" s="1537" t="e">
        <f t="shared" si="5"/>
        <v>#N/A</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323"/>
      <c r="Q39" s="1536" t="str">
        <f t="shared" ref="Q39:Q45" si="14">B39</f>
        <v>宗地形状</v>
      </c>
      <c r="R39" s="714" t="s">
        <v>17</v>
      </c>
      <c r="S39" s="715">
        <f t="shared" si="10"/>
        <v>100</v>
      </c>
      <c r="T39" s="714" t="s">
        <v>17</v>
      </c>
      <c r="U39" s="715">
        <f t="shared" si="11"/>
        <v>100</v>
      </c>
      <c r="V39" s="714" t="s">
        <v>17</v>
      </c>
      <c r="W39" s="715">
        <f t="shared" si="12"/>
        <v>100</v>
      </c>
      <c r="X39" s="1539"/>
      <c r="Y39" s="3323"/>
      <c r="Z39" s="1540" t="str">
        <f t="shared" si="13"/>
        <v>宗地形状</v>
      </c>
      <c r="AA39" s="1537">
        <f t="shared" si="3"/>
        <v>1</v>
      </c>
      <c r="AB39" s="1537">
        <f t="shared" si="4"/>
        <v>1</v>
      </c>
      <c r="AC39" s="1537">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323"/>
      <c r="Q40" s="1536" t="str">
        <f t="shared" si="14"/>
        <v>临街宽度及深度</v>
      </c>
      <c r="R40" s="714" t="s">
        <v>17</v>
      </c>
      <c r="S40" s="715">
        <f t="shared" si="10"/>
        <v>100</v>
      </c>
      <c r="T40" s="714" t="s">
        <v>17</v>
      </c>
      <c r="U40" s="715">
        <f t="shared" si="11"/>
        <v>100</v>
      </c>
      <c r="V40" s="714" t="s">
        <v>17</v>
      </c>
      <c r="W40" s="715">
        <f t="shared" si="12"/>
        <v>100</v>
      </c>
      <c r="X40" s="1539"/>
      <c r="Y40" s="3323"/>
      <c r="Z40" s="1540" t="str">
        <f t="shared" si="13"/>
        <v>临街宽度及深度</v>
      </c>
      <c r="AA40" s="1537">
        <f t="shared" si="3"/>
        <v>1</v>
      </c>
      <c r="AB40" s="1537">
        <f t="shared" si="4"/>
        <v>1</v>
      </c>
      <c r="AC40" s="1537">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323"/>
      <c r="Q41" s="1536" t="str">
        <f t="shared" si="14"/>
        <v>宗地开发程度</v>
      </c>
      <c r="R41" s="710" t="s">
        <v>17</v>
      </c>
      <c r="S41" s="711">
        <f t="shared" si="10"/>
        <v>100</v>
      </c>
      <c r="T41" s="710" t="s">
        <v>17</v>
      </c>
      <c r="U41" s="711">
        <f t="shared" si="11"/>
        <v>100</v>
      </c>
      <c r="V41" s="710" t="s">
        <v>17</v>
      </c>
      <c r="W41" s="711">
        <f t="shared" si="12"/>
        <v>100</v>
      </c>
      <c r="X41" s="712"/>
      <c r="Y41" s="3323"/>
      <c r="Z41" s="55" t="str">
        <f t="shared" si="13"/>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323" t="s">
        <v>2384</v>
      </c>
      <c r="Q42" s="1536" t="str">
        <f t="shared" si="14"/>
        <v>工程地质条件</v>
      </c>
      <c r="R42" s="714" t="s">
        <v>17</v>
      </c>
      <c r="S42" s="715">
        <f t="shared" si="10"/>
        <v>100</v>
      </c>
      <c r="T42" s="714" t="s">
        <v>17</v>
      </c>
      <c r="U42" s="715">
        <f t="shared" si="11"/>
        <v>100</v>
      </c>
      <c r="V42" s="714" t="s">
        <v>17</v>
      </c>
      <c r="W42" s="715">
        <f t="shared" si="12"/>
        <v>100</v>
      </c>
      <c r="X42" s="1539"/>
      <c r="Y42" s="3323" t="s">
        <v>2384</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23"/>
      <c r="Q43" s="1536">
        <f t="shared" si="14"/>
        <v>111</v>
      </c>
      <c r="R43" s="714" t="s">
        <v>17</v>
      </c>
      <c r="S43" s="715">
        <f t="shared" si="10"/>
        <v>100</v>
      </c>
      <c r="T43" s="714" t="s">
        <v>17</v>
      </c>
      <c r="U43" s="715">
        <f t="shared" si="11"/>
        <v>100</v>
      </c>
      <c r="V43" s="714" t="s">
        <v>17</v>
      </c>
      <c r="W43" s="715">
        <f t="shared" si="12"/>
        <v>100</v>
      </c>
      <c r="X43" s="1539"/>
      <c r="Y43" s="332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23"/>
      <c r="Q44" s="1536">
        <f t="shared" si="14"/>
        <v>111</v>
      </c>
      <c r="R44" s="714" t="s">
        <v>17</v>
      </c>
      <c r="S44" s="715">
        <f t="shared" si="10"/>
        <v>100</v>
      </c>
      <c r="T44" s="714" t="s">
        <v>17</v>
      </c>
      <c r="U44" s="715">
        <f t="shared" si="11"/>
        <v>100</v>
      </c>
      <c r="V44" s="714" t="s">
        <v>17</v>
      </c>
      <c r="W44" s="715">
        <f t="shared" si="12"/>
        <v>100</v>
      </c>
      <c r="X44" s="1539"/>
      <c r="Y44" s="332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23"/>
      <c r="Q45" s="1536">
        <f t="shared" si="14"/>
        <v>111</v>
      </c>
      <c r="R45" s="717" t="s">
        <v>17</v>
      </c>
      <c r="S45" s="718">
        <f t="shared" si="10"/>
        <v>100</v>
      </c>
      <c r="T45" s="717" t="s">
        <v>17</v>
      </c>
      <c r="U45" s="718">
        <f t="shared" si="11"/>
        <v>100</v>
      </c>
      <c r="V45" s="717" t="s">
        <v>17</v>
      </c>
      <c r="W45" s="718">
        <f t="shared" si="12"/>
        <v>100</v>
      </c>
      <c r="X45" s="719"/>
      <c r="Y45" s="3323"/>
      <c r="Z45" s="720">
        <f t="shared" si="13"/>
        <v>111</v>
      </c>
      <c r="AA45" s="1537">
        <f t="shared" si="3"/>
        <v>1</v>
      </c>
      <c r="AB45" s="1537">
        <f t="shared" si="4"/>
        <v>1</v>
      </c>
      <c r="AC45" s="1537">
        <f t="shared" si="5"/>
        <v>1</v>
      </c>
    </row>
    <row r="46" spans="1:29" ht="15">
      <c r="A46" s="438" t="s">
        <v>2539</v>
      </c>
      <c r="B46" s="2168" t="s">
        <v>2575</v>
      </c>
      <c r="C46" s="638" t="s">
        <v>1</v>
      </c>
      <c r="D46" s="440"/>
      <c r="E46" s="441"/>
      <c r="F46" s="442"/>
      <c r="G46" s="443"/>
      <c r="H46" s="444"/>
      <c r="I46" s="441"/>
      <c r="J46" s="444"/>
      <c r="K46" s="723"/>
      <c r="L46" s="2951"/>
      <c r="M46" s="2952"/>
      <c r="N46" s="2943"/>
      <c r="O46" s="2952"/>
      <c r="P46" s="3316" t="str">
        <f>A46</f>
        <v>成交单价</v>
      </c>
      <c r="Q46" s="3316"/>
      <c r="R46" s="3347">
        <f>E46</f>
        <v>0</v>
      </c>
      <c r="S46" s="3347"/>
      <c r="T46" s="3347">
        <f>G46</f>
        <v>0</v>
      </c>
      <c r="U46" s="3347"/>
      <c r="V46" s="3347">
        <f>I46</f>
        <v>0</v>
      </c>
      <c r="W46" s="3347"/>
      <c r="X46" s="699"/>
      <c r="Y46" s="721"/>
      <c r="Z46" s="699"/>
      <c r="AA46" s="699"/>
      <c r="AB46" s="699"/>
      <c r="AC46" s="699"/>
    </row>
    <row r="47" spans="1:29" ht="15.75" thickBot="1">
      <c r="A47" s="445" t="s">
        <v>2488</v>
      </c>
      <c r="B47" s="639"/>
      <c r="C47" s="448" t="e">
        <f>R48</f>
        <v>#DIV/0!</v>
      </c>
      <c r="D47" s="2538" t="s">
        <v>2878</v>
      </c>
      <c r="E47" s="448" t="e">
        <f>R47</f>
        <v>#DIV/0!</v>
      </c>
      <c r="F47" s="2539"/>
      <c r="G47" s="447" t="e">
        <f>T47</f>
        <v>#DIV/0!</v>
      </c>
      <c r="H47" s="2539"/>
      <c r="I47" s="448" t="e">
        <f>V47</f>
        <v>#DIV/0!</v>
      </c>
      <c r="J47" s="2539"/>
      <c r="K47" s="2541">
        <f>F47+H47+J47</f>
        <v>0</v>
      </c>
      <c r="L47" s="2951"/>
      <c r="M47" s="2952"/>
      <c r="N47" s="2952"/>
      <c r="O47" s="2952"/>
      <c r="P47" s="3316" t="str">
        <f>A47</f>
        <v>比较价值（元/平方米）</v>
      </c>
      <c r="Q47" s="3316"/>
      <c r="R47" s="3376" t="e">
        <f>ROUND(PRODUCT(R46,AA7:AA45),0)</f>
        <v>#DIV/0!</v>
      </c>
      <c r="S47" s="3376"/>
      <c r="T47" s="3376" t="e">
        <f>ROUND(PRODUCT(T46,AB7:AB45),0)</f>
        <v>#DIV/0!</v>
      </c>
      <c r="U47" s="3376"/>
      <c r="V47" s="3376" t="e">
        <f>ROUND(PRODUCT(V46,AC7:AC45),0)</f>
        <v>#DIV/0!</v>
      </c>
      <c r="W47" s="3376"/>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1"/>
      <c r="M48" s="2952"/>
      <c r="N48" s="2952"/>
      <c r="O48" s="2952"/>
      <c r="P48" s="3313" t="str">
        <f>A48</f>
        <v>估价对象XX用房的比较价值（楼面单价，元/平方米）</v>
      </c>
      <c r="Q48" s="3314"/>
      <c r="R48" s="3377" t="e">
        <f>ROUND(IF(D47="简单平均",AVERAGE(R47:W47),R47*F47+T47*H47+V47*J47),0)</f>
        <v>#DIV/0!</v>
      </c>
      <c r="S48" s="3377"/>
      <c r="T48" s="3377"/>
      <c r="U48" s="3377"/>
      <c r="V48" s="3377"/>
      <c r="W48" s="3377"/>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2577</v>
      </c>
      <c r="B55" s="641" t="s">
        <v>2578</v>
      </c>
      <c r="C55" s="2169" t="s">
        <v>2579</v>
      </c>
      <c r="D55" s="2170" t="s">
        <v>2580</v>
      </c>
      <c r="E55" s="642" t="s">
        <v>2581</v>
      </c>
      <c r="F55" s="1021" t="s">
        <v>2582</v>
      </c>
      <c r="G55" s="3331" t="s">
        <v>2583</v>
      </c>
      <c r="H55" s="3378"/>
      <c r="I55" s="140" t="s">
        <v>2584</v>
      </c>
      <c r="J55" s="2171">
        <f>项目基本情况!F35</f>
        <v>0</v>
      </c>
      <c r="K55" s="2172" t="s">
        <v>2585</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2586</v>
      </c>
      <c r="B56" s="645" t="e">
        <f>C48</f>
        <v>#DIV/0!</v>
      </c>
      <c r="C56" s="646">
        <v>1</v>
      </c>
      <c r="D56" s="1075">
        <v>1</v>
      </c>
      <c r="E56" s="646">
        <f>'数据-汇总表'!E8+'数据-汇总表'!E9</f>
        <v>12608.400000000001</v>
      </c>
      <c r="F56" s="1017" t="e">
        <f t="shared" ref="F56:F65" si="15">ROUND(B56*E56/10000,0)</f>
        <v>#DIV/0!</v>
      </c>
      <c r="G56" s="3327"/>
      <c r="H56" s="3316"/>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2587</v>
      </c>
      <c r="B57" s="224" t="e">
        <f>ROUND($C$48*C57*D57,0)</f>
        <v>#DIV/0!</v>
      </c>
      <c r="C57" s="176">
        <f t="shared" ref="C57:C65" si="16">IF($C$55="北京市系数",I57,J57)</f>
        <v>0.7</v>
      </c>
      <c r="D57" s="1076">
        <v>0.25</v>
      </c>
      <c r="E57" s="650"/>
      <c r="F57" s="1017" t="e">
        <f t="shared" si="15"/>
        <v>#DIV/0!</v>
      </c>
      <c r="G57" s="3379" t="s">
        <v>2588</v>
      </c>
      <c r="H57" s="1018" t="str">
        <f>项目基本情况!B37</f>
        <v>七级</v>
      </c>
      <c r="I57" s="1022">
        <f>SUMIF(修正!A45:A56,H57,修正!B45:B56)</f>
        <v>0.7</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2589</v>
      </c>
      <c r="B58" s="224" t="e">
        <f t="shared" ref="B58:B65" si="17">ROUND($C$48*C58*D58,0)</f>
        <v>#DIV/0!</v>
      </c>
      <c r="C58" s="176">
        <f t="shared" si="16"/>
        <v>0.4</v>
      </c>
      <c r="D58" s="1076">
        <v>0.25</v>
      </c>
      <c r="E58" s="650"/>
      <c r="F58" s="1017" t="e">
        <f t="shared" si="15"/>
        <v>#DIV/0!</v>
      </c>
      <c r="G58" s="3379"/>
      <c r="H58" s="1018" t="str">
        <f>项目基本情况!B37</f>
        <v>七级</v>
      </c>
      <c r="I58" s="1022">
        <f>SUMIF(修正!A45:A56,H58,修正!C45:C56)</f>
        <v>0.4</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2590</v>
      </c>
      <c r="B59" s="224" t="e">
        <f t="shared" si="17"/>
        <v>#DIV/0!</v>
      </c>
      <c r="C59" s="176">
        <f t="shared" si="16"/>
        <v>0.28000000000000003</v>
      </c>
      <c r="D59" s="1076">
        <v>0.25</v>
      </c>
      <c r="E59" s="650"/>
      <c r="F59" s="1017" t="e">
        <f t="shared" si="15"/>
        <v>#DIV/0!</v>
      </c>
      <c r="G59" s="3379"/>
      <c r="H59" s="1018" t="str">
        <f>项目基本情况!B37</f>
        <v>七级</v>
      </c>
      <c r="I59" s="1022">
        <f>SUMIF(修正!A45:A56,H59,修正!D45:D56)</f>
        <v>0.28000000000000003</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2591</v>
      </c>
      <c r="B60" s="224" t="e">
        <f t="shared" si="17"/>
        <v>#DIV/0!</v>
      </c>
      <c r="C60" s="176">
        <f t="shared" si="16"/>
        <v>0.25</v>
      </c>
      <c r="D60" s="1076">
        <v>0.25</v>
      </c>
      <c r="E60" s="650"/>
      <c r="F60" s="1017" t="e">
        <f t="shared" si="15"/>
        <v>#DIV/0!</v>
      </c>
      <c r="G60" s="3379"/>
      <c r="H60" s="1018" t="str">
        <f>项目基本情况!B37</f>
        <v>七级</v>
      </c>
      <c r="I60" s="1022">
        <f>SUMIF(修正!A45:A56,H60,修正!E45:E56)</f>
        <v>0.25</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2592</v>
      </c>
      <c r="B61" s="224" t="e">
        <f t="shared" si="17"/>
        <v>#DIV/0!</v>
      </c>
      <c r="C61" s="176">
        <f t="shared" si="16"/>
        <v>0.25</v>
      </c>
      <c r="D61" s="1076">
        <v>0.25</v>
      </c>
      <c r="E61" s="223">
        <f>'数据-汇总表'!E11</f>
        <v>0</v>
      </c>
      <c r="F61" s="1017" t="e">
        <f t="shared" si="15"/>
        <v>#DIV/0!</v>
      </c>
      <c r="G61" s="2173" t="s">
        <v>2593</v>
      </c>
      <c r="H61" s="1018" t="str">
        <f>项目基本情况!C37</f>
        <v>七级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2594</v>
      </c>
      <c r="B62" s="224" t="e">
        <f t="shared" si="17"/>
        <v>#DIV/0!</v>
      </c>
      <c r="C62" s="176">
        <f t="shared" si="16"/>
        <v>0.25</v>
      </c>
      <c r="D62" s="1076">
        <v>0.25</v>
      </c>
      <c r="E62" s="223">
        <f>'数据-汇总表'!E12</f>
        <v>0</v>
      </c>
      <c r="F62" s="1017" t="e">
        <f t="shared" si="15"/>
        <v>#DIV/0!</v>
      </c>
      <c r="G62" s="1023" t="s">
        <v>2595</v>
      </c>
      <c r="H62" s="1018" t="str">
        <f>IF(G62="商业",项目基本情况!B37,IF(G62="办公",项目基本情况!C37,IF(G62="住宅",项目基本情况!D37,项目基本情况!E37)))</f>
        <v>七级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2598</v>
      </c>
      <c r="B64" s="224" t="e">
        <f t="shared" si="17"/>
        <v>#DIV/0!</v>
      </c>
      <c r="C64" s="176">
        <f t="shared" si="16"/>
        <v>0.2</v>
      </c>
      <c r="D64" s="1076">
        <v>0.25</v>
      </c>
      <c r="E64" s="223">
        <f>'数据-汇总表'!E14</f>
        <v>0</v>
      </c>
      <c r="F64" s="1017" t="e">
        <f t="shared" si="15"/>
        <v>#DIV/0!</v>
      </c>
      <c r="G64" s="2173" t="s">
        <v>2588</v>
      </c>
      <c r="H64" s="1018" t="str">
        <f>项目基本情况!B37</f>
        <v>七级</v>
      </c>
      <c r="I64" s="1022">
        <f>SUMIF(修正!A45:A56,H64,修正!H45:H56)</f>
        <v>0.2</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2599</v>
      </c>
      <c r="B65" s="224" t="e">
        <f t="shared" si="17"/>
        <v>#DIV/0!</v>
      </c>
      <c r="C65" s="176">
        <f t="shared" si="16"/>
        <v>0.2</v>
      </c>
      <c r="D65" s="1076">
        <v>0.25</v>
      </c>
      <c r="E65" s="223">
        <f>'数据-汇总表'!E15</f>
        <v>0</v>
      </c>
      <c r="F65" s="1017" t="e">
        <f t="shared" si="15"/>
        <v>#DIV/0!</v>
      </c>
      <c r="G65" s="2174" t="s">
        <v>2593</v>
      </c>
      <c r="H65" s="1028" t="str">
        <f>项目基本情况!C37</f>
        <v>七级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2600</v>
      </c>
      <c r="B66" s="652" t="s">
        <v>28</v>
      </c>
      <c r="C66" s="652" t="s">
        <v>29</v>
      </c>
      <c r="D66" s="652" t="s">
        <v>997</v>
      </c>
      <c r="E66" s="652">
        <f>IF(B46="楼面地价",SUM(E56:E65),'数据-汇总表'!D3)</f>
        <v>12608.400000000001</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2021-8-1</v>
      </c>
      <c r="D68" s="701">
        <f>EDATE(C68,-3)</f>
        <v>44317</v>
      </c>
      <c r="E68" s="701">
        <f>EDATE(D68,-3)</f>
        <v>44228</v>
      </c>
      <c r="F68" s="701">
        <f t="shared" ref="F68:O68" si="18">EDATE(E68,-3)</f>
        <v>44136</v>
      </c>
      <c r="G68" s="701">
        <f t="shared" si="18"/>
        <v>44044</v>
      </c>
      <c r="H68" s="701">
        <f t="shared" si="18"/>
        <v>43952</v>
      </c>
      <c r="I68" s="701">
        <f t="shared" si="18"/>
        <v>43862</v>
      </c>
      <c r="J68" s="701">
        <f t="shared" si="18"/>
        <v>43770</v>
      </c>
      <c r="K68" s="701">
        <f t="shared" si="18"/>
        <v>43678</v>
      </c>
      <c r="L68" s="701">
        <f t="shared" si="18"/>
        <v>43586</v>
      </c>
      <c r="M68" s="701">
        <f t="shared" si="18"/>
        <v>43497</v>
      </c>
      <c r="N68" s="701">
        <f t="shared" si="18"/>
        <v>43405</v>
      </c>
      <c r="O68" s="701">
        <f t="shared" si="18"/>
        <v>43313</v>
      </c>
      <c r="P68" s="2952"/>
      <c r="Q68" s="2952"/>
      <c r="R68" s="2952"/>
      <c r="S68" s="2952"/>
      <c r="T68" s="2952"/>
      <c r="U68" s="2952"/>
      <c r="V68" s="2952"/>
      <c r="W68" s="2952"/>
      <c r="X68" s="2952"/>
      <c r="Y68" s="2952"/>
      <c r="Z68" s="2952"/>
      <c r="AA68" s="2952"/>
      <c r="AB68" s="2952"/>
      <c r="AC68" s="2952"/>
    </row>
    <row r="69" spans="1:29" ht="21.75" thickBot="1">
      <c r="A69" s="703" t="s">
        <v>2493</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2601</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3"/>
      <c r="Q70" s="2968"/>
      <c r="R70" s="2968"/>
      <c r="S70" s="2968"/>
      <c r="T70" s="2968"/>
      <c r="U70" s="2968"/>
      <c r="V70" s="2968"/>
      <c r="W70" s="2968"/>
      <c r="X70" s="2968"/>
      <c r="Y70" s="2968"/>
      <c r="Z70" s="2968"/>
      <c r="AA70" s="2968"/>
      <c r="AB70" s="2968"/>
      <c r="AC70" s="2968"/>
    </row>
    <row r="71" spans="1:29" s="113" customFormat="1" ht="30" customHeight="1">
      <c r="A71" s="2176" t="s">
        <v>2602</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2404</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2369</v>
      </c>
      <c r="B73" s="467"/>
      <c r="C73" s="479" t="s">
        <v>2471</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2407</v>
      </c>
      <c r="B75" s="485" t="s">
        <v>2373</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2376</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2378</v>
      </c>
      <c r="B88" s="485" t="s">
        <v>2415</v>
      </c>
      <c r="C88" s="530" t="s">
        <v>2416</v>
      </c>
      <c r="D88" s="530" t="s">
        <v>2417</v>
      </c>
      <c r="E88" s="530" t="s">
        <v>2418</v>
      </c>
      <c r="F88" s="530" t="s">
        <v>2419</v>
      </c>
      <c r="G88" s="530" t="s">
        <v>2420</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2603</v>
      </c>
      <c r="C90" s="535" t="s">
        <v>2416</v>
      </c>
      <c r="D90" s="535" t="s">
        <v>2417</v>
      </c>
      <c r="E90" s="535" t="s">
        <v>2418</v>
      </c>
      <c r="F90" s="535" t="s">
        <v>2419</v>
      </c>
      <c r="G90" s="535" t="s">
        <v>2420</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2516</v>
      </c>
      <c r="C92" s="535" t="s">
        <v>2416</v>
      </c>
      <c r="D92" s="535" t="s">
        <v>2417</v>
      </c>
      <c r="E92" s="535" t="s">
        <v>2418</v>
      </c>
      <c r="F92" s="535" t="s">
        <v>2419</v>
      </c>
      <c r="G92" s="535" t="s">
        <v>2420</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2421</v>
      </c>
      <c r="C94" s="535" t="s">
        <v>2416</v>
      </c>
      <c r="D94" s="535" t="s">
        <v>2417</v>
      </c>
      <c r="E94" s="535" t="s">
        <v>2418</v>
      </c>
      <c r="F94" s="535" t="s">
        <v>2419</v>
      </c>
      <c r="G94" s="535" t="s">
        <v>2420</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2510</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2569</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2611</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2612</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2613</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2614</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2464</v>
      </c>
      <c r="B4" s="362"/>
      <c r="C4" s="3331" t="s">
        <v>2465</v>
      </c>
      <c r="D4" s="3332"/>
      <c r="E4" s="3333" t="s">
        <v>2466</v>
      </c>
      <c r="F4" s="3334"/>
      <c r="G4" s="3331" t="s">
        <v>2467</v>
      </c>
      <c r="H4" s="3332"/>
      <c r="I4" s="3331" t="s">
        <v>2468</v>
      </c>
      <c r="J4" s="3332"/>
      <c r="K4" s="567" t="s">
        <v>2469</v>
      </c>
      <c r="L4" s="2942"/>
      <c r="M4" s="2943"/>
      <c r="N4" s="2943"/>
      <c r="O4" s="2943"/>
      <c r="P4" s="3335" t="s">
        <v>2470</v>
      </c>
      <c r="Q4" s="3336"/>
      <c r="R4" s="3341" t="s">
        <v>2466</v>
      </c>
      <c r="S4" s="3342"/>
      <c r="T4" s="3341" t="s">
        <v>2467</v>
      </c>
      <c r="U4" s="3342"/>
      <c r="V4" s="3347" t="s">
        <v>2468</v>
      </c>
      <c r="W4" s="3347"/>
      <c r="X4" s="1539"/>
      <c r="Y4" s="3341" t="s">
        <v>2470</v>
      </c>
      <c r="Z4" s="3342"/>
      <c r="AA4" s="3328" t="s">
        <v>2466</v>
      </c>
      <c r="AB4" s="3329" t="s">
        <v>2467</v>
      </c>
      <c r="AC4" s="3328" t="s">
        <v>2468</v>
      </c>
    </row>
    <row r="5" spans="1:29" ht="15">
      <c r="A5" s="364"/>
      <c r="B5" s="365"/>
      <c r="C5" s="3350" t="s">
        <v>2361</v>
      </c>
      <c r="D5" s="3351"/>
      <c r="E5" s="3357" t="s">
        <v>2362</v>
      </c>
      <c r="F5" s="3358"/>
      <c r="G5" s="3350" t="s">
        <v>2363</v>
      </c>
      <c r="H5" s="3351"/>
      <c r="I5" s="3350" t="s">
        <v>2364</v>
      </c>
      <c r="J5" s="3351"/>
      <c r="K5" s="567"/>
      <c r="L5" s="2942"/>
      <c r="M5" s="2943"/>
      <c r="N5" s="2943"/>
      <c r="O5" s="2943"/>
      <c r="P5" s="3337"/>
      <c r="Q5" s="3338"/>
      <c r="R5" s="3343"/>
      <c r="S5" s="3344"/>
      <c r="T5" s="3343"/>
      <c r="U5" s="3344"/>
      <c r="V5" s="3347"/>
      <c r="W5" s="3347"/>
      <c r="X5" s="1539"/>
      <c r="Y5" s="3343"/>
      <c r="Z5" s="3344"/>
      <c r="AA5" s="3329"/>
      <c r="AB5" s="3329"/>
      <c r="AC5" s="3329"/>
    </row>
    <row r="6" spans="1:29" ht="15.75" thickBot="1">
      <c r="A6" s="366"/>
      <c r="B6" s="367"/>
      <c r="C6" s="3380" t="s">
        <v>2616</v>
      </c>
      <c r="D6" s="3381"/>
      <c r="E6" s="3382" t="s">
        <v>2616</v>
      </c>
      <c r="F6" s="3383"/>
      <c r="G6" s="3380" t="s">
        <v>2616</v>
      </c>
      <c r="H6" s="3381"/>
      <c r="I6" s="3380" t="s">
        <v>2616</v>
      </c>
      <c r="J6" s="3381"/>
      <c r="K6" s="567" t="s">
        <v>2366</v>
      </c>
      <c r="L6" s="2942"/>
      <c r="M6" s="2943"/>
      <c r="N6" s="2943"/>
      <c r="O6" s="2943"/>
      <c r="P6" s="3339"/>
      <c r="Q6" s="3340"/>
      <c r="R6" s="3343"/>
      <c r="S6" s="3344"/>
      <c r="T6" s="3345"/>
      <c r="U6" s="3346"/>
      <c r="V6" s="3347"/>
      <c r="W6" s="3347"/>
      <c r="X6" s="1539"/>
      <c r="Y6" s="3345"/>
      <c r="Z6" s="3346"/>
      <c r="AA6" s="3330"/>
      <c r="AB6" s="3330"/>
      <c r="AC6" s="3330"/>
    </row>
    <row r="7" spans="1:29" s="113" customFormat="1" ht="15.75" thickBot="1">
      <c r="A7" s="368" t="s">
        <v>2367</v>
      </c>
      <c r="B7" s="369"/>
      <c r="C7" s="370">
        <f>'数据-取费表'!B2</f>
        <v>44434</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352" t="s">
        <v>2368</v>
      </c>
      <c r="Q7" s="3354"/>
      <c r="R7" s="710" t="s">
        <v>17</v>
      </c>
      <c r="S7" s="711">
        <f t="shared" ref="S7:S15" si="0">F7</f>
        <v>0</v>
      </c>
      <c r="T7" s="710" t="s">
        <v>17</v>
      </c>
      <c r="U7" s="711">
        <f t="shared" ref="U7:U15" si="1">H7</f>
        <v>0</v>
      </c>
      <c r="V7" s="710" t="s">
        <v>17</v>
      </c>
      <c r="W7" s="711">
        <f t="shared" ref="W7:W15" si="2">J7</f>
        <v>0</v>
      </c>
      <c r="X7" s="712"/>
      <c r="Y7" s="3352" t="s">
        <v>2368</v>
      </c>
      <c r="Z7" s="3353"/>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52" t="s">
        <v>2371</v>
      </c>
      <c r="Q8" s="3353"/>
      <c r="R8" s="710" t="s">
        <v>17</v>
      </c>
      <c r="S8" s="711">
        <f t="shared" si="0"/>
        <v>0</v>
      </c>
      <c r="T8" s="710" t="s">
        <v>17</v>
      </c>
      <c r="U8" s="711">
        <f t="shared" si="1"/>
        <v>0</v>
      </c>
      <c r="V8" s="710" t="s">
        <v>17</v>
      </c>
      <c r="W8" s="711">
        <f t="shared" si="2"/>
        <v>0</v>
      </c>
      <c r="X8" s="712"/>
      <c r="Y8" s="3352" t="s">
        <v>2371</v>
      </c>
      <c r="Z8" s="3353"/>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316" t="s">
        <v>2374</v>
      </c>
      <c r="Q9" s="1527" t="str">
        <f t="shared" ref="Q9:Q15" si="6">B9</f>
        <v>用途</v>
      </c>
      <c r="R9" s="710" t="s">
        <v>17</v>
      </c>
      <c r="S9" s="711">
        <f t="shared" si="0"/>
        <v>100</v>
      </c>
      <c r="T9" s="710" t="s">
        <v>17</v>
      </c>
      <c r="U9" s="711">
        <f t="shared" si="1"/>
        <v>100</v>
      </c>
      <c r="V9" s="710" t="s">
        <v>17</v>
      </c>
      <c r="W9" s="711">
        <f t="shared" si="2"/>
        <v>100</v>
      </c>
      <c r="X9" s="712"/>
      <c r="Y9" s="3160"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131</v>
      </c>
      <c r="G10" s="391"/>
      <c r="H10" s="132">
        <f>ROUND(100/'数据-取费表'!G16,0)</f>
        <v>131</v>
      </c>
      <c r="I10" s="391"/>
      <c r="J10" s="132">
        <f>ROUND(100/'数据-取费表'!G16,0)</f>
        <v>131</v>
      </c>
      <c r="K10" s="628"/>
      <c r="L10" s="2946"/>
      <c r="M10" s="2947"/>
      <c r="N10" s="2947"/>
      <c r="O10" s="3000"/>
      <c r="P10" s="3316"/>
      <c r="Q10" s="1527" t="str">
        <f t="shared" si="6"/>
        <v>土地使用年限（年）</v>
      </c>
      <c r="R10" s="710" t="s">
        <v>17</v>
      </c>
      <c r="S10" s="711">
        <f t="shared" si="0"/>
        <v>131</v>
      </c>
      <c r="T10" s="710" t="s">
        <v>17</v>
      </c>
      <c r="U10" s="711">
        <f t="shared" si="1"/>
        <v>131</v>
      </c>
      <c r="V10" s="710" t="s">
        <v>17</v>
      </c>
      <c r="W10" s="711">
        <f t="shared" si="2"/>
        <v>131</v>
      </c>
      <c r="X10" s="712"/>
      <c r="Y10" s="3160"/>
      <c r="Z10" s="55" t="str">
        <f t="shared" si="7"/>
        <v>土地使用年限（年）</v>
      </c>
      <c r="AA10" s="713">
        <f t="shared" si="3"/>
        <v>0.76335877862595425</v>
      </c>
      <c r="AB10" s="713">
        <f t="shared" si="4"/>
        <v>0.76335877862595425</v>
      </c>
      <c r="AC10" s="713">
        <f t="shared" si="5"/>
        <v>0.76335877862595425</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16"/>
      <c r="Q11" s="1527"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16"/>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16"/>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16"/>
      <c r="Q14" s="1527">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18" t="s">
        <v>2379</v>
      </c>
      <c r="Q15" s="1536" t="str">
        <f t="shared" si="6"/>
        <v>产业集聚程度</v>
      </c>
      <c r="R15" s="714" t="s">
        <v>17</v>
      </c>
      <c r="S15" s="715">
        <f t="shared" si="0"/>
        <v>100</v>
      </c>
      <c r="T15" s="714" t="s">
        <v>17</v>
      </c>
      <c r="U15" s="715">
        <f t="shared" si="1"/>
        <v>100</v>
      </c>
      <c r="V15" s="714" t="s">
        <v>17</v>
      </c>
      <c r="W15" s="715">
        <f t="shared" si="2"/>
        <v>100</v>
      </c>
      <c r="X15" s="1539"/>
      <c r="Y15" s="3318" t="s">
        <v>2379</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319"/>
      <c r="Q16" s="1536"/>
      <c r="R16" s="714"/>
      <c r="S16" s="715"/>
      <c r="T16" s="714"/>
      <c r="U16" s="715"/>
      <c r="V16" s="714"/>
      <c r="W16" s="715"/>
      <c r="X16" s="1539"/>
      <c r="Y16" s="3319"/>
      <c r="Z16" s="1540"/>
      <c r="AA16" s="1537">
        <v>1</v>
      </c>
      <c r="AB16" s="1537">
        <v>1</v>
      </c>
      <c r="AC16" s="1537">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19"/>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319"/>
      <c r="Q18" s="1536"/>
      <c r="R18" s="714"/>
      <c r="S18" s="715"/>
      <c r="T18" s="714"/>
      <c r="U18" s="715"/>
      <c r="V18" s="714"/>
      <c r="W18" s="715"/>
      <c r="X18" s="1539"/>
      <c r="Y18" s="3319"/>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19"/>
      <c r="Q19" s="1536" t="str">
        <f t="shared" ref="Q19:Q33" si="8">B19</f>
        <v>区域土地利用方向</v>
      </c>
      <c r="R19" s="714" t="s">
        <v>17</v>
      </c>
      <c r="S19" s="715">
        <f>F19</f>
        <v>100</v>
      </c>
      <c r="T19" s="714" t="s">
        <v>17</v>
      </c>
      <c r="U19" s="715">
        <f>H19</f>
        <v>100</v>
      </c>
      <c r="V19" s="714" t="s">
        <v>17</v>
      </c>
      <c r="W19" s="715">
        <f>J19</f>
        <v>100</v>
      </c>
      <c r="X19" s="1539"/>
      <c r="Y19" s="331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319"/>
      <c r="Q20" s="1536"/>
      <c r="R20" s="714"/>
      <c r="S20" s="715"/>
      <c r="T20" s="714"/>
      <c r="U20" s="715"/>
      <c r="V20" s="714"/>
      <c r="W20" s="715"/>
      <c r="X20" s="1539"/>
      <c r="Y20" s="3319"/>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19"/>
      <c r="Q21" s="1536" t="str">
        <f t="shared" si="8"/>
        <v>环境状况</v>
      </c>
      <c r="R21" s="714" t="s">
        <v>17</v>
      </c>
      <c r="S21" s="715">
        <f>F21</f>
        <v>100</v>
      </c>
      <c r="T21" s="714" t="s">
        <v>17</v>
      </c>
      <c r="U21" s="715">
        <f>H21</f>
        <v>100</v>
      </c>
      <c r="V21" s="714" t="s">
        <v>17</v>
      </c>
      <c r="W21" s="715">
        <f>J21</f>
        <v>100</v>
      </c>
      <c r="X21" s="1539"/>
      <c r="Y21" s="331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319"/>
      <c r="Q22" s="1536"/>
      <c r="R22" s="714"/>
      <c r="S22" s="715"/>
      <c r="T22" s="714"/>
      <c r="U22" s="715"/>
      <c r="V22" s="714"/>
      <c r="W22" s="715"/>
      <c r="X22" s="1539"/>
      <c r="Y22" s="3319"/>
      <c r="Z22" s="1540"/>
      <c r="AA22" s="1537">
        <v>1</v>
      </c>
      <c r="AB22" s="1537">
        <v>1</v>
      </c>
      <c r="AC22" s="1537">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19"/>
      <c r="Q23" s="1527" t="str">
        <f t="shared" si="8"/>
        <v>公共配套设施</v>
      </c>
      <c r="R23" s="710" t="s">
        <v>17</v>
      </c>
      <c r="S23" s="711">
        <f>F23</f>
        <v>100</v>
      </c>
      <c r="T23" s="710" t="s">
        <v>17</v>
      </c>
      <c r="U23" s="711">
        <f>H23</f>
        <v>100</v>
      </c>
      <c r="V23" s="710" t="s">
        <v>17</v>
      </c>
      <c r="W23" s="711">
        <f>J23</f>
        <v>100</v>
      </c>
      <c r="X23" s="712"/>
      <c r="Y23" s="331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319"/>
      <c r="Q24" s="1527"/>
      <c r="R24" s="710"/>
      <c r="S24" s="711"/>
      <c r="T24" s="710"/>
      <c r="U24" s="711"/>
      <c r="V24" s="710"/>
      <c r="W24" s="711"/>
      <c r="X24" s="712"/>
      <c r="Y24" s="3319"/>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19"/>
      <c r="Q25" s="1527" t="str">
        <f t="shared" ref="Q25" si="9">B25</f>
        <v>基础设施水平</v>
      </c>
      <c r="R25" s="710" t="s">
        <v>17</v>
      </c>
      <c r="S25" s="711">
        <f>F25</f>
        <v>100</v>
      </c>
      <c r="T25" s="710" t="s">
        <v>17</v>
      </c>
      <c r="U25" s="711">
        <f>H25</f>
        <v>100</v>
      </c>
      <c r="V25" s="710" t="s">
        <v>17</v>
      </c>
      <c r="W25" s="711">
        <f>J25</f>
        <v>100</v>
      </c>
      <c r="X25" s="712"/>
      <c r="Y25" s="331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319"/>
      <c r="Q26" s="1527"/>
      <c r="R26" s="710"/>
      <c r="S26" s="711"/>
      <c r="T26" s="710"/>
      <c r="U26" s="711"/>
      <c r="V26" s="710"/>
      <c r="W26" s="711"/>
      <c r="X26" s="712"/>
      <c r="Y26" s="3319"/>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1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9"/>
      <c r="Z27" s="1540" t="str">
        <f t="shared" ref="Z27:Z40" si="13">Q27</f>
        <v>临街状况</v>
      </c>
      <c r="AA27" s="1537">
        <f t="shared" si="3"/>
        <v>1</v>
      </c>
      <c r="AB27" s="1537">
        <f t="shared" si="4"/>
        <v>1</v>
      </c>
      <c r="AC27" s="1537">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19"/>
      <c r="Q28" s="1536" t="str">
        <f t="shared" si="8"/>
        <v>毗邻道路的类型与等级</v>
      </c>
      <c r="R28" s="714" t="s">
        <v>17</v>
      </c>
      <c r="S28" s="715">
        <f t="shared" si="10"/>
        <v>100</v>
      </c>
      <c r="T28" s="714" t="s">
        <v>17</v>
      </c>
      <c r="U28" s="715">
        <f t="shared" si="11"/>
        <v>100</v>
      </c>
      <c r="V28" s="714" t="s">
        <v>17</v>
      </c>
      <c r="W28" s="715">
        <f t="shared" si="12"/>
        <v>100</v>
      </c>
      <c r="X28" s="1539"/>
      <c r="Y28" s="331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319"/>
      <c r="Q29" s="1536"/>
      <c r="R29" s="714"/>
      <c r="S29" s="715"/>
      <c r="T29" s="714"/>
      <c r="U29" s="715"/>
      <c r="V29" s="714"/>
      <c r="W29" s="715"/>
      <c r="X29" s="1539"/>
      <c r="Y29" s="3319"/>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19"/>
      <c r="Q30" s="1536" t="str">
        <f t="shared" si="8"/>
        <v>土地级别</v>
      </c>
      <c r="R30" s="714" t="s">
        <v>17</v>
      </c>
      <c r="S30" s="715">
        <f t="shared" si="10"/>
        <v>100</v>
      </c>
      <c r="T30" s="714" t="s">
        <v>17</v>
      </c>
      <c r="U30" s="715">
        <f t="shared" si="11"/>
        <v>100</v>
      </c>
      <c r="V30" s="714" t="s">
        <v>17</v>
      </c>
      <c r="W30" s="715">
        <f t="shared" si="12"/>
        <v>100</v>
      </c>
      <c r="X30" s="1539"/>
      <c r="Y30" s="331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19"/>
      <c r="Q31" s="1536">
        <f t="shared" si="8"/>
        <v>111</v>
      </c>
      <c r="R31" s="714" t="s">
        <v>17</v>
      </c>
      <c r="S31" s="715">
        <f t="shared" si="10"/>
        <v>100</v>
      </c>
      <c r="T31" s="714" t="s">
        <v>17</v>
      </c>
      <c r="U31" s="715">
        <f t="shared" si="11"/>
        <v>100</v>
      </c>
      <c r="V31" s="714" t="s">
        <v>17</v>
      </c>
      <c r="W31" s="715">
        <f t="shared" si="12"/>
        <v>100</v>
      </c>
      <c r="X31" s="1539"/>
      <c r="Y31" s="331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74" t="s">
        <v>2384</v>
      </c>
      <c r="Q32" s="1536">
        <f t="shared" si="8"/>
        <v>111</v>
      </c>
      <c r="R32" s="714" t="s">
        <v>17</v>
      </c>
      <c r="S32" s="715">
        <f t="shared" si="10"/>
        <v>100</v>
      </c>
      <c r="T32" s="714" t="s">
        <v>17</v>
      </c>
      <c r="U32" s="715">
        <f t="shared" si="11"/>
        <v>100</v>
      </c>
      <c r="V32" s="714" t="s">
        <v>17</v>
      </c>
      <c r="W32" s="715">
        <f t="shared" si="12"/>
        <v>100</v>
      </c>
      <c r="X32" s="1539"/>
      <c r="Y32" s="3323" t="s">
        <v>2384</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23"/>
      <c r="Q33" s="1536">
        <f t="shared" si="8"/>
        <v>111</v>
      </c>
      <c r="R33" s="717" t="s">
        <v>17</v>
      </c>
      <c r="S33" s="718">
        <f t="shared" si="10"/>
        <v>100</v>
      </c>
      <c r="T33" s="717" t="s">
        <v>17</v>
      </c>
      <c r="U33" s="718">
        <f t="shared" si="11"/>
        <v>100</v>
      </c>
      <c r="V33" s="717" t="s">
        <v>17</v>
      </c>
      <c r="W33" s="718">
        <f t="shared" si="12"/>
        <v>100</v>
      </c>
      <c r="X33" s="719"/>
      <c r="Y33" s="3323"/>
      <c r="Z33" s="720">
        <f t="shared" si="13"/>
        <v>111</v>
      </c>
      <c r="AA33" s="1537">
        <f t="shared" si="3"/>
        <v>1</v>
      </c>
      <c r="AB33" s="1537">
        <f t="shared" si="4"/>
        <v>1</v>
      </c>
      <c r="AC33" s="153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23"/>
      <c r="Q34" s="1536" t="str">
        <f>B34</f>
        <v>宗地面积</v>
      </c>
      <c r="R34" s="714" t="s">
        <v>17</v>
      </c>
      <c r="S34" s="715" t="e">
        <f t="shared" si="10"/>
        <v>#N/A</v>
      </c>
      <c r="T34" s="714" t="s">
        <v>17</v>
      </c>
      <c r="U34" s="715" t="e">
        <f t="shared" si="11"/>
        <v>#N/A</v>
      </c>
      <c r="V34" s="714" t="s">
        <v>17</v>
      </c>
      <c r="W34" s="715" t="e">
        <f t="shared" si="12"/>
        <v>#N/A</v>
      </c>
      <c r="X34" s="1539"/>
      <c r="Y34" s="3323"/>
      <c r="Z34" s="1540" t="str">
        <f t="shared" si="13"/>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323"/>
      <c r="Q35" s="1536" t="str">
        <f t="shared" ref="Q35:Q40" si="14">B35</f>
        <v>宗地形状</v>
      </c>
      <c r="R35" s="714" t="s">
        <v>17</v>
      </c>
      <c r="S35" s="715">
        <f t="shared" si="10"/>
        <v>100</v>
      </c>
      <c r="T35" s="714" t="s">
        <v>17</v>
      </c>
      <c r="U35" s="715">
        <f t="shared" si="11"/>
        <v>100</v>
      </c>
      <c r="V35" s="714" t="s">
        <v>17</v>
      </c>
      <c r="W35" s="715">
        <f t="shared" si="12"/>
        <v>100</v>
      </c>
      <c r="X35" s="1539"/>
      <c r="Y35" s="3323"/>
      <c r="Z35" s="1540" t="str">
        <f t="shared" si="13"/>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323"/>
      <c r="Q36" s="1536" t="str">
        <f t="shared" si="14"/>
        <v>宗地开发程度</v>
      </c>
      <c r="R36" s="710" t="s">
        <v>17</v>
      </c>
      <c r="S36" s="711">
        <f t="shared" si="10"/>
        <v>100</v>
      </c>
      <c r="T36" s="710" t="s">
        <v>17</v>
      </c>
      <c r="U36" s="711">
        <f t="shared" si="11"/>
        <v>100</v>
      </c>
      <c r="V36" s="710" t="s">
        <v>17</v>
      </c>
      <c r="W36" s="711">
        <f t="shared" si="12"/>
        <v>100</v>
      </c>
      <c r="X36" s="712"/>
      <c r="Y36" s="3323"/>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323" t="s">
        <v>2384</v>
      </c>
      <c r="Q37" s="1536" t="str">
        <f t="shared" si="14"/>
        <v>工程地质条件</v>
      </c>
      <c r="R37" s="714" t="s">
        <v>17</v>
      </c>
      <c r="S37" s="715">
        <f t="shared" si="10"/>
        <v>100</v>
      </c>
      <c r="T37" s="714" t="s">
        <v>17</v>
      </c>
      <c r="U37" s="715">
        <f t="shared" si="11"/>
        <v>100</v>
      </c>
      <c r="V37" s="714" t="s">
        <v>17</v>
      </c>
      <c r="W37" s="715">
        <f t="shared" si="12"/>
        <v>100</v>
      </c>
      <c r="X37" s="1539"/>
      <c r="Y37" s="3323" t="s">
        <v>2384</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23"/>
      <c r="Q38" s="1536">
        <f t="shared" si="14"/>
        <v>111</v>
      </c>
      <c r="R38" s="714" t="s">
        <v>17</v>
      </c>
      <c r="S38" s="715">
        <f t="shared" si="10"/>
        <v>100</v>
      </c>
      <c r="T38" s="714" t="s">
        <v>17</v>
      </c>
      <c r="U38" s="715">
        <f t="shared" si="11"/>
        <v>100</v>
      </c>
      <c r="V38" s="714" t="s">
        <v>17</v>
      </c>
      <c r="W38" s="715">
        <f t="shared" si="12"/>
        <v>100</v>
      </c>
      <c r="X38" s="1539"/>
      <c r="Y38" s="332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23"/>
      <c r="Q39" s="1536">
        <f t="shared" si="14"/>
        <v>111</v>
      </c>
      <c r="R39" s="714" t="s">
        <v>17</v>
      </c>
      <c r="S39" s="715">
        <f t="shared" si="10"/>
        <v>100</v>
      </c>
      <c r="T39" s="714" t="s">
        <v>17</v>
      </c>
      <c r="U39" s="715">
        <f t="shared" si="11"/>
        <v>100</v>
      </c>
      <c r="V39" s="714" t="s">
        <v>17</v>
      </c>
      <c r="W39" s="715">
        <f t="shared" si="12"/>
        <v>100</v>
      </c>
      <c r="X39" s="1539"/>
      <c r="Y39" s="332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23"/>
      <c r="Q40" s="1536">
        <f t="shared" si="14"/>
        <v>111</v>
      </c>
      <c r="R40" s="717" t="s">
        <v>17</v>
      </c>
      <c r="S40" s="718">
        <f t="shared" si="10"/>
        <v>100</v>
      </c>
      <c r="T40" s="717" t="s">
        <v>17</v>
      </c>
      <c r="U40" s="718">
        <f t="shared" si="11"/>
        <v>100</v>
      </c>
      <c r="V40" s="717" t="s">
        <v>17</v>
      </c>
      <c r="W40" s="718">
        <f t="shared" si="12"/>
        <v>100</v>
      </c>
      <c r="X40" s="719"/>
      <c r="Y40" s="3323"/>
      <c r="Z40" s="720">
        <f t="shared" si="13"/>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51"/>
      <c r="M41" s="2943"/>
      <c r="N41" s="2943"/>
      <c r="O41" s="2952"/>
      <c r="P41" s="3316" t="str">
        <f>A41</f>
        <v>成交单价</v>
      </c>
      <c r="Q41" s="3316"/>
      <c r="R41" s="3347">
        <f>E41</f>
        <v>0</v>
      </c>
      <c r="S41" s="3347"/>
      <c r="T41" s="3347">
        <f>G41</f>
        <v>0</v>
      </c>
      <c r="U41" s="3347"/>
      <c r="V41" s="3347">
        <f>I41</f>
        <v>0</v>
      </c>
      <c r="W41" s="3347"/>
      <c r="X41" s="699"/>
      <c r="Y41" s="721"/>
      <c r="Z41" s="699"/>
      <c r="AA41" s="699"/>
      <c r="AB41" s="699"/>
      <c r="AC41" s="699"/>
    </row>
    <row r="42" spans="1:31" ht="15.75" thickBot="1">
      <c r="A42" s="445" t="s">
        <v>2488</v>
      </c>
      <c r="B42" s="639"/>
      <c r="C42" s="448" t="e">
        <f>R43</f>
        <v>#DIV/0!</v>
      </c>
      <c r="D42" s="2538" t="s">
        <v>2878</v>
      </c>
      <c r="E42" s="448" t="e">
        <f>R42</f>
        <v>#DIV/0!</v>
      </c>
      <c r="F42" s="2539"/>
      <c r="G42" s="447" t="e">
        <f>T42</f>
        <v>#DIV/0!</v>
      </c>
      <c r="H42" s="2539"/>
      <c r="I42" s="448" t="e">
        <f>V42</f>
        <v>#DIV/0!</v>
      </c>
      <c r="J42" s="2539"/>
      <c r="K42" s="2541">
        <f>F42+H42+J42</f>
        <v>0</v>
      </c>
      <c r="L42" s="2951"/>
      <c r="M42" s="2943"/>
      <c r="N42" s="2943"/>
      <c r="O42" s="2952"/>
      <c r="P42" s="3316" t="str">
        <f>A42</f>
        <v>比较价值（元/平方米）</v>
      </c>
      <c r="Q42" s="3316"/>
      <c r="R42" s="3376" t="e">
        <f>ROUND(PRODUCT(R41,AA7:AA40),0)</f>
        <v>#DIV/0!</v>
      </c>
      <c r="S42" s="3376"/>
      <c r="T42" s="3376" t="e">
        <f>ROUND(PRODUCT(T41,AB7:AB40),0)</f>
        <v>#DIV/0!</v>
      </c>
      <c r="U42" s="3376"/>
      <c r="V42" s="3376" t="e">
        <f>ROUND(PRODUCT(V41,AC7:AC40),0)</f>
        <v>#DIV/0!</v>
      </c>
      <c r="W42" s="3376"/>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1"/>
      <c r="M43" s="2943"/>
      <c r="N43" s="2943"/>
      <c r="O43" s="2952"/>
      <c r="P43" s="3313" t="str">
        <f>A43</f>
        <v>估价对象XX用房的比较价值（楼面单价，元/平方米）</v>
      </c>
      <c r="Q43" s="3314"/>
      <c r="R43" s="3377" t="e">
        <f>ROUND(IF(D42="简单平均",AVERAGE(R42:W42),R42*F42+T42*H42+V42*J42),0)</f>
        <v>#DIV/0!</v>
      </c>
      <c r="S43" s="3377"/>
      <c r="T43" s="3377"/>
      <c r="U43" s="3377"/>
      <c r="V43" s="3377"/>
      <c r="W43" s="3377"/>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2577</v>
      </c>
      <c r="B50" s="641" t="s">
        <v>2578</v>
      </c>
      <c r="C50" s="2169" t="s">
        <v>2579</v>
      </c>
      <c r="D50" s="2170" t="s">
        <v>2580</v>
      </c>
      <c r="E50" s="642" t="s">
        <v>2581</v>
      </c>
      <c r="F50" s="643" t="s">
        <v>2582</v>
      </c>
      <c r="G50" s="3331" t="s">
        <v>2583</v>
      </c>
      <c r="H50" s="3378"/>
      <c r="I50" s="1540" t="s">
        <v>2620</v>
      </c>
      <c r="J50" s="1540">
        <f>项目基本情况!F35</f>
        <v>0</v>
      </c>
      <c r="K50" s="2172" t="s">
        <v>2585</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2586</v>
      </c>
      <c r="B51" s="645" t="e">
        <f>C43</f>
        <v>#DIV/0!</v>
      </c>
      <c r="C51" s="646">
        <v>1</v>
      </c>
      <c r="D51" s="1075">
        <v>1</v>
      </c>
      <c r="E51" s="646">
        <f>'数据-汇总表'!E8+'数据-汇总表'!E9</f>
        <v>12608.400000000001</v>
      </c>
      <c r="F51" s="647" t="e">
        <f t="shared" ref="F51:F60" si="15">ROUND(B51*E51/10000,0)</f>
        <v>#DIV/0!</v>
      </c>
      <c r="G51" s="3327"/>
      <c r="H51" s="3316"/>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2587</v>
      </c>
      <c r="B52" s="224" t="e">
        <f>ROUND($C$43*C52*D52,0)</f>
        <v>#DIV/0!</v>
      </c>
      <c r="C52" s="176">
        <f t="shared" ref="C52:C60" si="16">IF($C$50="北京市系数",I52,J52)</f>
        <v>0.7</v>
      </c>
      <c r="D52" s="1076">
        <v>0.25</v>
      </c>
      <c r="E52" s="650"/>
      <c r="F52" s="647" t="e">
        <f t="shared" si="15"/>
        <v>#DIV/0!</v>
      </c>
      <c r="G52" s="3379" t="s">
        <v>2588</v>
      </c>
      <c r="H52" s="1018" t="str">
        <f>项目基本情况!B37</f>
        <v>七级</v>
      </c>
      <c r="I52" s="879">
        <f>SUMIF(修正!A45:A56,H52,修正!B45:B56)</f>
        <v>0.7</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2589</v>
      </c>
      <c r="B53" s="224" t="e">
        <f t="shared" ref="B53:B60" si="17">ROUND($C$43*C53*D53,0)</f>
        <v>#DIV/0!</v>
      </c>
      <c r="C53" s="176">
        <f t="shared" si="16"/>
        <v>0.4</v>
      </c>
      <c r="D53" s="1076">
        <v>0.25</v>
      </c>
      <c r="E53" s="650"/>
      <c r="F53" s="647" t="e">
        <f t="shared" si="15"/>
        <v>#DIV/0!</v>
      </c>
      <c r="G53" s="3379"/>
      <c r="H53" s="1018" t="str">
        <f>项目基本情况!B37</f>
        <v>七级</v>
      </c>
      <c r="I53" s="879">
        <f>SUMIF(修正!A45:A56,H53,修正!C45:C56)</f>
        <v>0.4</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2590</v>
      </c>
      <c r="B54" s="224" t="e">
        <f t="shared" si="17"/>
        <v>#DIV/0!</v>
      </c>
      <c r="C54" s="176">
        <f t="shared" si="16"/>
        <v>0.28000000000000003</v>
      </c>
      <c r="D54" s="1076">
        <v>0.25</v>
      </c>
      <c r="E54" s="650"/>
      <c r="F54" s="647" t="e">
        <f t="shared" si="15"/>
        <v>#DIV/0!</v>
      </c>
      <c r="G54" s="3379"/>
      <c r="H54" s="1018" t="str">
        <f>项目基本情况!B37</f>
        <v>七级</v>
      </c>
      <c r="I54" s="879">
        <f>SUMIF(修正!A45:A56,H54,修正!D45:D56)</f>
        <v>0.28000000000000003</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2591</v>
      </c>
      <c r="B55" s="224" t="e">
        <f t="shared" si="17"/>
        <v>#DIV/0!</v>
      </c>
      <c r="C55" s="176">
        <f t="shared" si="16"/>
        <v>0.25</v>
      </c>
      <c r="D55" s="1076">
        <v>0.25</v>
      </c>
      <c r="E55" s="650"/>
      <c r="F55" s="647" t="e">
        <f t="shared" si="15"/>
        <v>#DIV/0!</v>
      </c>
      <c r="G55" s="3379"/>
      <c r="H55" s="1018" t="str">
        <f>项目基本情况!B37</f>
        <v>七级</v>
      </c>
      <c r="I55" s="879">
        <f>SUMIF(修正!A45:A56,H55,修正!E45:E56)</f>
        <v>0.25</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2592</v>
      </c>
      <c r="B56" s="224" t="e">
        <f t="shared" si="17"/>
        <v>#DIV/0!</v>
      </c>
      <c r="C56" s="176">
        <f t="shared" si="16"/>
        <v>0.25</v>
      </c>
      <c r="D56" s="1076">
        <v>0.25</v>
      </c>
      <c r="E56" s="223">
        <f>'数据-汇总表'!E11</f>
        <v>0</v>
      </c>
      <c r="F56" s="647" t="e">
        <f t="shared" si="15"/>
        <v>#DIV/0!</v>
      </c>
      <c r="G56" s="2173" t="s">
        <v>2593</v>
      </c>
      <c r="H56" s="1018" t="str">
        <f>项目基本情况!C37</f>
        <v>七级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2594</v>
      </c>
      <c r="B57" s="224" t="e">
        <f t="shared" si="17"/>
        <v>#DIV/0!</v>
      </c>
      <c r="C57" s="176">
        <f t="shared" si="16"/>
        <v>0.25</v>
      </c>
      <c r="D57" s="1076">
        <v>0.25</v>
      </c>
      <c r="E57" s="223">
        <f>'数据-汇总表'!E12</f>
        <v>0</v>
      </c>
      <c r="F57" s="647" t="e">
        <f t="shared" si="15"/>
        <v>#DIV/0!</v>
      </c>
      <c r="G57" s="1023" t="s">
        <v>2595</v>
      </c>
      <c r="H57" s="1018" t="str">
        <f>IF(G57="商业",项目基本情况!B37,IF(G57="办公",项目基本情况!C37,IF(G57="住宅",项目基本情况!D37,项目基本情况!E37)))</f>
        <v>七级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2598</v>
      </c>
      <c r="B59" s="224" t="e">
        <f t="shared" si="17"/>
        <v>#DIV/0!</v>
      </c>
      <c r="C59" s="176">
        <f t="shared" si="16"/>
        <v>0.2</v>
      </c>
      <c r="D59" s="1076">
        <v>0.25</v>
      </c>
      <c r="E59" s="223">
        <f>'数据-汇总表'!E14</f>
        <v>0</v>
      </c>
      <c r="F59" s="647" t="e">
        <f t="shared" si="15"/>
        <v>#DIV/0!</v>
      </c>
      <c r="G59" s="2173" t="s">
        <v>2588</v>
      </c>
      <c r="H59" s="1018" t="str">
        <f>项目基本情况!B37</f>
        <v>七级</v>
      </c>
      <c r="I59" s="879">
        <f>SUMIF(修正!A45:A56,H59,修正!H45:H56)</f>
        <v>0.2</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2599</v>
      </c>
      <c r="B60" s="224" t="e">
        <f t="shared" si="17"/>
        <v>#DIV/0!</v>
      </c>
      <c r="C60" s="176">
        <f t="shared" si="16"/>
        <v>0.2</v>
      </c>
      <c r="D60" s="1076">
        <v>0.25</v>
      </c>
      <c r="E60" s="223">
        <f>'数据-汇总表'!E15</f>
        <v>0</v>
      </c>
      <c r="F60" s="647" t="e">
        <f t="shared" si="15"/>
        <v>#DIV/0!</v>
      </c>
      <c r="G60" s="2174" t="s">
        <v>2593</v>
      </c>
      <c r="H60" s="1028" t="str">
        <f>项目基本情况!C37</f>
        <v>七级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2600</v>
      </c>
      <c r="B61" s="652" t="s">
        <v>28</v>
      </c>
      <c r="C61" s="652" t="s">
        <v>29</v>
      </c>
      <c r="D61" s="652" t="s">
        <v>997</v>
      </c>
      <c r="E61" s="652">
        <f>IF(B41="楼面地价",SUM(E51:E60),'数据-汇总表'!D3)</f>
        <v>19918.64</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2021-8-1</v>
      </c>
      <c r="D63" s="701">
        <f>EDATE(C63,-3)</f>
        <v>44317</v>
      </c>
      <c r="E63" s="701">
        <f>EDATE(D63,-3)</f>
        <v>44228</v>
      </c>
      <c r="F63" s="701">
        <f t="shared" ref="F63:O63" si="18">EDATE(E63,-3)</f>
        <v>44136</v>
      </c>
      <c r="G63" s="701">
        <f t="shared" si="18"/>
        <v>44044</v>
      </c>
      <c r="H63" s="701">
        <f t="shared" si="18"/>
        <v>43952</v>
      </c>
      <c r="I63" s="701">
        <f t="shared" si="18"/>
        <v>43862</v>
      </c>
      <c r="J63" s="701">
        <f t="shared" si="18"/>
        <v>43770</v>
      </c>
      <c r="K63" s="701">
        <f t="shared" si="18"/>
        <v>43678</v>
      </c>
      <c r="L63" s="701">
        <f t="shared" si="18"/>
        <v>43586</v>
      </c>
      <c r="M63" s="701">
        <f t="shared" si="18"/>
        <v>43497</v>
      </c>
      <c r="N63" s="701">
        <f t="shared" si="18"/>
        <v>43405</v>
      </c>
      <c r="O63" s="701">
        <f t="shared" si="18"/>
        <v>43313</v>
      </c>
      <c r="P63" s="2952"/>
      <c r="Q63" s="2952"/>
      <c r="R63" s="2952"/>
      <c r="S63" s="2952"/>
      <c r="T63" s="2952"/>
      <c r="U63" s="2952"/>
      <c r="V63" s="2952"/>
      <c r="W63" s="2952"/>
      <c r="X63" s="2952"/>
      <c r="Y63" s="2952"/>
      <c r="Z63" s="2952"/>
      <c r="AA63" s="2952"/>
      <c r="AB63" s="2952"/>
      <c r="AC63" s="2952"/>
      <c r="AD63" s="2952"/>
      <c r="AE63" s="2952"/>
    </row>
    <row r="64" spans="1:31" ht="21.75" thickBot="1">
      <c r="A64" s="703" t="s">
        <v>2493</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2601</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2621</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2404</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2369</v>
      </c>
      <c r="B68" s="467"/>
      <c r="C68" s="479" t="s">
        <v>2471</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2407</v>
      </c>
      <c r="B70" s="485" t="s">
        <v>2373</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2376</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2378</v>
      </c>
      <c r="B83" s="485" t="s">
        <v>2524</v>
      </c>
      <c r="C83" s="530" t="s">
        <v>2416</v>
      </c>
      <c r="D83" s="530" t="s">
        <v>2417</v>
      </c>
      <c r="E83" s="530" t="s">
        <v>2418</v>
      </c>
      <c r="F83" s="530" t="s">
        <v>2419</v>
      </c>
      <c r="G83" s="530" t="s">
        <v>2420</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2421</v>
      </c>
      <c r="C85" s="535" t="s">
        <v>2416</v>
      </c>
      <c r="D85" s="535" t="s">
        <v>2417</v>
      </c>
      <c r="E85" s="535" t="s">
        <v>2418</v>
      </c>
      <c r="F85" s="535" t="s">
        <v>2419</v>
      </c>
      <c r="G85" s="535" t="s">
        <v>2420</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2510</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2569</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2611</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2613</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2614</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4" t="s">
        <v>183</v>
      </c>
      <c r="B18" s="821" t="s">
        <v>560</v>
      </c>
      <c r="C18" s="822" t="s">
        <v>561</v>
      </c>
      <c r="D18" s="823"/>
      <c r="E18" s="821">
        <v>1</v>
      </c>
      <c r="F18" s="824" t="s">
        <v>562</v>
      </c>
      <c r="G18" s="825"/>
      <c r="H18" s="817"/>
      <c r="I18" s="817"/>
    </row>
    <row r="19" spans="1:9" s="826" customFormat="1" ht="19.5" customHeight="1">
      <c r="A19" s="3384"/>
      <c r="B19" s="3384" t="s">
        <v>563</v>
      </c>
      <c r="C19" s="822" t="s">
        <v>564</v>
      </c>
      <c r="D19" s="823"/>
      <c r="E19" s="821">
        <v>0.9</v>
      </c>
      <c r="F19" s="824" t="s">
        <v>565</v>
      </c>
      <c r="G19" s="825"/>
      <c r="H19" s="817"/>
      <c r="I19" s="817"/>
    </row>
    <row r="20" spans="1:9" s="826" customFormat="1" ht="19.5" customHeight="1">
      <c r="A20" s="3384"/>
      <c r="B20" s="3384"/>
      <c r="C20" s="822" t="s">
        <v>566</v>
      </c>
      <c r="D20" s="823"/>
      <c r="E20" s="821">
        <v>1.1000000000000001</v>
      </c>
      <c r="F20" s="824" t="s">
        <v>567</v>
      </c>
      <c r="G20" s="825"/>
      <c r="H20" s="817"/>
      <c r="I20" s="817"/>
    </row>
    <row r="21" spans="1:9" s="826" customFormat="1" ht="19.5" customHeight="1">
      <c r="A21" s="3384"/>
      <c r="B21" s="3384"/>
      <c r="C21" s="822" t="s">
        <v>568</v>
      </c>
      <c r="D21" s="823"/>
      <c r="E21" s="821">
        <v>0.8</v>
      </c>
      <c r="F21" s="824" t="s">
        <v>569</v>
      </c>
      <c r="G21" s="825"/>
      <c r="H21" s="817"/>
      <c r="I21" s="817"/>
    </row>
    <row r="22" spans="1:9" s="826" customFormat="1" ht="19.5" customHeight="1">
      <c r="A22" s="3384"/>
      <c r="B22" s="3384"/>
      <c r="C22" s="822" t="s">
        <v>570</v>
      </c>
      <c r="D22" s="823"/>
      <c r="E22" s="821">
        <v>0.5</v>
      </c>
      <c r="F22" s="824"/>
      <c r="G22" s="825"/>
      <c r="H22" s="817"/>
      <c r="I22" s="817"/>
    </row>
    <row r="23" spans="1:9" s="826" customFormat="1" ht="19.5" customHeight="1">
      <c r="A23" s="3384" t="s">
        <v>184</v>
      </c>
      <c r="B23" s="821" t="s">
        <v>560</v>
      </c>
      <c r="C23" s="822" t="s">
        <v>571</v>
      </c>
      <c r="D23" s="823"/>
      <c r="E23" s="821">
        <v>1</v>
      </c>
      <c r="F23" s="824" t="s">
        <v>572</v>
      </c>
      <c r="G23" s="825"/>
      <c r="H23" s="817"/>
      <c r="I23" s="817"/>
    </row>
    <row r="24" spans="1:9" s="826" customFormat="1" ht="19.5" customHeight="1">
      <c r="A24" s="3384"/>
      <c r="B24" s="3384" t="s">
        <v>563</v>
      </c>
      <c r="C24" s="822" t="s">
        <v>573</v>
      </c>
      <c r="D24" s="823"/>
      <c r="E24" s="821">
        <v>0.5</v>
      </c>
      <c r="F24" s="824"/>
      <c r="G24" s="825"/>
      <c r="H24" s="817"/>
      <c r="I24" s="817"/>
    </row>
    <row r="25" spans="1:9" s="826" customFormat="1" ht="19.5" customHeight="1">
      <c r="A25" s="3384"/>
      <c r="B25" s="3384"/>
      <c r="C25" s="822" t="s">
        <v>574</v>
      </c>
      <c r="D25" s="823"/>
      <c r="E25" s="821">
        <v>1.1000000000000001</v>
      </c>
      <c r="F25" s="824"/>
      <c r="G25" s="825"/>
      <c r="H25" s="817"/>
      <c r="I25" s="817"/>
    </row>
    <row r="26" spans="1:9" s="826" customFormat="1" ht="19.5" customHeight="1">
      <c r="A26" s="3384"/>
      <c r="B26" s="3384"/>
      <c r="C26" s="822" t="s">
        <v>575</v>
      </c>
      <c r="D26" s="823"/>
      <c r="E26" s="821">
        <v>1.1000000000000001</v>
      </c>
      <c r="F26" s="824"/>
      <c r="G26" s="825"/>
      <c r="H26" s="817"/>
      <c r="I26" s="817"/>
    </row>
    <row r="27" spans="1:9" s="826" customFormat="1" ht="19.5" customHeight="1">
      <c r="A27" s="3384"/>
      <c r="B27" s="3384"/>
      <c r="C27" s="822" t="s">
        <v>576</v>
      </c>
      <c r="D27" s="823"/>
      <c r="E27" s="821">
        <v>0.9</v>
      </c>
      <c r="F27" s="824" t="s">
        <v>577</v>
      </c>
      <c r="G27" s="825"/>
      <c r="H27" s="817"/>
      <c r="I27" s="817"/>
    </row>
    <row r="28" spans="1:9" s="826" customFormat="1" ht="19.5" customHeight="1">
      <c r="A28" s="3384"/>
      <c r="B28" s="3384"/>
      <c r="C28" s="822" t="s">
        <v>578</v>
      </c>
      <c r="D28" s="823"/>
      <c r="E28" s="821">
        <v>0.9</v>
      </c>
      <c r="F28" s="824" t="s">
        <v>579</v>
      </c>
      <c r="G28" s="825"/>
      <c r="H28" s="817"/>
      <c r="I28" s="817"/>
    </row>
    <row r="29" spans="1:9" s="826" customFormat="1" ht="19.5" customHeight="1">
      <c r="A29" s="3384"/>
      <c r="B29" s="3384"/>
      <c r="C29" s="822" t="s">
        <v>580</v>
      </c>
      <c r="D29" s="823"/>
      <c r="E29" s="821">
        <v>0.9</v>
      </c>
      <c r="F29" s="824" t="s">
        <v>581</v>
      </c>
      <c r="G29" s="825"/>
      <c r="H29" s="817"/>
      <c r="I29" s="817"/>
    </row>
    <row r="30" spans="1:9" s="826" customFormat="1" ht="19.5" customHeight="1">
      <c r="A30" s="3384"/>
      <c r="B30" s="3384"/>
      <c r="C30" s="822" t="s">
        <v>582</v>
      </c>
      <c r="D30" s="823"/>
      <c r="E30" s="821">
        <v>0.9</v>
      </c>
      <c r="F30" s="824" t="s">
        <v>583</v>
      </c>
      <c r="G30" s="825"/>
      <c r="H30" s="817"/>
      <c r="I30" s="817"/>
    </row>
    <row r="31" spans="1:9" s="826" customFormat="1" ht="19.5" customHeight="1">
      <c r="A31" s="3384"/>
      <c r="B31" s="3384"/>
      <c r="C31" s="822" t="s">
        <v>584</v>
      </c>
      <c r="D31" s="823"/>
      <c r="E31" s="821">
        <v>0.8</v>
      </c>
      <c r="F31" s="824" t="s">
        <v>585</v>
      </c>
      <c r="G31" s="825"/>
      <c r="H31" s="817"/>
      <c r="I31" s="817"/>
    </row>
    <row r="32" spans="1:9" s="826" customFormat="1" ht="19.5" customHeight="1">
      <c r="A32" s="3384"/>
      <c r="B32" s="3384"/>
      <c r="C32" s="822" t="s">
        <v>586</v>
      </c>
      <c r="D32" s="823"/>
      <c r="E32" s="821">
        <v>0.8</v>
      </c>
      <c r="F32" s="824" t="s">
        <v>587</v>
      </c>
      <c r="G32" s="825"/>
      <c r="H32" s="817"/>
      <c r="I32" s="817"/>
    </row>
    <row r="33" spans="1:9" s="826" customFormat="1" ht="19.5" customHeight="1">
      <c r="A33" s="3384" t="s">
        <v>185</v>
      </c>
      <c r="B33" s="821" t="s">
        <v>560</v>
      </c>
      <c r="C33" s="822" t="s">
        <v>588</v>
      </c>
      <c r="D33" s="823"/>
      <c r="E33" s="821">
        <v>1</v>
      </c>
      <c r="F33" s="824" t="s">
        <v>589</v>
      </c>
      <c r="G33" s="825"/>
      <c r="H33" s="817"/>
      <c r="I33" s="817"/>
    </row>
    <row r="34" spans="1:9" s="826" customFormat="1" ht="19.5" customHeight="1">
      <c r="A34" s="3384"/>
      <c r="B34" s="821" t="s">
        <v>563</v>
      </c>
      <c r="C34" s="822" t="s">
        <v>590</v>
      </c>
      <c r="D34" s="823"/>
      <c r="E34" s="821">
        <v>1.5</v>
      </c>
      <c r="F34" s="824" t="s">
        <v>591</v>
      </c>
      <c r="G34" s="825"/>
      <c r="H34" s="817"/>
      <c r="I34" s="817"/>
    </row>
    <row r="35" spans="1:9" s="826" customFormat="1" ht="19.5" customHeight="1">
      <c r="A35" s="3384" t="s">
        <v>186</v>
      </c>
      <c r="B35" s="821" t="s">
        <v>560</v>
      </c>
      <c r="C35" s="822" t="s">
        <v>592</v>
      </c>
      <c r="D35" s="823"/>
      <c r="E35" s="821">
        <v>1</v>
      </c>
      <c r="F35" s="824" t="s">
        <v>593</v>
      </c>
      <c r="G35" s="825"/>
      <c r="H35" s="817"/>
      <c r="I35" s="817"/>
    </row>
    <row r="36" spans="1:9" s="826" customFormat="1" ht="19.5" customHeight="1">
      <c r="A36" s="3384"/>
      <c r="B36" s="3384" t="s">
        <v>563</v>
      </c>
      <c r="C36" s="822" t="s">
        <v>594</v>
      </c>
      <c r="D36" s="823"/>
      <c r="E36" s="821">
        <v>1</v>
      </c>
      <c r="F36" s="824" t="s">
        <v>595</v>
      </c>
      <c r="G36" s="825"/>
      <c r="H36" s="817"/>
      <c r="I36" s="817"/>
    </row>
    <row r="37" spans="1:9" s="826" customFormat="1" ht="19.5" customHeight="1">
      <c r="A37" s="3384"/>
      <c r="B37" s="3384"/>
      <c r="C37" s="822" t="s">
        <v>596</v>
      </c>
      <c r="D37" s="823"/>
      <c r="E37" s="821">
        <v>1.5</v>
      </c>
      <c r="F37" s="824" t="s">
        <v>597</v>
      </c>
      <c r="G37" s="825"/>
      <c r="H37" s="817"/>
      <c r="I37" s="817"/>
    </row>
    <row r="38" spans="1:9" s="826" customFormat="1" ht="19.5" customHeight="1">
      <c r="A38" s="3384"/>
      <c r="B38" s="3384"/>
      <c r="C38" s="822" t="s">
        <v>598</v>
      </c>
      <c r="D38" s="823"/>
      <c r="E38" s="821">
        <v>1</v>
      </c>
      <c r="F38" s="824" t="s">
        <v>599</v>
      </c>
      <c r="G38" s="825"/>
      <c r="H38" s="817"/>
      <c r="I38" s="817"/>
    </row>
    <row r="39" spans="1:9" s="826" customFormat="1" ht="19.5" customHeight="1">
      <c r="A39" s="3384"/>
      <c r="B39" s="338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4" t="s">
        <v>614</v>
      </c>
      <c r="C61" s="757" t="s">
        <v>615</v>
      </c>
      <c r="D61" s="757" t="s">
        <v>616</v>
      </c>
      <c r="E61" s="834">
        <v>0.5</v>
      </c>
      <c r="F61" s="821">
        <v>80</v>
      </c>
    </row>
    <row r="62" spans="1:8" s="817" customFormat="1" ht="24">
      <c r="A62" s="821">
        <v>2</v>
      </c>
      <c r="B62" s="3384"/>
      <c r="C62" s="757" t="s">
        <v>617</v>
      </c>
      <c r="D62" s="757" t="s">
        <v>618</v>
      </c>
      <c r="E62" s="834">
        <v>0.5</v>
      </c>
      <c r="F62" s="821">
        <v>80</v>
      </c>
    </row>
    <row r="63" spans="1:8" s="817" customFormat="1" ht="36">
      <c r="A63" s="821">
        <v>3</v>
      </c>
      <c r="B63" s="3384"/>
      <c r="C63" s="757" t="s">
        <v>619</v>
      </c>
      <c r="D63" s="757" t="s">
        <v>620</v>
      </c>
      <c r="E63" s="834">
        <v>0.5</v>
      </c>
      <c r="F63" s="821">
        <v>80</v>
      </c>
    </row>
    <row r="64" spans="1:8" s="817" customFormat="1" ht="36">
      <c r="A64" s="821">
        <v>4</v>
      </c>
      <c r="B64" s="3384"/>
      <c r="C64" s="757" t="s">
        <v>621</v>
      </c>
      <c r="D64" s="757" t="s">
        <v>622</v>
      </c>
      <c r="E64" s="834">
        <v>0.4</v>
      </c>
      <c r="F64" s="821">
        <v>60</v>
      </c>
    </row>
    <row r="65" spans="1:6" s="817" customFormat="1" ht="36">
      <c r="A65" s="821">
        <v>5</v>
      </c>
      <c r="B65" s="3384"/>
      <c r="C65" s="757" t="s">
        <v>623</v>
      </c>
      <c r="D65" s="757" t="s">
        <v>624</v>
      </c>
      <c r="E65" s="834">
        <v>0.2</v>
      </c>
      <c r="F65" s="821">
        <v>30</v>
      </c>
    </row>
    <row r="66" spans="1:6" s="817" customFormat="1" ht="36">
      <c r="A66" s="821">
        <v>6</v>
      </c>
      <c r="B66" s="3384"/>
      <c r="C66" s="757" t="s">
        <v>625</v>
      </c>
      <c r="D66" s="757" t="s">
        <v>626</v>
      </c>
      <c r="E66" s="834">
        <v>0.3</v>
      </c>
      <c r="F66" s="821">
        <v>50</v>
      </c>
    </row>
    <row r="67" spans="1:6" s="817" customFormat="1" ht="36">
      <c r="A67" s="821">
        <v>7</v>
      </c>
      <c r="B67" s="3384"/>
      <c r="C67" s="757" t="s">
        <v>627</v>
      </c>
      <c r="D67" s="757" t="s">
        <v>628</v>
      </c>
      <c r="E67" s="834">
        <v>0.2</v>
      </c>
      <c r="F67" s="821">
        <v>30</v>
      </c>
    </row>
    <row r="68" spans="1:6" s="817" customFormat="1" ht="36">
      <c r="A68" s="821">
        <v>8</v>
      </c>
      <c r="B68" s="3384"/>
      <c r="C68" s="757" t="s">
        <v>629</v>
      </c>
      <c r="D68" s="757" t="s">
        <v>630</v>
      </c>
      <c r="E68" s="834">
        <v>0.2</v>
      </c>
      <c r="F68" s="821">
        <v>30</v>
      </c>
    </row>
    <row r="69" spans="1:6" s="817" customFormat="1" ht="36">
      <c r="A69" s="821">
        <v>9</v>
      </c>
      <c r="B69" s="3384"/>
      <c r="C69" s="757" t="s">
        <v>631</v>
      </c>
      <c r="D69" s="757" t="s">
        <v>632</v>
      </c>
      <c r="E69" s="834">
        <v>0.2</v>
      </c>
      <c r="F69" s="821">
        <v>30</v>
      </c>
    </row>
    <row r="70" spans="1:6" s="817" customFormat="1" ht="48">
      <c r="A70" s="821">
        <v>10</v>
      </c>
      <c r="B70" s="3384"/>
      <c r="C70" s="757" t="s">
        <v>633</v>
      </c>
      <c r="D70" s="757" t="s">
        <v>634</v>
      </c>
      <c r="E70" s="834">
        <v>0.2</v>
      </c>
      <c r="F70" s="821">
        <v>30</v>
      </c>
    </row>
    <row r="71" spans="1:6" s="817" customFormat="1" ht="48">
      <c r="A71" s="821">
        <v>11</v>
      </c>
      <c r="B71" s="3384"/>
      <c r="C71" s="757" t="s">
        <v>635</v>
      </c>
      <c r="D71" s="757" t="s">
        <v>636</v>
      </c>
      <c r="E71" s="834">
        <v>0.2</v>
      </c>
      <c r="F71" s="821">
        <v>30</v>
      </c>
    </row>
    <row r="72" spans="1:6" s="817" customFormat="1" ht="36">
      <c r="A72" s="821">
        <v>12</v>
      </c>
      <c r="B72" s="3384"/>
      <c r="C72" s="757" t="s">
        <v>637</v>
      </c>
      <c r="D72" s="757" t="s">
        <v>638</v>
      </c>
      <c r="E72" s="834">
        <v>0.5</v>
      </c>
      <c r="F72" s="821">
        <v>80</v>
      </c>
    </row>
    <row r="73" spans="1:6" s="817" customFormat="1" ht="24">
      <c r="A73" s="821">
        <v>13</v>
      </c>
      <c r="B73" s="3384"/>
      <c r="C73" s="757" t="s">
        <v>639</v>
      </c>
      <c r="D73" s="757" t="s">
        <v>640</v>
      </c>
      <c r="E73" s="834">
        <v>0.4</v>
      </c>
      <c r="F73" s="821">
        <v>60</v>
      </c>
    </row>
    <row r="74" spans="1:6" s="817" customFormat="1" ht="24">
      <c r="A74" s="821">
        <v>14</v>
      </c>
      <c r="B74" s="3384"/>
      <c r="C74" s="757" t="s">
        <v>641</v>
      </c>
      <c r="D74" s="757" t="s">
        <v>642</v>
      </c>
      <c r="E74" s="834">
        <v>0.2</v>
      </c>
      <c r="F74" s="821">
        <v>30</v>
      </c>
    </row>
    <row r="75" spans="1:6" s="817" customFormat="1" ht="24">
      <c r="A75" s="821">
        <v>15</v>
      </c>
      <c r="B75" s="3384"/>
      <c r="C75" s="757" t="s">
        <v>643</v>
      </c>
      <c r="D75" s="757" t="s">
        <v>644</v>
      </c>
      <c r="E75" s="834">
        <v>0.2</v>
      </c>
      <c r="F75" s="821">
        <v>30</v>
      </c>
    </row>
    <row r="76" spans="1:6" s="817" customFormat="1" ht="24">
      <c r="A76" s="821">
        <v>16</v>
      </c>
      <c r="B76" s="3384" t="s">
        <v>645</v>
      </c>
      <c r="C76" s="757" t="s">
        <v>646</v>
      </c>
      <c r="D76" s="757" t="s">
        <v>647</v>
      </c>
      <c r="E76" s="834">
        <v>0.5</v>
      </c>
      <c r="F76" s="821">
        <v>80</v>
      </c>
    </row>
    <row r="77" spans="1:6" s="817" customFormat="1" ht="24">
      <c r="A77" s="821">
        <v>17</v>
      </c>
      <c r="B77" s="3384"/>
      <c r="C77" s="757" t="s">
        <v>648</v>
      </c>
      <c r="D77" s="757" t="s">
        <v>649</v>
      </c>
      <c r="E77" s="834">
        <v>0.5</v>
      </c>
      <c r="F77" s="821">
        <v>80</v>
      </c>
    </row>
    <row r="78" spans="1:6" s="817" customFormat="1" ht="24">
      <c r="A78" s="821">
        <v>18</v>
      </c>
      <c r="B78" s="3384"/>
      <c r="C78" s="757" t="s">
        <v>650</v>
      </c>
      <c r="D78" s="757" t="s">
        <v>651</v>
      </c>
      <c r="E78" s="834">
        <v>0.2</v>
      </c>
      <c r="F78" s="821">
        <v>30</v>
      </c>
    </row>
    <row r="79" spans="1:6" s="817" customFormat="1" ht="24">
      <c r="A79" s="821">
        <v>19</v>
      </c>
      <c r="B79" s="3384"/>
      <c r="C79" s="757" t="s">
        <v>652</v>
      </c>
      <c r="D79" s="757" t="s">
        <v>653</v>
      </c>
      <c r="E79" s="834">
        <v>0.5</v>
      </c>
      <c r="F79" s="821">
        <v>80</v>
      </c>
    </row>
    <row r="80" spans="1:6" s="817" customFormat="1" ht="36">
      <c r="A80" s="821">
        <v>20</v>
      </c>
      <c r="B80" s="3384"/>
      <c r="C80" s="757" t="s">
        <v>654</v>
      </c>
      <c r="D80" s="757" t="s">
        <v>655</v>
      </c>
      <c r="E80" s="834">
        <v>0.2</v>
      </c>
      <c r="F80" s="821">
        <v>30</v>
      </c>
    </row>
    <row r="81" spans="1:6" s="817" customFormat="1" ht="36">
      <c r="A81" s="821">
        <v>21</v>
      </c>
      <c r="B81" s="3384"/>
      <c r="C81" s="757" t="s">
        <v>656</v>
      </c>
      <c r="D81" s="757" t="s">
        <v>657</v>
      </c>
      <c r="E81" s="834">
        <v>0.2</v>
      </c>
      <c r="F81" s="821">
        <v>30</v>
      </c>
    </row>
    <row r="82" spans="1:6" s="817" customFormat="1" ht="48">
      <c r="A82" s="821">
        <v>22</v>
      </c>
      <c r="B82" s="3384"/>
      <c r="C82" s="757" t="s">
        <v>658</v>
      </c>
      <c r="D82" s="757" t="s">
        <v>659</v>
      </c>
      <c r="E82" s="834">
        <v>0.2</v>
      </c>
      <c r="F82" s="821">
        <v>30</v>
      </c>
    </row>
    <row r="83" spans="1:6" s="817" customFormat="1" ht="48">
      <c r="A83" s="821">
        <v>23</v>
      </c>
      <c r="B83" s="3384"/>
      <c r="C83" s="757" t="s">
        <v>660</v>
      </c>
      <c r="D83" s="757" t="s">
        <v>661</v>
      </c>
      <c r="E83" s="834">
        <v>0.2</v>
      </c>
      <c r="F83" s="821">
        <v>30</v>
      </c>
    </row>
    <row r="84" spans="1:6" s="817" customFormat="1" ht="36">
      <c r="A84" s="821">
        <v>24</v>
      </c>
      <c r="B84" s="3384"/>
      <c r="C84" s="757" t="s">
        <v>662</v>
      </c>
      <c r="D84" s="757" t="s">
        <v>663</v>
      </c>
      <c r="E84" s="834">
        <v>0.2</v>
      </c>
      <c r="F84" s="821">
        <v>30</v>
      </c>
    </row>
    <row r="85" spans="1:6" s="817" customFormat="1" ht="36">
      <c r="A85" s="821">
        <v>25</v>
      </c>
      <c r="B85" s="3384"/>
      <c r="C85" s="757" t="s">
        <v>664</v>
      </c>
      <c r="D85" s="757" t="s">
        <v>665</v>
      </c>
      <c r="E85" s="834">
        <v>0.5</v>
      </c>
      <c r="F85" s="821">
        <v>80</v>
      </c>
    </row>
    <row r="86" spans="1:6" s="817" customFormat="1" ht="36">
      <c r="A86" s="821">
        <v>26</v>
      </c>
      <c r="B86" s="3384"/>
      <c r="C86" s="757" t="s">
        <v>666</v>
      </c>
      <c r="D86" s="757" t="s">
        <v>667</v>
      </c>
      <c r="E86" s="834">
        <v>0.2</v>
      </c>
      <c r="F86" s="821">
        <v>30</v>
      </c>
    </row>
    <row r="87" spans="1:6" s="817" customFormat="1" ht="36">
      <c r="A87" s="821">
        <v>27</v>
      </c>
      <c r="B87" s="3384"/>
      <c r="C87" s="757" t="s">
        <v>668</v>
      </c>
      <c r="D87" s="757" t="s">
        <v>669</v>
      </c>
      <c r="E87" s="834">
        <v>0.2</v>
      </c>
      <c r="F87" s="821">
        <v>30</v>
      </c>
    </row>
    <row r="88" spans="1:6" s="817" customFormat="1" ht="36">
      <c r="A88" s="821">
        <v>28</v>
      </c>
      <c r="B88" s="3384"/>
      <c r="C88" s="757" t="s">
        <v>670</v>
      </c>
      <c r="D88" s="757" t="s">
        <v>671</v>
      </c>
      <c r="E88" s="834">
        <v>0.2</v>
      </c>
      <c r="F88" s="821">
        <v>30</v>
      </c>
    </row>
    <row r="89" spans="1:6" s="817" customFormat="1" ht="24">
      <c r="A89" s="821">
        <v>29</v>
      </c>
      <c r="B89" s="3384"/>
      <c r="C89" s="757" t="s">
        <v>672</v>
      </c>
      <c r="D89" s="757" t="s">
        <v>673</v>
      </c>
      <c r="E89" s="834">
        <v>0.2</v>
      </c>
      <c r="F89" s="821">
        <v>30</v>
      </c>
    </row>
    <row r="90" spans="1:6" s="817" customFormat="1" ht="24">
      <c r="A90" s="821">
        <v>30</v>
      </c>
      <c r="B90" s="3384"/>
      <c r="C90" s="757" t="s">
        <v>674</v>
      </c>
      <c r="D90" s="757" t="s">
        <v>675</v>
      </c>
      <c r="E90" s="834">
        <v>0.2</v>
      </c>
      <c r="F90" s="821">
        <v>30</v>
      </c>
    </row>
    <row r="91" spans="1:6" s="817" customFormat="1" ht="36">
      <c r="A91" s="821">
        <v>31</v>
      </c>
      <c r="B91" s="3384"/>
      <c r="C91" s="757" t="s">
        <v>676</v>
      </c>
      <c r="D91" s="757" t="s">
        <v>677</v>
      </c>
      <c r="E91" s="834">
        <v>0.2</v>
      </c>
      <c r="F91" s="821">
        <v>30</v>
      </c>
    </row>
    <row r="92" spans="1:6" s="817" customFormat="1" ht="24">
      <c r="A92" s="821">
        <v>32</v>
      </c>
      <c r="B92" s="3384" t="s">
        <v>678</v>
      </c>
      <c r="C92" s="821" t="s">
        <v>679</v>
      </c>
      <c r="D92" s="757" t="s">
        <v>680</v>
      </c>
      <c r="E92" s="834">
        <v>0.2</v>
      </c>
      <c r="F92" s="821">
        <v>30</v>
      </c>
    </row>
    <row r="93" spans="1:6" s="817" customFormat="1" ht="36">
      <c r="A93" s="821">
        <v>33</v>
      </c>
      <c r="B93" s="3384"/>
      <c r="C93" s="821" t="s">
        <v>681</v>
      </c>
      <c r="D93" s="757" t="s">
        <v>682</v>
      </c>
      <c r="E93" s="834">
        <v>0.2</v>
      </c>
      <c r="F93" s="821">
        <v>30</v>
      </c>
    </row>
    <row r="94" spans="1:6" s="817" customFormat="1" ht="48">
      <c r="A94" s="821">
        <v>34</v>
      </c>
      <c r="B94" s="3384"/>
      <c r="C94" s="821" t="s">
        <v>683</v>
      </c>
      <c r="D94" s="757" t="s">
        <v>684</v>
      </c>
      <c r="E94" s="834">
        <v>0.2</v>
      </c>
      <c r="F94" s="821">
        <v>30</v>
      </c>
    </row>
    <row r="95" spans="1:6" s="817" customFormat="1" ht="36">
      <c r="A95" s="821">
        <v>35</v>
      </c>
      <c r="B95" s="3384"/>
      <c r="C95" s="821" t="s">
        <v>685</v>
      </c>
      <c r="D95" s="757" t="s">
        <v>686</v>
      </c>
      <c r="E95" s="834">
        <v>0.2</v>
      </c>
      <c r="F95" s="821">
        <v>30</v>
      </c>
    </row>
    <row r="96" spans="1:6" s="817" customFormat="1" ht="48">
      <c r="A96" s="821">
        <v>36</v>
      </c>
      <c r="B96" s="3384"/>
      <c r="C96" s="757" t="s">
        <v>687</v>
      </c>
      <c r="D96" s="757" t="s">
        <v>688</v>
      </c>
      <c r="E96" s="834">
        <v>0.2</v>
      </c>
      <c r="F96" s="821">
        <v>30</v>
      </c>
    </row>
    <row r="97" spans="1:6" s="817" customFormat="1" ht="36">
      <c r="A97" s="821">
        <v>37</v>
      </c>
      <c r="B97" s="3384"/>
      <c r="C97" s="821" t="s">
        <v>689</v>
      </c>
      <c r="D97" s="757" t="s">
        <v>690</v>
      </c>
      <c r="E97" s="834">
        <v>0.2</v>
      </c>
      <c r="F97" s="821">
        <v>30</v>
      </c>
    </row>
    <row r="98" spans="1:6" s="817" customFormat="1" ht="36">
      <c r="A98" s="821">
        <v>38</v>
      </c>
      <c r="B98" s="3384"/>
      <c r="C98" s="821" t="s">
        <v>691</v>
      </c>
      <c r="D98" s="757" t="s">
        <v>692</v>
      </c>
      <c r="E98" s="834">
        <v>0.2</v>
      </c>
      <c r="F98" s="821">
        <v>30</v>
      </c>
    </row>
    <row r="99" spans="1:6" s="817" customFormat="1" ht="36">
      <c r="A99" s="821">
        <v>39</v>
      </c>
      <c r="B99" s="3384" t="s">
        <v>693</v>
      </c>
      <c r="C99" s="821" t="s">
        <v>694</v>
      </c>
      <c r="D99" s="757" t="s">
        <v>695</v>
      </c>
      <c r="E99" s="834">
        <v>0.3</v>
      </c>
      <c r="F99" s="821">
        <v>50</v>
      </c>
    </row>
    <row r="100" spans="1:6" s="817" customFormat="1" ht="24">
      <c r="A100" s="821">
        <v>40</v>
      </c>
      <c r="B100" s="3384"/>
      <c r="C100" s="821" t="s">
        <v>696</v>
      </c>
      <c r="D100" s="757" t="s">
        <v>697</v>
      </c>
      <c r="E100" s="834">
        <v>0.2</v>
      </c>
      <c r="F100" s="821">
        <v>30</v>
      </c>
    </row>
    <row r="101" spans="1:6" s="817" customFormat="1" ht="36">
      <c r="A101" s="821">
        <v>41</v>
      </c>
      <c r="B101" s="338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4" t="s">
        <v>708</v>
      </c>
      <c r="C105" s="821" t="s">
        <v>709</v>
      </c>
      <c r="D105" s="757" t="s">
        <v>710</v>
      </c>
      <c r="E105" s="834">
        <v>0.2</v>
      </c>
      <c r="F105" s="821">
        <v>30</v>
      </c>
    </row>
    <row r="106" spans="1:6" s="817" customFormat="1" ht="36">
      <c r="A106" s="821">
        <v>46</v>
      </c>
      <c r="B106" s="3384"/>
      <c r="C106" s="821" t="s">
        <v>711</v>
      </c>
      <c r="D106" s="757" t="s">
        <v>712</v>
      </c>
      <c r="E106" s="834">
        <v>0.2</v>
      </c>
      <c r="F106" s="821">
        <v>30</v>
      </c>
    </row>
    <row r="107" spans="1:6" s="817" customFormat="1" ht="36">
      <c r="A107" s="821">
        <v>47</v>
      </c>
      <c r="B107" s="3384" t="s">
        <v>713</v>
      </c>
      <c r="C107" s="821" t="s">
        <v>714</v>
      </c>
      <c r="D107" s="757" t="s">
        <v>715</v>
      </c>
      <c r="E107" s="834">
        <v>0.3</v>
      </c>
      <c r="F107" s="821">
        <v>50</v>
      </c>
    </row>
    <row r="108" spans="1:6" s="817" customFormat="1" ht="36">
      <c r="A108" s="821">
        <v>48</v>
      </c>
      <c r="B108" s="338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4" t="s">
        <v>724</v>
      </c>
      <c r="C111" s="821" t="s">
        <v>725</v>
      </c>
      <c r="D111" s="757" t="s">
        <v>726</v>
      </c>
      <c r="E111" s="834">
        <v>0.2</v>
      </c>
      <c r="F111" s="821">
        <v>30</v>
      </c>
    </row>
    <row r="112" spans="1:6" s="817" customFormat="1" ht="24">
      <c r="A112" s="821">
        <v>52</v>
      </c>
      <c r="B112" s="3384"/>
      <c r="C112" s="821" t="s">
        <v>727</v>
      </c>
      <c r="D112" s="757" t="s">
        <v>728</v>
      </c>
      <c r="E112" s="834">
        <v>0.2</v>
      </c>
      <c r="F112" s="821">
        <v>30</v>
      </c>
    </row>
    <row r="113" spans="1:6" s="817" customFormat="1" ht="24">
      <c r="A113" s="821">
        <v>53</v>
      </c>
      <c r="B113" s="338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4" t="s">
        <v>737</v>
      </c>
      <c r="C116" s="821" t="s">
        <v>738</v>
      </c>
      <c r="D116" s="757" t="s">
        <v>739</v>
      </c>
      <c r="E116" s="834">
        <v>0.2</v>
      </c>
      <c r="F116" s="821">
        <v>30</v>
      </c>
    </row>
    <row r="117" spans="1:6" ht="36">
      <c r="A117" s="821">
        <v>57</v>
      </c>
      <c r="B117" s="338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2.1312000000000002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2820</v>
      </c>
      <c r="B1" s="2363"/>
      <c r="C1" s="2363"/>
      <c r="D1" s="2363"/>
      <c r="E1" s="2363"/>
      <c r="F1" s="3022"/>
      <c r="G1" s="3022"/>
      <c r="H1" s="3022"/>
      <c r="I1" s="3022"/>
      <c r="J1" s="3022"/>
      <c r="K1" s="3022"/>
      <c r="L1" s="3022"/>
      <c r="M1" s="3022"/>
      <c r="N1" s="3022"/>
      <c r="O1" s="3022"/>
      <c r="P1" s="3022"/>
    </row>
    <row r="2" spans="1:16" ht="15.75">
      <c r="A2" s="2361" t="s">
        <v>2812</v>
      </c>
      <c r="B2" s="2826">
        <f ca="1">SUMIF(B6:B13,"&lt;&gt;#ref!",B6:B13)</f>
        <v>20126</v>
      </c>
      <c r="C2" s="2361" t="s">
        <v>2813</v>
      </c>
      <c r="D2" s="2361" t="s">
        <v>2814</v>
      </c>
      <c r="E2" s="2836">
        <f ca="1">SUMIF(E6:E13,"&lt;&gt;#ref!",E6:E13)</f>
        <v>12608.400000000001</v>
      </c>
      <c r="F2" s="3022"/>
      <c r="G2" s="3022"/>
      <c r="H2" s="3022"/>
      <c r="I2" s="3022"/>
      <c r="J2" s="3022"/>
      <c r="K2" s="3022"/>
      <c r="L2" s="3022"/>
      <c r="M2" s="3022"/>
      <c r="N2" s="3022"/>
      <c r="O2" s="3022"/>
      <c r="P2" s="3022"/>
    </row>
    <row r="3" spans="1:16" ht="15.75">
      <c r="A3" s="2361" t="s">
        <v>2815</v>
      </c>
      <c r="B3" s="2826">
        <f ca="1">ROUND(B2*10000/E2,0)</f>
        <v>15962</v>
      </c>
      <c r="C3" s="2361"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2"/>
      <c r="D5" s="3022"/>
      <c r="E5" s="2835" t="s">
        <v>2818</v>
      </c>
      <c r="F5" s="3022"/>
      <c r="G5" s="3022"/>
      <c r="H5" s="3022"/>
      <c r="I5" s="3022"/>
      <c r="J5" s="3022"/>
      <c r="K5" s="3022"/>
      <c r="L5" s="3022"/>
      <c r="M5" s="3022"/>
      <c r="N5" s="3022"/>
      <c r="O5" s="3022"/>
      <c r="P5" s="3022"/>
    </row>
    <row r="6" spans="1:16" ht="15.75">
      <c r="A6" s="2833" t="s">
        <v>2819</v>
      </c>
      <c r="B6" s="2826">
        <f ca="1">SUMIF(INDIRECT("'"&amp;A6&amp;"'"&amp;"!A:A"),"总价",INDIRECT("'"&amp;A6&amp;"'"&amp;"!B:B"))</f>
        <v>20126</v>
      </c>
      <c r="C6" s="2361" t="s">
        <v>2813</v>
      </c>
      <c r="D6" s="3022"/>
      <c r="E6" s="2836">
        <f ca="1">SUMIF(INDIRECT("'"&amp;A6&amp;"'"&amp;"!C:C"),"建筑面积",INDIRECT("'"&amp;A6&amp;"'"&amp;"!D:D"))</f>
        <v>12608.400000000001</v>
      </c>
      <c r="F6" s="3022"/>
      <c r="G6" s="3022"/>
      <c r="H6" s="3022"/>
      <c r="I6" s="3022"/>
      <c r="J6" s="3022"/>
      <c r="K6" s="3022"/>
      <c r="L6" s="3022"/>
      <c r="M6" s="3022"/>
      <c r="N6" s="3022"/>
      <c r="O6" s="3022"/>
      <c r="P6" s="3022"/>
    </row>
    <row r="7" spans="1:16" ht="15.75">
      <c r="A7" s="2833"/>
      <c r="B7" s="2826" t="e">
        <f ca="1">SUMIF(INDIRECT("'"&amp;A7&amp;"'"&amp;"!A:A"),"总价",INDIRECT("'"&amp;A7&amp;"'"&amp;"!B:B"))</f>
        <v>#REF!</v>
      </c>
      <c r="C7" s="2361"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I7" sqref="I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0" t="s">
        <v>1117</v>
      </c>
      <c r="C1" s="3390"/>
      <c r="D1" s="3390"/>
      <c r="E1" s="3390"/>
      <c r="F1" s="3390"/>
      <c r="G1" s="3389" t="s">
        <v>1118</v>
      </c>
      <c r="H1" s="3389"/>
      <c r="I1" s="3389"/>
      <c r="J1" s="3389"/>
      <c r="K1" s="3389"/>
      <c r="L1" s="3389"/>
      <c r="N1" s="3389" t="s">
        <v>1119</v>
      </c>
      <c r="O1" s="3389"/>
      <c r="P1" s="3389"/>
      <c r="Q1" s="3389"/>
      <c r="S1" s="3389" t="s">
        <v>1120</v>
      </c>
      <c r="T1" s="3389"/>
      <c r="U1" s="3389"/>
      <c r="V1" s="3389"/>
      <c r="X1" s="3388" t="s">
        <v>1121</v>
      </c>
      <c r="Y1" s="3389"/>
      <c r="Z1" s="3389"/>
      <c r="AA1" s="3389"/>
      <c r="AB1" s="3389"/>
      <c r="AD1" s="3388" t="s">
        <v>1122</v>
      </c>
      <c r="AE1" s="3389"/>
      <c r="AF1" s="3389"/>
      <c r="AG1" s="3389"/>
      <c r="AH1" s="338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2853</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3061</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58">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2854</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3060</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58">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3059</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2">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3057</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1">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3056</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38">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2870</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2868</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2867</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2866</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2864</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2862</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2865</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86">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2860</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86"/>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2859</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86"/>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2852</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395"/>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2850</v>
      </c>
      <c r="B20" s="2438">
        <v>439</v>
      </c>
      <c r="C20" s="2438">
        <v>327</v>
      </c>
      <c r="D20" s="2438">
        <f>C20</f>
        <v>327</v>
      </c>
      <c r="E20" s="2438">
        <v>627</v>
      </c>
      <c r="F20" s="2439">
        <v>283</v>
      </c>
      <c r="G20" s="3391">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2851</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86"/>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86"/>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395"/>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91">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86"/>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86"/>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87"/>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85">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86"/>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86"/>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87"/>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85">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86"/>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86"/>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87"/>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392">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393"/>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393"/>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394"/>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85">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86"/>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86"/>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387"/>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85">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86">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86">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87">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85">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86">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86">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87">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85">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86">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86">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87">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85">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86">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86">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87">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85">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86">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86">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87">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85">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86">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86">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87">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85">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86">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86">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87">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85">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86">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86">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87">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85">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86">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86">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387">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85">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86">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86">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387">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v>
      </c>
      <c r="B3" s="3073"/>
      <c r="C3" s="3073"/>
      <c r="D3" s="3073"/>
      <c r="E3" s="3073"/>
    </row>
    <row r="4" spans="1:5" ht="19.5" thickBot="1">
      <c r="A4" s="1678"/>
      <c r="B4" s="3071" t="s">
        <v>1594</v>
      </c>
      <c r="C4" s="3071"/>
      <c r="D4" s="3071"/>
      <c r="E4" s="1678"/>
    </row>
    <row r="5" spans="1:5" ht="16.5" thickTop="1">
      <c r="A5" s="1676"/>
      <c r="B5" s="3069" t="s">
        <v>1586</v>
      </c>
      <c r="C5" s="1679" t="s">
        <v>1587</v>
      </c>
      <c r="D5" s="959">
        <f ca="1">结果表!H101</f>
        <v>24534</v>
      </c>
      <c r="E5" s="1676"/>
    </row>
    <row r="6" spans="1:5" ht="15.75">
      <c r="A6" s="1676"/>
      <c r="B6" s="3069"/>
      <c r="C6" s="1679" t="s">
        <v>1588</v>
      </c>
      <c r="D6" s="959" t="str">
        <f ca="1">NUMBERSTRING(INT(D5*10000),2)&amp;"元整"</f>
        <v>贰亿肆仟伍佰叁拾肆万元整</v>
      </c>
      <c r="E6" s="1676"/>
    </row>
    <row r="7" spans="1:5" ht="15.75">
      <c r="A7" s="1676"/>
      <c r="B7" s="3074"/>
      <c r="C7" s="1680" t="s">
        <v>1589</v>
      </c>
      <c r="D7" s="960">
        <f ca="1">结果表!H102</f>
        <v>19458</v>
      </c>
      <c r="E7" s="1676"/>
    </row>
    <row r="8" spans="1:5" ht="15.75">
      <c r="A8" s="1676"/>
      <c r="B8" s="3075" t="str">
        <f>结果表!E103</f>
        <v>2.估价师知悉的法定优先受偿款</v>
      </c>
      <c r="C8" s="1681" t="s">
        <v>1590</v>
      </c>
      <c r="D8" s="960">
        <f>结果表!H103</f>
        <v>0</v>
      </c>
      <c r="E8" s="1676"/>
    </row>
    <row r="9" spans="1:5" ht="15.75">
      <c r="A9" s="1676"/>
      <c r="B9" s="3077"/>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068" t="str">
        <f>结果表!E107</f>
        <v>3.房地产抵押价值</v>
      </c>
      <c r="C13" s="1684" t="s">
        <v>1587</v>
      </c>
      <c r="D13" s="962">
        <f ca="1">结果表!H107</f>
        <v>24534</v>
      </c>
      <c r="E13" s="1676"/>
    </row>
    <row r="14" spans="1:5" ht="15.75">
      <c r="A14" s="1676"/>
      <c r="B14" s="3069"/>
      <c r="C14" s="1679" t="s">
        <v>1588</v>
      </c>
      <c r="D14" s="959" t="str">
        <f ca="1">NUMBERSTRING(INT(D13*10000),2)&amp;"元整"</f>
        <v>贰亿肆仟伍佰叁拾肆万元整</v>
      </c>
      <c r="E14" s="1676"/>
    </row>
    <row r="15" spans="1:5" ht="15">
      <c r="A15" s="1676"/>
      <c r="B15" s="3074"/>
      <c r="C15" s="1680" t="s">
        <v>1598</v>
      </c>
      <c r="D15" s="968">
        <f ca="1">结果表!H108</f>
        <v>19458</v>
      </c>
      <c r="E15" s="1676"/>
    </row>
    <row r="16" spans="1:5" ht="15">
      <c r="A16" s="1676"/>
      <c r="B16" s="3075" t="str">
        <f>结果表!E109</f>
        <v>——</v>
      </c>
      <c r="C16" s="1684" t="s">
        <v>1599</v>
      </c>
      <c r="D16" s="1685" t="str">
        <f>结果表!H109</f>
        <v>——</v>
      </c>
      <c r="E16" s="1676"/>
    </row>
    <row r="17" spans="1:5" ht="15.75">
      <c r="A17" s="1676"/>
      <c r="B17" s="3076"/>
      <c r="C17" s="1679" t="s">
        <v>1600</v>
      </c>
      <c r="D17" s="959" t="e">
        <f>NUMBERSTRING(INT(D16*10000),2)&amp;"元整"</f>
        <v>#VALUE!</v>
      </c>
      <c r="E17" s="1676"/>
    </row>
    <row r="18" spans="1:5" ht="15">
      <c r="A18" s="1676"/>
      <c r="B18" s="3077"/>
      <c r="C18" s="1680" t="s">
        <v>1589</v>
      </c>
      <c r="D18" s="968" t="str">
        <f>结果表!H110</f>
        <v>——</v>
      </c>
      <c r="E18" s="1676"/>
    </row>
    <row r="19" spans="1:5" ht="15.75">
      <c r="A19" s="1676"/>
      <c r="B19" s="3068" t="str">
        <f>结果表!E111</f>
        <v>——</v>
      </c>
      <c r="C19" s="1684" t="s">
        <v>1587</v>
      </c>
      <c r="D19" s="960" t="str">
        <f>结果表!H111</f>
        <v>——</v>
      </c>
      <c r="E19" s="1676"/>
    </row>
    <row r="20" spans="1:5" ht="15.75">
      <c r="A20" s="1676"/>
      <c r="B20" s="3069"/>
      <c r="C20" s="1679" t="s">
        <v>1600</v>
      </c>
      <c r="D20" s="959" t="e">
        <f>NUMBERSTRING(INT(D19*10000),2)&amp;"元整"</f>
        <v>#VALUE!</v>
      </c>
      <c r="E20" s="1676"/>
    </row>
    <row r="21" spans="1:5" ht="15.75" thickBot="1">
      <c r="A21" s="1676"/>
      <c r="B21" s="3070"/>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7" sqref="I7"/>
      <selection pane="bottomLeft" activeCell="I7" sqref="I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99" t="s">
        <v>2823</v>
      </c>
      <c r="D1" s="3400"/>
      <c r="E1" s="3400"/>
      <c r="F1" s="3400"/>
      <c r="G1" s="3400"/>
      <c r="H1" s="3400"/>
      <c r="I1" s="3400"/>
      <c r="J1" s="3400"/>
      <c r="K1" s="3400"/>
      <c r="L1" s="3400"/>
      <c r="M1" s="3400"/>
      <c r="N1" s="3400"/>
      <c r="O1" s="3400"/>
      <c r="P1" s="3400"/>
      <c r="Q1" s="3400"/>
      <c r="R1" s="3400"/>
      <c r="S1" s="3401"/>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7"/>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96" t="s">
        <v>33</v>
      </c>
      <c r="D22" s="3397"/>
      <c r="E22" s="3397"/>
      <c r="F22" s="3397"/>
      <c r="G22" s="3397"/>
      <c r="H22" s="3397"/>
      <c r="I22" s="3397"/>
      <c r="J22" s="3397"/>
      <c r="K22" s="3397"/>
      <c r="L22" s="3397"/>
      <c r="M22" s="3397"/>
      <c r="N22" s="3397"/>
      <c r="O22" s="3397"/>
      <c r="P22" s="3397"/>
      <c r="Q22" s="3398"/>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31140</v>
      </c>
      <c r="C2" s="2" t="s">
        <v>133</v>
      </c>
      <c r="D2" s="205"/>
      <c r="E2" s="205"/>
      <c r="F2" s="205"/>
      <c r="G2" s="205"/>
    </row>
    <row r="3" spans="1:7" s="206" customFormat="1" ht="18" customHeight="1" thickBot="1">
      <c r="A3" s="209" t="s">
        <v>85</v>
      </c>
      <c r="B3" s="210">
        <f ca="1">ROUND(B2*10000/'数据-汇总表'!E3,0)</f>
        <v>24698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240</v>
      </c>
      <c r="D10" s="954">
        <f>'数据-汇总表'!E6</f>
        <v>12608.400000000001</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252</v>
      </c>
      <c r="D19" s="958">
        <f>'数据-汇总表'!E3</f>
        <v>12608.400000000001</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917</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3192</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3192</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27470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3546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3152</v>
      </c>
      <c r="D34" s="223"/>
      <c r="E34" s="226"/>
      <c r="F34" s="263">
        <f>IF('数据-取费表'!B24=0,1,'数据-取费表'!N16)</f>
        <v>1</v>
      </c>
      <c r="G34" s="225" t="s">
        <v>116</v>
      </c>
    </row>
    <row r="35" spans="1:7" ht="13.5" customHeight="1">
      <c r="A35" s="888" t="s">
        <v>796</v>
      </c>
      <c r="B35" s="221" t="s">
        <v>60</v>
      </c>
      <c r="C35" s="226">
        <f>ROUND(C34*F35,0)</f>
        <v>95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252</v>
      </c>
      <c r="D37" s="223">
        <f>'数据-汇总表'!E3</f>
        <v>12608.400000000001</v>
      </c>
      <c r="E37" s="255">
        <f>'数据-取费表'!B35</f>
        <v>200</v>
      </c>
      <c r="F37" s="265"/>
      <c r="G37" s="267" t="s">
        <v>119</v>
      </c>
    </row>
    <row r="38" spans="1:7" ht="13.5" customHeight="1">
      <c r="A38" s="888" t="s">
        <v>799</v>
      </c>
      <c r="B38" s="221" t="s">
        <v>63</v>
      </c>
      <c r="C38" s="226">
        <f>ROUND(C34*F38,0)</f>
        <v>47</v>
      </c>
      <c r="D38" s="226"/>
      <c r="E38" s="226"/>
      <c r="F38" s="265">
        <f>'数据-取费表'!B36</f>
        <v>1.4999999999999999E-2</v>
      </c>
      <c r="G38" s="225" t="s">
        <v>117</v>
      </c>
    </row>
    <row r="39" spans="1:7" s="220" customFormat="1" ht="13.5" customHeight="1">
      <c r="A39" s="885" t="s">
        <v>783</v>
      </c>
      <c r="B39" s="216" t="s">
        <v>104</v>
      </c>
      <c r="C39" s="238">
        <f>ROUND(C33*F20,0)</f>
        <v>71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79</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77</v>
      </c>
      <c r="D42" s="244"/>
      <c r="E42" s="244"/>
      <c r="F42" s="245"/>
      <c r="G42" s="3256" t="s">
        <v>121</v>
      </c>
    </row>
    <row r="43" spans="1:7" ht="13.5" customHeight="1">
      <c r="A43" s="888" t="s">
        <v>792</v>
      </c>
      <c r="B43" s="221" t="s">
        <v>1032</v>
      </c>
      <c r="C43" s="244">
        <f ca="1">ROUND(IF('数据-取费表'!B22&lt;=1,C39*F22*'数据-取费表'!B21/2,C39*(POWER((1+F22),'数据-取费表'!B21/2)-1)),0)</f>
        <v>2</v>
      </c>
      <c r="D43" s="244"/>
      <c r="E43" s="244"/>
      <c r="F43" s="245"/>
      <c r="G43" s="3257"/>
    </row>
    <row r="44" spans="1:7" ht="13.5" customHeight="1">
      <c r="A44" s="888" t="s">
        <v>793</v>
      </c>
      <c r="B44" s="221" t="s">
        <v>1034</v>
      </c>
      <c r="C44" s="244">
        <f ca="1">ROUND(IF('数据-取费表'!B22&lt;=1,C40*F22*'数据-取费表'!B21/2,C40*(POWER((1+F22),'数据-取费表'!B21/2)-1)),4)</f>
        <v>4.0000000000000002E-4</v>
      </c>
      <c r="D44" s="244"/>
      <c r="E44" s="244"/>
      <c r="F44" s="245"/>
      <c r="G44" s="3258"/>
    </row>
    <row r="45" spans="1:7" s="220" customFormat="1" ht="13.5" customHeight="1">
      <c r="A45" s="885" t="s">
        <v>786</v>
      </c>
      <c r="B45" s="250" t="s">
        <v>112</v>
      </c>
      <c r="C45" s="251">
        <f>C46</f>
        <v>543</v>
      </c>
      <c r="D45" s="241">
        <f>C47</f>
        <v>3.0000000000000001E-3</v>
      </c>
      <c r="E45" s="242" t="s">
        <v>129</v>
      </c>
      <c r="F45" s="252"/>
      <c r="G45" s="253" t="s">
        <v>1040</v>
      </c>
    </row>
    <row r="46" spans="1:7" s="220" customFormat="1" ht="13.5" customHeight="1">
      <c r="A46" s="888" t="s">
        <v>794</v>
      </c>
      <c r="B46" s="254" t="s">
        <v>1033</v>
      </c>
      <c r="C46" s="255">
        <f>ROUND((C33+C39)*F27,0)</f>
        <v>543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4587</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3670</v>
      </c>
      <c r="D51" s="238"/>
      <c r="E51" s="238"/>
      <c r="F51" s="270"/>
      <c r="G51" s="240" t="s">
        <v>64</v>
      </c>
    </row>
    <row r="52" spans="1:7" s="214" customFormat="1" ht="16.5" thickBot="1">
      <c r="A52" s="271" t="s">
        <v>65</v>
      </c>
      <c r="B52" s="272"/>
      <c r="C52" s="273">
        <f ca="1">C31+C51</f>
        <v>31140</v>
      </c>
      <c r="D52" s="272"/>
      <c r="E52" s="272"/>
      <c r="F52" s="272"/>
      <c r="G52" s="274"/>
    </row>
    <row r="55" spans="1:7" ht="15">
      <c r="B55" s="276" t="s">
        <v>66</v>
      </c>
      <c r="C55" s="277"/>
    </row>
    <row r="56" spans="1:7">
      <c r="B56" s="279" t="s">
        <v>67</v>
      </c>
      <c r="C56" s="280">
        <f ca="1">ROUND(C51/C52,3)</f>
        <v>0.11799999999999999</v>
      </c>
    </row>
    <row r="57" spans="1:7">
      <c r="B57" s="279" t="s">
        <v>68</v>
      </c>
      <c r="C57" s="281">
        <f ca="1">1-C56</f>
        <v>0.88200000000000001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2" t="s">
        <v>156</v>
      </c>
      <c r="B1" s="3402"/>
      <c r="C1" s="3402"/>
      <c r="D1" s="3402"/>
      <c r="E1" s="3402"/>
      <c r="F1" s="340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3" t="s">
        <v>169</v>
      </c>
      <c r="B2" s="3403"/>
      <c r="C2" s="3403"/>
      <c r="D2" s="3403"/>
      <c r="E2" s="3403"/>
      <c r="F2" s="340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2" t="s">
        <v>839</v>
      </c>
      <c r="B1" s="340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I7" sqref="I7"/>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44434</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3058</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N27" sqref="N27"/>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7" t="str">
        <f>IF(项目基本情况!B9="房地产市场价值","估价结果一览表","结果表-2")</f>
        <v>结果表-2</v>
      </c>
      <c r="B1" s="3087"/>
      <c r="C1" s="3087"/>
      <c r="D1" s="3087"/>
      <c r="E1" s="3087"/>
      <c r="F1" s="3087"/>
      <c r="G1" s="3087"/>
      <c r="H1" s="3087"/>
      <c r="I1" s="3087"/>
    </row>
    <row r="2" spans="1:9" ht="30" customHeight="1" thickTop="1">
      <c r="A2" s="3088" t="s">
        <v>1605</v>
      </c>
      <c r="B2" s="3088" t="s">
        <v>1606</v>
      </c>
      <c r="C2" s="3088" t="s">
        <v>1607</v>
      </c>
      <c r="D2" s="3088" t="str">
        <f>结果表!D116</f>
        <v>出让国有建设用地使用权价值</v>
      </c>
      <c r="E2" s="3088"/>
      <c r="F2" s="3088" t="str">
        <f>结果表!F116</f>
        <v>在建建筑物价值</v>
      </c>
      <c r="G2" s="3088"/>
      <c r="H2" s="3088" t="str">
        <f>IF(项目基本情况!B9="房地产市场价值","房地产市场价值","房地产价值")</f>
        <v>房地产价值</v>
      </c>
      <c r="I2" s="3088"/>
    </row>
    <row r="3" spans="1:9" ht="15">
      <c r="A3" s="3082"/>
      <c r="B3" s="3082"/>
      <c r="C3" s="3082"/>
      <c r="D3" s="963" t="s">
        <v>1602</v>
      </c>
      <c r="E3" s="963" t="s">
        <v>1608</v>
      </c>
      <c r="F3" s="963" t="s">
        <v>1602</v>
      </c>
      <c r="G3" s="963" t="s">
        <v>1603</v>
      </c>
      <c r="H3" s="963" t="s">
        <v>1602</v>
      </c>
      <c r="I3" s="963" t="s">
        <v>1603</v>
      </c>
    </row>
    <row r="4" spans="1:9" ht="30">
      <c r="A4" s="1690" t="str">
        <f>项目基本情况!S2</f>
        <v>北京市房山区昊天北大街9号院1号楼房地产</v>
      </c>
      <c r="B4" s="963">
        <f>项目基本情况!C17</f>
        <v>12608.400000000001</v>
      </c>
      <c r="C4" s="963">
        <f>项目基本情况!C18</f>
        <v>19918.64</v>
      </c>
      <c r="D4" s="963">
        <f ca="1">结果表!D118</f>
        <v>21664</v>
      </c>
      <c r="E4" s="963">
        <f ca="1">结果表!E118</f>
        <v>17182</v>
      </c>
      <c r="F4" s="963">
        <f ca="1">结果表!F118</f>
        <v>2870</v>
      </c>
      <c r="G4" s="963">
        <f ca="1">结果表!G118</f>
        <v>2276</v>
      </c>
      <c r="H4" s="963">
        <f ca="1">结果表!H118</f>
        <v>24534</v>
      </c>
      <c r="I4" s="963">
        <f ca="1">结果表!I118</f>
        <v>19458</v>
      </c>
    </row>
    <row r="5" spans="1:9" ht="30" customHeight="1">
      <c r="A5" s="3082" t="s">
        <v>1604</v>
      </c>
      <c r="B5" s="3082"/>
      <c r="C5" s="3082"/>
      <c r="D5" s="3083" t="str">
        <f ca="1">结果表!D119</f>
        <v>贰亿壹仟陆佰陆拾肆万元整</v>
      </c>
      <c r="E5" s="3083"/>
      <c r="F5" s="3083" t="str">
        <f ca="1">结果表!F119</f>
        <v>贰仟捌佰柒拾万元整</v>
      </c>
      <c r="G5" s="3083"/>
      <c r="H5" s="3083" t="str">
        <f ca="1">结果表!H119</f>
        <v>贰亿肆仟伍佰叁拾肆万元整</v>
      </c>
      <c r="I5" s="3083"/>
    </row>
    <row r="6" spans="1:9" ht="15.75">
      <c r="A6" s="3081" t="str">
        <f>结果表!A120</f>
        <v>估价师知悉的法定优先受偿款</v>
      </c>
      <c r="B6" s="3081"/>
      <c r="C6" s="3081"/>
      <c r="D6" s="3081">
        <f>结果表!D120</f>
        <v>0</v>
      </c>
      <c r="E6" s="3081"/>
      <c r="F6" s="3081"/>
      <c r="G6" s="3081"/>
      <c r="H6" s="3081"/>
      <c r="I6" s="3081"/>
    </row>
    <row r="7" spans="1:9" ht="15">
      <c r="A7" s="3082" t="s">
        <v>1604</v>
      </c>
      <c r="B7" s="3082"/>
      <c r="C7" s="3082"/>
      <c r="D7" s="3084" t="str">
        <f>结果表!D121</f>
        <v>零元整</v>
      </c>
      <c r="E7" s="3085"/>
      <c r="F7" s="3085"/>
      <c r="G7" s="3085"/>
      <c r="H7" s="3085"/>
      <c r="I7" s="3086"/>
    </row>
    <row r="8" spans="1:9" ht="15.75">
      <c r="A8" s="3081" t="str">
        <f>结果表!A122</f>
        <v>房地产抵押价值</v>
      </c>
      <c r="B8" s="3081"/>
      <c r="C8" s="3081"/>
      <c r="D8" s="3081">
        <f ca="1">结果表!D122</f>
        <v>24534</v>
      </c>
      <c r="E8" s="3081"/>
      <c r="F8" s="3081"/>
      <c r="G8" s="3081"/>
      <c r="H8" s="3081"/>
      <c r="I8" s="3081"/>
    </row>
    <row r="9" spans="1:9" ht="15">
      <c r="A9" s="3082" t="s">
        <v>1604</v>
      </c>
      <c r="B9" s="3082"/>
      <c r="C9" s="3082"/>
      <c r="D9" s="3083" t="str">
        <f ca="1">结果表!D123</f>
        <v>贰亿肆仟伍佰叁拾肆万元整</v>
      </c>
      <c r="E9" s="3083"/>
      <c r="F9" s="3083"/>
      <c r="G9" s="3083"/>
      <c r="H9" s="3083"/>
      <c r="I9" s="3083"/>
    </row>
    <row r="10" spans="1:9" ht="15.75">
      <c r="A10" s="3081" t="str">
        <f>结果表!A124</f>
        <v/>
      </c>
      <c r="B10" s="3081"/>
      <c r="C10" s="3081"/>
      <c r="D10" s="3081" t="str">
        <f>结果表!D124</f>
        <v>——</v>
      </c>
      <c r="E10" s="3081"/>
      <c r="F10" s="3081"/>
      <c r="G10" s="3081"/>
      <c r="H10" s="3081"/>
      <c r="I10" s="3081"/>
    </row>
    <row r="11" spans="1:9" ht="15">
      <c r="A11" s="3082" t="s">
        <v>1604</v>
      </c>
      <c r="B11" s="3082"/>
      <c r="C11" s="3082"/>
      <c r="D11" s="3083" t="e">
        <f>结果表!D125</f>
        <v>#VALUE!</v>
      </c>
      <c r="E11" s="3083"/>
      <c r="F11" s="3083"/>
      <c r="G11" s="3083"/>
      <c r="H11" s="3083"/>
      <c r="I11" s="3083"/>
    </row>
    <row r="12" spans="1:9" ht="15.75">
      <c r="A12" s="3081" t="str">
        <f>结果表!A126</f>
        <v/>
      </c>
      <c r="B12" s="3081"/>
      <c r="C12" s="3081"/>
      <c r="D12" s="3081" t="str">
        <f>结果表!D126</f>
        <v>——</v>
      </c>
      <c r="E12" s="3081"/>
      <c r="F12" s="3081"/>
      <c r="G12" s="3081"/>
      <c r="H12" s="3081"/>
      <c r="I12" s="3081"/>
    </row>
    <row r="13" spans="1:9" ht="15.75" thickBot="1">
      <c r="A13" s="3078" t="s">
        <v>1604</v>
      </c>
      <c r="B13" s="3078"/>
      <c r="C13" s="3078"/>
      <c r="D13" s="3079" t="e">
        <f>结果表!D127</f>
        <v>#VALUE!</v>
      </c>
      <c r="E13" s="3079"/>
      <c r="F13" s="3079"/>
      <c r="G13" s="3079"/>
      <c r="H13" s="3079"/>
      <c r="I13" s="3079"/>
    </row>
    <row r="14" spans="1:9" ht="15" thickTop="1">
      <c r="A14" s="3080" t="s">
        <v>1609</v>
      </c>
      <c r="B14" s="3080"/>
      <c r="C14" s="3080"/>
      <c r="D14" s="3080"/>
      <c r="E14" s="3080"/>
      <c r="F14" s="3080"/>
      <c r="G14" s="3080"/>
      <c r="H14" s="3080"/>
      <c r="I14" s="3080"/>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5" t="s">
        <v>1626</v>
      </c>
      <c r="B1" s="3095"/>
      <c r="C1" s="3095"/>
      <c r="D1" s="3095"/>
    </row>
    <row r="2" spans="1:4" ht="18">
      <c r="A2" s="3096" t="s">
        <v>1610</v>
      </c>
      <c r="B2" s="3096"/>
      <c r="C2" s="3096"/>
      <c r="D2" s="3096"/>
    </row>
    <row r="3" spans="1:4" ht="18.75">
      <c r="A3" s="1694" t="s">
        <v>1611</v>
      </c>
      <c r="B3" s="1694" t="s">
        <v>1612</v>
      </c>
      <c r="C3" s="1694" t="s">
        <v>1613</v>
      </c>
      <c r="D3" s="1694" t="s">
        <v>1614</v>
      </c>
    </row>
    <row r="4" spans="1:4" ht="56.25" customHeight="1">
      <c r="A4" s="1695" t="str">
        <f>项目基本情况!B4</f>
        <v>崔锴</v>
      </c>
      <c r="B4" s="1696">
        <f ca="1">项目基本情况!C4</f>
        <v>1120100036</v>
      </c>
      <c r="C4" s="1697"/>
      <c r="D4" s="1698" t="s">
        <v>1615</v>
      </c>
    </row>
    <row r="5" spans="1:4" ht="56.25" customHeight="1">
      <c r="A5" s="1695" t="str">
        <f>项目基本情况!D4</f>
        <v>郑燚</v>
      </c>
      <c r="B5" s="1696">
        <f ca="1">项目基本情况!E4</f>
        <v>1120070131</v>
      </c>
      <c r="C5" s="1699"/>
      <c r="D5" s="1698" t="s">
        <v>1615</v>
      </c>
    </row>
    <row r="6" spans="1:4" ht="18">
      <c r="A6" s="3096" t="s">
        <v>1616</v>
      </c>
      <c r="B6" s="3096"/>
      <c r="C6" s="3096"/>
      <c r="D6" s="3096"/>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097" t="s">
        <v>1619</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89" t="str">
        <f>IF(项目基本情况!B8="抵押","4.本次评估估价师所知悉的法定优先受偿款情况说明如下：","——")</f>
        <v>4.本次评估估价师所知悉的法定优先受偿款情况说明如下：</v>
      </c>
      <c r="B14" s="3094"/>
      <c r="C14" s="3094"/>
      <c r="D14" s="3094"/>
    </row>
    <row r="15" spans="1:4" ht="42" customHeight="1">
      <c r="A15" s="3089" t="str">
        <f>IF(项目基本情况!B8="抵押","（1）"&amp;CONCATENATE(项目基本情况!L20,项目基本情况!L21,项目基本情况!L22),"——")</f>
        <v>（1）根据估价对象《房屋所有权证》复印件、《国有土地使用权》复印件，截至价值时点，估价对象抵押权未见登记。</v>
      </c>
      <c r="B15" s="3089"/>
      <c r="C15" s="3089"/>
      <c r="D15" s="3089"/>
    </row>
    <row r="16" spans="1:4" ht="30" customHeight="1">
      <c r="A16" s="3091" t="s">
        <v>1620</v>
      </c>
      <c r="B16" s="3091"/>
      <c r="C16" s="3091"/>
      <c r="D16" s="3091"/>
    </row>
    <row r="17" spans="1:4" ht="144" customHeight="1">
      <c r="A17" s="3091" t="s">
        <v>1621</v>
      </c>
      <c r="B17" s="3091"/>
      <c r="C17" s="3091"/>
      <c r="D17" s="3091"/>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2"/>
      <c r="C21" s="3092"/>
      <c r="D21" s="3092"/>
    </row>
    <row r="22" spans="1:4" ht="18.75" customHeight="1">
      <c r="A22" s="3093" t="s">
        <v>1622</v>
      </c>
      <c r="B22" s="3093"/>
      <c r="C22" s="3093"/>
      <c r="D22" s="3093"/>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090">
        <v>42551</v>
      </c>
      <c r="D31" s="30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03" t="s">
        <v>1633</v>
      </c>
      <c r="B15" s="3098" t="s">
        <v>136</v>
      </c>
      <c r="C15" s="3099"/>
    </row>
    <row r="16" spans="1:7" ht="13.5">
      <c r="A16" s="3104"/>
      <c r="B16" s="3098" t="s">
        <v>69</v>
      </c>
      <c r="C16" s="3099"/>
    </row>
    <row r="17" spans="1:3" ht="13.5">
      <c r="A17" s="3104"/>
      <c r="B17" s="3101" t="s">
        <v>1634</v>
      </c>
      <c r="C17" s="1717" t="s">
        <v>1633</v>
      </c>
    </row>
    <row r="18" spans="1:3" ht="13.5">
      <c r="A18" s="3104"/>
      <c r="B18" s="3101"/>
      <c r="C18" s="1717" t="s">
        <v>1635</v>
      </c>
    </row>
    <row r="19" spans="1:3" ht="13.5">
      <c r="A19" s="3104"/>
      <c r="B19" s="3101"/>
      <c r="C19" s="1717" t="s">
        <v>1636</v>
      </c>
    </row>
    <row r="20" spans="1:3" ht="13.5">
      <c r="A20" s="3105"/>
      <c r="B20" s="3100" t="s">
        <v>1637</v>
      </c>
      <c r="C20" s="3099"/>
    </row>
    <row r="21" spans="1:3" ht="13.5">
      <c r="A21" s="1718" t="s">
        <v>1638</v>
      </c>
      <c r="B21" s="1719"/>
      <c r="C21" s="1720"/>
    </row>
    <row r="22" spans="1:3" ht="13.5">
      <c r="A22" s="3102" t="s">
        <v>1639</v>
      </c>
      <c r="B22" s="3100" t="s">
        <v>1640</v>
      </c>
      <c r="C22" s="3099"/>
    </row>
    <row r="23" spans="1:3" ht="13.5">
      <c r="A23" s="3102"/>
      <c r="B23" s="3100" t="s">
        <v>1641</v>
      </c>
      <c r="C23" s="3099"/>
    </row>
    <row r="24" spans="1:3" ht="13.5">
      <c r="A24" s="3102"/>
      <c r="B24" s="3100" t="s">
        <v>1642</v>
      </c>
      <c r="C24" s="3099"/>
    </row>
    <row r="25" spans="1:3" ht="13.5">
      <c r="A25" s="3102"/>
      <c r="B25" s="3101" t="s">
        <v>1643</v>
      </c>
      <c r="C25" s="1717" t="s">
        <v>1644</v>
      </c>
    </row>
    <row r="26" spans="1:3" ht="13.5">
      <c r="A26" s="3102"/>
      <c r="B26" s="3101"/>
      <c r="C26" s="1717" t="s">
        <v>1645</v>
      </c>
    </row>
    <row r="27" spans="1:3" ht="13.5">
      <c r="A27" s="3102"/>
      <c r="B27" s="3101"/>
      <c r="C27" s="1717" t="s">
        <v>1646</v>
      </c>
    </row>
    <row r="28" spans="1:3" ht="13.5">
      <c r="A28" s="3102"/>
      <c r="B28" s="3101"/>
      <c r="C28" s="1717" t="s">
        <v>1647</v>
      </c>
    </row>
    <row r="29" spans="1:3" ht="13.5">
      <c r="A29" s="3102"/>
      <c r="B29" s="3101"/>
      <c r="C29" s="1717" t="s">
        <v>1648</v>
      </c>
    </row>
    <row r="30" spans="1:3" ht="13.5">
      <c r="A30" s="3102"/>
      <c r="B30" s="3101"/>
      <c r="C30" s="1717" t="s">
        <v>1649</v>
      </c>
    </row>
    <row r="31" spans="1:3" ht="13.5">
      <c r="A31" s="3102"/>
      <c r="B31" s="3101"/>
      <c r="C31" s="1717" t="s">
        <v>1650</v>
      </c>
    </row>
    <row r="32" spans="1:3" ht="13.5">
      <c r="A32" s="3102"/>
      <c r="B32" s="3101"/>
      <c r="C32" s="1717" t="s">
        <v>1651</v>
      </c>
    </row>
    <row r="33" spans="1:3" ht="13.5">
      <c r="A33" s="3102"/>
      <c r="B33" s="3101"/>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2879</v>
      </c>
      <c r="B2" s="2562">
        <f ca="1">TODAY()</f>
        <v>44480</v>
      </c>
      <c r="C2" s="2563" t="s">
        <v>2880</v>
      </c>
      <c r="D2" s="2563"/>
      <c r="E2" s="2563"/>
      <c r="F2" s="2559"/>
      <c r="G2" s="2559"/>
      <c r="H2" s="2559"/>
    </row>
    <row r="3" spans="1:8" ht="24" customHeight="1">
      <c r="A3" s="2564" t="s">
        <v>2881</v>
      </c>
      <c r="B3" s="2565" t="s">
        <v>2882</v>
      </c>
      <c r="C3" s="2565" t="s">
        <v>2883</v>
      </c>
      <c r="D3" s="2566" t="s">
        <v>2884</v>
      </c>
      <c r="E3" s="2567" t="s">
        <v>2885</v>
      </c>
      <c r="F3" s="1472" t="s">
        <v>2886</v>
      </c>
      <c r="G3" s="2565" t="s">
        <v>2883</v>
      </c>
      <c r="H3" s="2566" t="s">
        <v>2887</v>
      </c>
    </row>
    <row r="4" spans="1:8" ht="24" customHeight="1">
      <c r="A4" s="1472" t="s">
        <v>2888</v>
      </c>
      <c r="B4" s="1472">
        <f ca="1">IF(C4&lt;B2,"已过期",1119970066)</f>
        <v>1119970066</v>
      </c>
      <c r="C4" s="2568">
        <v>44876</v>
      </c>
      <c r="D4" s="2569" t="str">
        <f ca="1">A4&amp;"（注册号："&amp;B4&amp;"）"</f>
        <v>梁津（注册号：1119970066）</v>
      </c>
      <c r="E4" s="2570" t="s">
        <v>2888</v>
      </c>
      <c r="F4" s="1472">
        <f ca="1">IF(G4&lt;B2,"已过期",96010014)</f>
        <v>96010014</v>
      </c>
      <c r="G4" s="2571">
        <v>47118</v>
      </c>
      <c r="H4" s="2572" t="str">
        <f ca="1">E4&amp;"（注册号："&amp;F4&amp;"）"</f>
        <v>梁津（注册号：96010014）</v>
      </c>
    </row>
    <row r="5" spans="1:8" ht="24" customHeight="1">
      <c r="A5" s="1472" t="s">
        <v>2889</v>
      </c>
      <c r="B5" s="1472">
        <f ca="1">IF(C5&lt;B2,"已过期",1119970111)</f>
        <v>1119970111</v>
      </c>
      <c r="C5" s="2568">
        <v>44876</v>
      </c>
      <c r="D5" s="2569" t="str">
        <f t="shared" ref="D5:D15" ca="1" si="0">A5&amp;"（注册号："&amp;B5&amp;"）"</f>
        <v>叶凌（注册号：1119970111）</v>
      </c>
      <c r="E5" s="2570" t="s">
        <v>2889</v>
      </c>
      <c r="F5" s="1472">
        <f ca="1">IF(G5&lt;B2,"已过期",94010078)</f>
        <v>94010078</v>
      </c>
      <c r="G5" s="2571">
        <v>46387</v>
      </c>
      <c r="H5" s="2572" t="str">
        <f t="shared" ref="H5:H16" ca="1" si="1">E5&amp;"（注册号："&amp;F5&amp;"）"</f>
        <v>叶凌（注册号：94010078）</v>
      </c>
    </row>
    <row r="6" spans="1:8" ht="24" customHeight="1">
      <c r="A6" s="1472" t="s">
        <v>2890</v>
      </c>
      <c r="B6" s="1472" t="str">
        <f ca="1">IF(C6&lt;B2,"已过期",1120050019)</f>
        <v>已过期</v>
      </c>
      <c r="C6" s="2568">
        <v>44395</v>
      </c>
      <c r="D6" s="2569" t="str">
        <f t="shared" ca="1" si="0"/>
        <v>王鹏（注册号：已过期）</v>
      </c>
      <c r="E6" s="2570" t="s">
        <v>2890</v>
      </c>
      <c r="F6" s="1472">
        <f ca="1">IF(G6&lt;B2,"已过期",2002110030)</f>
        <v>2002110030</v>
      </c>
      <c r="G6" s="2571">
        <v>46387</v>
      </c>
      <c r="H6" s="2572" t="str">
        <f t="shared" ca="1" si="1"/>
        <v>王鹏（注册号：2002110030）</v>
      </c>
    </row>
    <row r="7" spans="1:8" ht="24" customHeight="1">
      <c r="A7" s="1472" t="s">
        <v>2891</v>
      </c>
      <c r="B7" s="1472">
        <f ca="1">IF(C7&lt;B2,"已过期",1120000080)</f>
        <v>1120000080</v>
      </c>
      <c r="C7" s="2568">
        <v>44876</v>
      </c>
      <c r="D7" s="2569" t="str">
        <f t="shared" ca="1" si="0"/>
        <v>欧红伟（注册号：1120000080）</v>
      </c>
      <c r="E7" s="2570" t="s">
        <v>2891</v>
      </c>
      <c r="F7" s="1472">
        <f ca="1">IF(G7&lt;B2,"已过期",2000110082)</f>
        <v>2000110082</v>
      </c>
      <c r="G7" s="2571">
        <v>46387</v>
      </c>
      <c r="H7" s="2572" t="str">
        <f t="shared" ca="1" si="1"/>
        <v>欧红伟（注册号：2000110082）</v>
      </c>
    </row>
    <row r="8" spans="1:8" ht="24" customHeight="1">
      <c r="A8" s="1472" t="s">
        <v>2892</v>
      </c>
      <c r="B8" s="1472">
        <f ca="1">IF(C8&lt;B2,"已过期",1419970001)</f>
        <v>1419970001</v>
      </c>
      <c r="C8" s="2568">
        <v>44899</v>
      </c>
      <c r="D8" s="2569" t="str">
        <f t="shared" ca="1" si="0"/>
        <v>吴薇（注册号：1419970001）</v>
      </c>
      <c r="E8" s="2570" t="s">
        <v>2892</v>
      </c>
      <c r="F8" s="1472">
        <f ca="1">IF(G8&lt;B2,"已过期",2002110125)</f>
        <v>2002110125</v>
      </c>
      <c r="G8" s="2571">
        <v>47118</v>
      </c>
      <c r="H8" s="2572" t="str">
        <f t="shared" ca="1" si="1"/>
        <v>吴薇（注册号：2002110125）</v>
      </c>
    </row>
    <row r="9" spans="1:8" ht="24" customHeight="1">
      <c r="A9" s="1472" t="s">
        <v>2893</v>
      </c>
      <c r="B9" s="1472">
        <f ca="1">IF(C9&lt;B2,"已过期",1120060040)</f>
        <v>1120060040</v>
      </c>
      <c r="C9" s="2573">
        <v>44554</v>
      </c>
      <c r="D9" s="2569" t="str">
        <f t="shared" ca="1" si="0"/>
        <v>陈颖（注册号：1120060040）</v>
      </c>
      <c r="E9" s="2570" t="s">
        <v>2893</v>
      </c>
      <c r="F9" s="1472">
        <f ca="1">IF(G9&lt;B2,"已过期",2004110096)</f>
        <v>2004110096</v>
      </c>
      <c r="G9" s="2571">
        <v>47118</v>
      </c>
      <c r="H9" s="2572" t="str">
        <f t="shared" ca="1" si="1"/>
        <v>陈颖（注册号：2004110096）</v>
      </c>
    </row>
    <row r="10" spans="1:8" ht="24" customHeight="1">
      <c r="A10" s="1472" t="s">
        <v>2894</v>
      </c>
      <c r="B10" s="1472">
        <f ca="1">IF(C10&lt;B2,"已过期",1120100036)</f>
        <v>1120100036</v>
      </c>
      <c r="C10" s="2573">
        <v>44675</v>
      </c>
      <c r="D10" s="2569" t="str">
        <f t="shared" ca="1" si="0"/>
        <v>崔锴（注册号：1120100036）</v>
      </c>
      <c r="E10" s="2570" t="s">
        <v>2894</v>
      </c>
      <c r="F10" s="1472">
        <f ca="1">IF(G10&lt;B2,"已过期",2010110070)</f>
        <v>2010110070</v>
      </c>
      <c r="G10" s="2571">
        <v>47907</v>
      </c>
      <c r="H10" s="2572" t="str">
        <f t="shared" ca="1" si="1"/>
        <v>崔锴（注册号：2010110070）</v>
      </c>
    </row>
    <row r="11" spans="1:8" ht="24" customHeight="1">
      <c r="A11" s="1472" t="s">
        <v>2895</v>
      </c>
      <c r="B11" s="1472">
        <f ca="1">IF(C11&lt;B2,"已过期",1120070131)</f>
        <v>1120070131</v>
      </c>
      <c r="C11" s="2568">
        <v>44849</v>
      </c>
      <c r="D11" s="2569" t="str">
        <f t="shared" ca="1" si="0"/>
        <v>郑燚（注册号：1120070131）</v>
      </c>
      <c r="E11" s="2570" t="s">
        <v>2895</v>
      </c>
      <c r="F11" s="1472">
        <f ca="1">IF(G11&lt;B2,"已过期",2014110011)</f>
        <v>2014110011</v>
      </c>
      <c r="G11" s="2571">
        <v>49302</v>
      </c>
      <c r="H11" s="2572" t="str">
        <f t="shared" ca="1" si="1"/>
        <v>郑燚（注册号：2014110011）</v>
      </c>
    </row>
    <row r="12" spans="1:8" ht="24" customHeight="1">
      <c r="A12" s="1472" t="s">
        <v>2896</v>
      </c>
      <c r="B12" s="1472">
        <f ca="1">IF(C12&lt;B2,"已过期",1120040230)</f>
        <v>1120040230</v>
      </c>
      <c r="C12" s="2573">
        <v>44864</v>
      </c>
      <c r="D12" s="2569" t="str">
        <f t="shared" ca="1" si="0"/>
        <v>苏海（注册号：1120040230）</v>
      </c>
      <c r="E12" s="2570" t="s">
        <v>2896</v>
      </c>
      <c r="F12" s="1472">
        <f ca="1">IF(G12&lt;B2,"已过期",98030020)</f>
        <v>98030020</v>
      </c>
      <c r="G12" s="2571">
        <v>47118</v>
      </c>
      <c r="H12" s="2572" t="str">
        <f t="shared" ca="1" si="1"/>
        <v>苏海（注册号：98030020）</v>
      </c>
    </row>
    <row r="13" spans="1:8" ht="24" customHeight="1">
      <c r="A13" s="1472" t="s">
        <v>2897</v>
      </c>
      <c r="B13" s="1472" t="str">
        <f ca="1">IF(C13&lt;B2,"已过期",1120020033)</f>
        <v>已过期</v>
      </c>
      <c r="C13" s="2568">
        <v>44339</v>
      </c>
      <c r="D13" s="2569" t="str">
        <f t="shared" ca="1" si="0"/>
        <v>刘敬东（注册号：已过期）</v>
      </c>
      <c r="E13" s="2570" t="s">
        <v>2897</v>
      </c>
      <c r="F13" s="1472">
        <f ca="1">IF(G13&lt;B2,"已过期",2000110137)</f>
        <v>2000110137</v>
      </c>
      <c r="G13" s="2571">
        <v>46387</v>
      </c>
      <c r="H13" s="2572" t="str">
        <f t="shared" ca="1" si="1"/>
        <v>刘敬东（注册号：2000110137）</v>
      </c>
    </row>
    <row r="14" spans="1:8" ht="24" customHeight="1">
      <c r="A14" s="1472" t="s">
        <v>2898</v>
      </c>
      <c r="B14" s="1472">
        <f ca="1">IF(C14&lt;B2,"已过期",1119980106)</f>
        <v>1119980106</v>
      </c>
      <c r="C14" s="2573">
        <v>44969</v>
      </c>
      <c r="D14" s="2569" t="str">
        <f t="shared" ca="1" si="0"/>
        <v>刘俊财（注册号：1119980106）</v>
      </c>
      <c r="E14" s="2570" t="s">
        <v>2898</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2899</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6" t="s">
        <v>2900</v>
      </c>
      <c r="B17" s="3106"/>
      <c r="C17" s="3106"/>
      <c r="D17" s="3106"/>
      <c r="E17" s="3106"/>
      <c r="F17" s="3106"/>
      <c r="G17" s="3106"/>
      <c r="H17" s="3106"/>
    </row>
    <row r="18" spans="1:8" ht="24" customHeight="1">
      <c r="A18" s="3107" t="s">
        <v>2901</v>
      </c>
      <c r="B18" s="3107"/>
      <c r="C18" s="3107"/>
      <c r="D18" s="2566"/>
      <c r="E18" s="3108" t="s">
        <v>2902</v>
      </c>
      <c r="F18" s="3107"/>
      <c r="G18" s="3107"/>
    </row>
    <row r="19" spans="1:8" s="2577" customFormat="1" ht="24" customHeight="1">
      <c r="A19" s="2576" t="s">
        <v>2903</v>
      </c>
      <c r="B19" s="2565" t="s">
        <v>2904</v>
      </c>
      <c r="C19" s="2565" t="s">
        <v>2883</v>
      </c>
      <c r="D19" s="2566"/>
      <c r="E19" s="2570" t="s">
        <v>2903</v>
      </c>
      <c r="F19" s="2565" t="s">
        <v>2904</v>
      </c>
      <c r="G19" s="2565" t="s">
        <v>2883</v>
      </c>
    </row>
    <row r="20" spans="1:8" s="2577" customFormat="1" ht="24" customHeight="1">
      <c r="A20" s="2578" t="s">
        <v>2905</v>
      </c>
      <c r="B20" s="2578" t="s">
        <v>2906</v>
      </c>
      <c r="C20" s="2571">
        <v>44820</v>
      </c>
      <c r="D20" s="2579"/>
      <c r="E20" s="2580" t="s">
        <v>2907</v>
      </c>
      <c r="F20" s="2578" t="s">
        <v>2908</v>
      </c>
      <c r="G20" s="2581">
        <v>44377</v>
      </c>
    </row>
    <row r="21" spans="1:8" s="2577" customFormat="1" ht="24" customHeight="1">
      <c r="A21" s="2578"/>
      <c r="B21" s="2578"/>
      <c r="C21" s="2582"/>
      <c r="D21" s="2583"/>
      <c r="E21" s="2580" t="s">
        <v>2909</v>
      </c>
      <c r="F21" s="2584" t="s">
        <v>2910</v>
      </c>
      <c r="G21" s="2585">
        <v>44012</v>
      </c>
    </row>
    <row r="22" spans="1:8" ht="24" customHeight="1">
      <c r="C22" s="2586"/>
      <c r="D22" s="2586"/>
      <c r="E22" s="2587"/>
      <c r="F22" s="2588"/>
      <c r="G22" s="258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2021-10-11T06:58:29Z</dcterms:modified>
</cp:coreProperties>
</file>