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21" l="1"/>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c r="E19" i="12"/>
  <c r="D19" i="12"/>
  <c r="C19" i="12"/>
  <c r="C18" i="12"/>
  <c r="E17" i="12"/>
  <c r="D17" i="12"/>
  <c r="C17" i="12"/>
  <c r="F15" i="12"/>
  <c r="E14" i="12"/>
  <c r="D14" i="12"/>
  <c r="F13" i="12"/>
  <c r="F12" i="12"/>
  <c r="C8" i="12"/>
  <c r="C7" i="12"/>
  <c r="C4" i="12"/>
  <c r="C2" i="12"/>
  <c r="F48" i="11"/>
  <c r="C47" i="11"/>
  <c r="F45" i="11"/>
  <c r="D45" i="11"/>
  <c r="G41" i="11"/>
  <c r="F40" i="11"/>
  <c r="C40" i="11"/>
  <c r="F39"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67" i="15" s="1"/>
  <c r="F37" i="15"/>
  <c r="F36" i="15"/>
  <c r="J35" i="15"/>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F54" i="21"/>
  <c r="E54" i="21"/>
  <c r="P49" i="21"/>
  <c r="P48" i="21"/>
  <c r="K48" i="21"/>
  <c r="T47" i="21"/>
  <c r="R47" i="21"/>
  <c r="P47" i="21"/>
  <c r="I47" i="21"/>
  <c r="I54" i="21" s="1"/>
  <c r="J54" i="21" s="1"/>
  <c r="AB46" i="21"/>
  <c r="Z46" i="21"/>
  <c r="Q46" i="21"/>
  <c r="J46" i="21"/>
  <c r="AC46" i="21" s="1"/>
  <c r="H46" i="21"/>
  <c r="U46" i="21" s="1"/>
  <c r="F46" i="21"/>
  <c r="AA46" i="21" s="1"/>
  <c r="Q45" i="21"/>
  <c r="Z45" i="21" s="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B28" i="21"/>
  <c r="AA28" i="21"/>
  <c r="Z28" i="21"/>
  <c r="U28" i="21"/>
  <c r="S28" i="21"/>
  <c r="Q28" i="21"/>
  <c r="J28" i="21"/>
  <c r="AC28" i="21" s="1"/>
  <c r="H28" i="21"/>
  <c r="F28" i="21"/>
  <c r="AC27" i="21"/>
  <c r="AB27" i="21"/>
  <c r="AA27" i="21"/>
  <c r="Z27" i="21"/>
  <c r="W27" i="21"/>
  <c r="U27" i="21"/>
  <c r="S27" i="21"/>
  <c r="Q27" i="21"/>
  <c r="J27" i="21"/>
  <c r="H27" i="21"/>
  <c r="F27" i="21"/>
  <c r="AB26" i="21"/>
  <c r="AA26" i="21"/>
  <c r="Z26" i="21"/>
  <c r="U26" i="21"/>
  <c r="S26" i="21"/>
  <c r="Q26" i="21"/>
  <c r="J26" i="21"/>
  <c r="AC26" i="21" s="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F59" i="9"/>
  <c r="E59" i="9"/>
  <c r="D59" i="9"/>
  <c r="O56" i="9"/>
  <c r="N56" i="9"/>
  <c r="L56" i="9"/>
  <c r="K56" i="9"/>
  <c r="F56" i="9"/>
  <c r="P54" i="9" s="1"/>
  <c r="P55" i="9"/>
  <c r="O55" i="9"/>
  <c r="N55" i="9"/>
  <c r="L55" i="9"/>
  <c r="K55" i="9"/>
  <c r="K57" i="9" s="1"/>
  <c r="K59" i="9" s="1"/>
  <c r="K61" i="9" s="1"/>
  <c r="I55" i="9"/>
  <c r="F55" i="9"/>
  <c r="O54" i="9"/>
  <c r="F54" i="9"/>
  <c r="P53" i="9"/>
  <c r="O53" i="9"/>
  <c r="F53" i="9"/>
  <c r="F52" i="9"/>
  <c r="N49" i="9"/>
  <c r="M68" i="9" s="1"/>
  <c r="N68" i="9" s="1"/>
  <c r="L49" i="9"/>
  <c r="F48" i="9"/>
  <c r="P52" i="9" s="1"/>
  <c r="E48" i="9"/>
  <c r="O52" i="9" s="1"/>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B8" i="62" s="1"/>
  <c r="D8" i="62" s="1"/>
  <c r="H14" i="62"/>
  <c r="B7" i="62" s="1"/>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F11" i="12" s="1"/>
  <c r="D20" i="1"/>
  <c r="F19" i="1"/>
  <c r="E19" i="1"/>
  <c r="D19" i="1"/>
  <c r="F18" i="1"/>
  <c r="C11" i="12" s="1"/>
  <c r="E18" i="1"/>
  <c r="C34" i="11" s="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F7" i="61"/>
  <c r="F6" i="61"/>
  <c r="D20" i="57"/>
  <c r="H23" i="31"/>
  <c r="F5" i="61"/>
  <c r="F3" i="61"/>
  <c r="E2" i="35"/>
  <c r="E2" i="37"/>
  <c r="E2" i="34"/>
  <c r="E2" i="36"/>
  <c r="E2" i="33"/>
  <c r="E2" i="21"/>
  <c r="C19" i="57"/>
  <c r="D19" i="57"/>
  <c r="E2" i="11"/>
  <c r="F4" i="61"/>
  <c r="C20" i="57"/>
  <c r="D7" i="62" l="1"/>
  <c r="C7" i="62"/>
  <c r="S46" i="21"/>
  <c r="V47" i="21"/>
  <c r="G54" i="21"/>
  <c r="H54" i="21" s="1"/>
  <c r="W46" i="21"/>
  <c r="W33" i="21"/>
  <c r="W28" i="21"/>
  <c r="W26" i="21"/>
  <c r="S45" i="21"/>
  <c r="W45" i="21"/>
  <c r="U45" i="21"/>
  <c r="C92" i="9"/>
  <c r="C94" i="57"/>
  <c r="C23" i="12"/>
  <c r="C14" i="12"/>
  <c r="C15" i="12"/>
  <c r="C13" i="12"/>
  <c r="C12" i="12"/>
  <c r="C36" i="11"/>
  <c r="C35" i="11"/>
  <c r="C38" i="11"/>
  <c r="F13" i="15"/>
  <c r="C14" i="15"/>
  <c r="F50" i="11"/>
  <c r="D46" i="36"/>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3" i="61"/>
  <c r="D7" i="61"/>
  <c r="D4" i="61"/>
  <c r="D5" i="61"/>
  <c r="D6" i="61"/>
  <c r="C33" i="11" l="1"/>
  <c r="C16" i="12"/>
  <c r="C21" i="12" s="1"/>
  <c r="C39" i="11"/>
  <c r="C46" i="11" s="1"/>
  <c r="C45" i="11" s="1"/>
  <c r="C22" i="12"/>
  <c r="C30" i="12" s="1"/>
  <c r="C28" i="12" s="1"/>
  <c r="J37" i="21"/>
  <c r="H37" i="21"/>
  <c r="C16" i="15"/>
  <c r="C18" i="15"/>
  <c r="C15" i="15"/>
  <c r="D59" i="34"/>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s="1"/>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C19" i="15" l="1"/>
  <c r="AB37" i="21"/>
  <c r="U37" i="21"/>
  <c r="F37" i="21"/>
  <c r="AC37" i="21"/>
  <c r="W37" i="21"/>
  <c r="E27" i="1"/>
  <c r="F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74" i="57"/>
  <c r="D61" i="57"/>
  <c r="N57" i="57" s="1"/>
  <c r="D54" i="57"/>
  <c r="C80" i="57"/>
  <c r="C75" i="57" s="1"/>
  <c r="C66" i="57"/>
  <c r="C65" i="57" s="1"/>
  <c r="C69" i="57" s="1"/>
  <c r="C70" i="57" s="1"/>
  <c r="D56" i="57" s="1"/>
  <c r="D57" i="57"/>
  <c r="N55" i="57" s="1"/>
  <c r="D55" i="57"/>
  <c r="D50" i="57" s="1"/>
  <c r="N54" i="57" s="1"/>
  <c r="C54" i="15"/>
  <c r="C49" i="15" s="1"/>
  <c r="C10" i="15"/>
  <c r="C5" i="15" s="1"/>
  <c r="I113" i="57"/>
  <c r="D38" i="50"/>
  <c r="B62" i="60" s="1"/>
  <c r="D8" i="50"/>
  <c r="B22" i="60" s="1"/>
  <c r="B19" i="60"/>
  <c r="D129" i="57"/>
  <c r="D15" i="50"/>
  <c r="D36" i="50"/>
  <c r="D37" i="50" s="1"/>
  <c r="C26" i="15" l="1"/>
  <c r="C20" i="15"/>
  <c r="C97" i="57"/>
  <c r="C99" i="57" s="1"/>
  <c r="D60" i="57" s="1"/>
  <c r="D58" i="57" s="1"/>
  <c r="N56" i="57" s="1"/>
  <c r="O59" i="57" s="1"/>
  <c r="AA37" i="21"/>
  <c r="R48" i="21" s="1"/>
  <c r="E48" i="21" s="1"/>
  <c r="S37" i="21"/>
  <c r="C27" i="12"/>
  <c r="C25" i="12" s="1"/>
  <c r="C26" i="12"/>
  <c r="D25" i="12" s="1"/>
  <c r="F22" i="1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D16" i="50"/>
  <c r="B30" i="60" s="1"/>
  <c r="B29" i="60"/>
  <c r="C38" i="15"/>
  <c r="C81" i="57"/>
  <c r="D8" i="52"/>
  <c r="D130" i="57"/>
  <c r="D17" i="50"/>
  <c r="C61" i="15"/>
  <c r="C67" i="15"/>
  <c r="C98" i="57"/>
  <c r="E98" i="57" s="1"/>
  <c r="E99" i="57" s="1"/>
  <c r="C32" i="12" l="1"/>
  <c r="B3" i="12" s="1"/>
  <c r="C24" i="15"/>
  <c r="C23" i="15"/>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O61" i="57"/>
  <c r="O60" i="57"/>
  <c r="Q59" i="57"/>
  <c r="C83" i="57"/>
  <c r="C82" i="57"/>
  <c r="E82" i="57" s="1"/>
  <c r="E83" i="57" s="1"/>
  <c r="D10" i="52"/>
  <c r="D9" i="52"/>
  <c r="C29" i="15" l="1"/>
  <c r="C36" i="15" s="1"/>
  <c r="C41" i="11"/>
  <c r="C49" i="11" s="1"/>
  <c r="C51" i="11" s="1"/>
  <c r="C22" i="11"/>
  <c r="C31" i="11" s="1"/>
  <c r="G70" i="39"/>
  <c r="H68" i="39"/>
  <c r="E47" i="37"/>
  <c r="F47" i="37" s="1"/>
  <c r="E46" i="37"/>
  <c r="F46" i="37" s="1"/>
  <c r="B3" i="35"/>
  <c r="B2" i="35"/>
  <c r="C48" i="21"/>
  <c r="C49" i="21"/>
  <c r="C42" i="37"/>
  <c r="C43" i="37"/>
  <c r="B2" i="37" s="1"/>
  <c r="B3" i="37" s="1"/>
  <c r="G65" i="40"/>
  <c r="H63" i="40"/>
  <c r="O63" i="57"/>
  <c r="O62" i="57"/>
  <c r="J14" i="15" l="1"/>
  <c r="J13" i="15" s="1"/>
  <c r="J23" i="15" s="1"/>
  <c r="C58" i="15"/>
  <c r="Q47" i="15"/>
  <c r="C52" i="11"/>
  <c r="B2" i="11" s="1"/>
  <c r="C13" i="15"/>
  <c r="C57" i="15" s="1"/>
  <c r="C66" i="15" s="1"/>
  <c r="J19" i="15"/>
  <c r="J17" i="15" s="1"/>
  <c r="H65" i="40"/>
  <c r="I63" i="40"/>
  <c r="B2" i="21"/>
  <c r="B3" i="21"/>
  <c r="H70" i="39"/>
  <c r="I68" i="39"/>
  <c r="C20" i="9"/>
  <c r="C19" i="9"/>
  <c r="C56" i="11" l="1"/>
  <c r="C57" i="11" s="1"/>
  <c r="B3" i="11"/>
  <c r="J34" i="15"/>
  <c r="J22" i="15"/>
  <c r="J16" i="15" s="1"/>
  <c r="J25" i="15" s="1"/>
  <c r="C37" i="15"/>
  <c r="C30" i="15" s="1"/>
  <c r="C39" i="15" s="1"/>
  <c r="Q68" i="15"/>
  <c r="C62" i="15"/>
  <c r="C60" i="15" s="1"/>
  <c r="C65" i="15"/>
  <c r="C101" i="9"/>
  <c r="C102" i="9"/>
  <c r="I70" i="39"/>
  <c r="J68" i="39"/>
  <c r="I65" i="40"/>
  <c r="J63" i="40"/>
  <c r="C59" i="15" l="1"/>
  <c r="C68" i="15" s="1"/>
  <c r="C69" i="15" s="1"/>
  <c r="C72" i="15" s="1"/>
  <c r="Q67" i="15"/>
  <c r="Q66" i="15" s="1"/>
  <c r="C40" i="15"/>
  <c r="J38" i="15"/>
  <c r="J39" i="15" s="1"/>
  <c r="J65" i="40"/>
  <c r="K63" i="40"/>
  <c r="J70" i="39"/>
  <c r="K68" i="39"/>
  <c r="Q63" i="15" l="1"/>
  <c r="Q73" i="15" s="1"/>
  <c r="J41" i="15"/>
  <c r="Q45" i="15"/>
  <c r="Q51" i="15" s="1"/>
  <c r="B2" i="15"/>
  <c r="B3" i="15"/>
  <c r="Q54" i="15"/>
  <c r="Q60" i="15" s="1"/>
  <c r="C43" i="15"/>
  <c r="L52" i="15"/>
  <c r="C47" i="15"/>
  <c r="K70" i="39"/>
  <c r="L68" i="39"/>
  <c r="K65" i="40"/>
  <c r="L63" i="40"/>
  <c r="D20" i="9"/>
  <c r="D19" i="9"/>
  <c r="G19" i="9" l="1"/>
  <c r="C32" i="9" s="1"/>
  <c r="D22" i="9"/>
  <c r="D101" i="9"/>
  <c r="G20" i="9"/>
  <c r="D102" i="9"/>
  <c r="L58" i="15"/>
  <c r="Q65" i="15"/>
  <c r="J42" i="15"/>
  <c r="D35" i="9"/>
  <c r="D34" i="9" s="1"/>
  <c r="L65" i="40"/>
  <c r="M63" i="40"/>
  <c r="L70" i="39"/>
  <c r="M68" i="39"/>
  <c r="H121" i="9" l="1"/>
  <c r="D14" i="62" s="1"/>
  <c r="C35" i="9"/>
  <c r="M70" i="39"/>
  <c r="N68" i="39"/>
  <c r="M65" i="40"/>
  <c r="N63" i="40"/>
  <c r="F14" i="62" l="1"/>
  <c r="E14" i="62"/>
  <c r="B5" i="62"/>
  <c r="I121" i="9"/>
  <c r="C103" i="9"/>
  <c r="H122" i="9"/>
  <c r="D106" i="9"/>
  <c r="D112" i="9" s="1"/>
  <c r="D117" i="9" s="1"/>
  <c r="I115" i="9" s="1"/>
  <c r="I102" i="9"/>
  <c r="F121" i="9"/>
  <c r="C34" i="9"/>
  <c r="D121" i="9" s="1"/>
  <c r="N65" i="40"/>
  <c r="O63" i="40"/>
  <c r="O65" i="40" s="1"/>
  <c r="N70" i="39"/>
  <c r="O68" i="39"/>
  <c r="O70" i="39" s="1"/>
  <c r="D5" i="62" l="1"/>
  <c r="C5" i="62"/>
  <c r="I103" i="9"/>
  <c r="C104" i="9"/>
  <c r="D107" i="9"/>
  <c r="D113" i="9" s="1"/>
  <c r="I111" i="9" s="1"/>
  <c r="D126" i="9" s="1"/>
  <c r="F122" i="9"/>
  <c r="G121" i="9"/>
  <c r="D122" i="9"/>
  <c r="E121" i="9"/>
  <c r="N48" i="9"/>
  <c r="I110" i="9"/>
  <c r="D125" i="9" s="1"/>
  <c r="G14" i="62" s="1"/>
  <c r="B6" i="62" s="1"/>
  <c r="D45" i="9"/>
  <c r="D55" i="9" s="1"/>
  <c r="N53" i="9" s="1"/>
  <c r="J7" i="39"/>
  <c r="F7" i="39"/>
  <c r="H7" i="39"/>
  <c r="H7" i="40"/>
  <c r="J7" i="40"/>
  <c r="F7" i="40"/>
  <c r="D6" i="62" l="1"/>
  <c r="C6" i="62"/>
  <c r="C78" i="9"/>
  <c r="C73" i="9" s="1"/>
  <c r="C93" i="9"/>
  <c r="C86" i="9" s="1"/>
  <c r="C72" i="9"/>
  <c r="D53" i="9"/>
  <c r="D52" i="9"/>
  <c r="C85" i="9"/>
  <c r="C95" i="9" s="1"/>
  <c r="C96" i="9" s="1"/>
  <c r="E96" i="9" s="1"/>
  <c r="E97" i="9" s="1"/>
  <c r="C64" i="9"/>
  <c r="C63" i="9" s="1"/>
  <c r="C67" i="9" s="1"/>
  <c r="C68" i="9" s="1"/>
  <c r="D54" i="9" s="1"/>
  <c r="S7" i="40"/>
  <c r="AA7" i="40"/>
  <c r="R42" i="40" s="1"/>
  <c r="AB7" i="40"/>
  <c r="T42" i="40" s="1"/>
  <c r="G42" i="40" s="1"/>
  <c r="U7" i="40"/>
  <c r="AA7" i="39"/>
  <c r="R47" i="39" s="1"/>
  <c r="S7" i="39"/>
  <c r="W7" i="40"/>
  <c r="AC7" i="40"/>
  <c r="V42" i="40" s="1"/>
  <c r="I42" i="40" s="1"/>
  <c r="U7" i="39"/>
  <c r="AB7" i="39"/>
  <c r="T47" i="39" s="1"/>
  <c r="G47" i="39" s="1"/>
  <c r="AC7" i="39"/>
  <c r="V47" i="39" s="1"/>
  <c r="I47" i="39" s="1"/>
  <c r="W7" i="39"/>
  <c r="D48" i="9" l="1"/>
  <c r="N52" i="9" s="1"/>
  <c r="C79" i="9"/>
  <c r="C80" i="9" s="1"/>
  <c r="E80" i="9" s="1"/>
  <c r="E81" i="9" s="1"/>
  <c r="C97" i="9"/>
  <c r="G52" i="39"/>
  <c r="H52" i="39" s="1"/>
  <c r="G51" i="39"/>
  <c r="H51" i="39" s="1"/>
  <c r="I47" i="40"/>
  <c r="J47" i="40" s="1"/>
  <c r="I46" i="40"/>
  <c r="J46" i="40" s="1"/>
  <c r="R43" i="40"/>
  <c r="E42" i="40"/>
  <c r="I52" i="39"/>
  <c r="J52" i="39" s="1"/>
  <c r="I51" i="39"/>
  <c r="J51" i="39" s="1"/>
  <c r="R48" i="39"/>
  <c r="E47" i="39"/>
  <c r="G47" i="40"/>
  <c r="H47" i="40" s="1"/>
  <c r="G46" i="40"/>
  <c r="H46" i="40" s="1"/>
  <c r="C81" i="9" l="1"/>
  <c r="D58" i="9" s="1"/>
  <c r="D56" i="9" s="1"/>
  <c r="N54" i="9" s="1"/>
  <c r="O57" i="9" s="1"/>
  <c r="O58" i="9" s="1"/>
  <c r="C47" i="39"/>
  <c r="C48" i="39"/>
  <c r="C43" i="40"/>
  <c r="C42" i="40"/>
  <c r="E52" i="39"/>
  <c r="F52" i="39" s="1"/>
  <c r="E51" i="39"/>
  <c r="F51" i="39" s="1"/>
  <c r="E47" i="40"/>
  <c r="F47" i="40" s="1"/>
  <c r="E46" i="40"/>
  <c r="F46" i="40" s="1"/>
  <c r="O59" i="9" l="1"/>
  <c r="O61" i="9" s="1"/>
  <c r="Q57" i="9"/>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O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<sst xmlns="http://schemas.openxmlformats.org/spreadsheetml/2006/main" count="6969" uniqueCount="2486">
  <si>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</si>
  <si>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</si>
  <si>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</si>
  <si>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</si>
  <si>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</si>
  <si>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</si>
  <si>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</si>
  <si>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</si>
  <si>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</si>
  <si>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</si>
  <si>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</si>
  <si>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</si>
  <si>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</si>
  <si>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</si>
  <si>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</si>
  <si>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</si>
  <si>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</si>
  <si>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</si>
  <si>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</si>
  <si>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</si>
  <si>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</si>
  <si>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</si>
  <si>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</si>
  <si>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</si>
  <si>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</si>
  <si>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</si>
  <si>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</si>
  <si>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</si>
  <si>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</si>
  <si>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</si>
  <si>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</si>
  <si>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</si>
  <si>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</si>
  <si>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</si>
  <si>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</si>
  <si>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</si>
  <si>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</si>
  <si>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</si>
  <si>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</si>
  <si>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</si>
  <si>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</si>
  <si>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</si>
  <si>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</si>
  <si>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</si>
  <si>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</si>
  <si>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</si>
  <si>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</si>
  <si>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</si>
  <si>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</si>
  <si>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</si>
  <si>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</si>
  <si>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</si>
  <si>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</si>
  <si>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</si>
  <si>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</si>
  <si>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</si>
  <si>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</si>
  <si>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</si>
  <si>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</si>
  <si>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</si>
  <si>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</si>
  <si>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</si>
  <si>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</si>
  <si>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</si>
  <si>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</si>
  <si>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</si>
  <si>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</si>
  <si>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</si>
  <si>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</si>
  <si>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</si>
  <si>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</si>
  <si>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</si>
  <si>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</si>
  <si>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</si>
  <si>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</si>
  <si>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</si>
  <si>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</si>
  <si>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</si>
  <si>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</si>
  <si>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</si>
  <si>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</si>
  <si>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</si>
  <si>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</si>
  <si>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</si>
  <si>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</si>
  <si>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</si>
  <si>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</si>
  <si>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</si>
  <si>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</si>
  <si>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</si>
  <si>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</si>
  <si>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</si>
  <si>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</si>
  <si>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</si>
  <si>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</si>
  <si>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</si>
  <si>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</si>
  <si>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</si>
  <si>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</si>
  <si>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</si>
  <si>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</si>
  <si>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</si>
  <si>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</si>
  <si>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</si>
  <si>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</si>
  <si>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</si>
  <si>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</si>
  <si>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</si>
  <si>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</si>
  <si>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</si>
  <si>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</si>
  <si>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</si>
  <si>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</si>
  <si>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</si>
  <si>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</si>
  <si>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</si>
  <si>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</si>
  <si>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</si>
  <si>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</si>
  <si>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</si>
  <si>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</si>
  <si>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</si>
  <si>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</si>
  <si>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</si>
  <si>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</si>
  <si>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</si>
  <si>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</si>
  <si>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</si>
  <si>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</si>
  <si>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</si>
  <si>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</si>
  <si>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</si>
  <si>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</si>
  <si>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</si>
  <si>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</si>
  <si>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</si>
  <si>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</si>
  <si>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</si>
  <si>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</si>
  <si>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</si>
  <si>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</si>
  <si>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</si>
  <si>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</si>
  <si>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</si>
  <si>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</si>
  <si>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</si>
  <si>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</si>
  <si>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</si>
  <si>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</si>
  <si>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</si>
  <si>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</si>
  <si>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</si>
  <si>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</si>
  <si>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</si>
  <si>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</si>
  <si>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</si>
  <si>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</si>
  <si>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</si>
  <si>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</si>
  <si>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</si>
  <si>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</si>
  <si>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</si>
  <si>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</si>
  <si>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</si>
  <si>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</si>
  <si>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</si>
  <si>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</si>
  <si>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</si>
  <si>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</si>
  <si>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</si>
  <si>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</si>
  <si>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</si>
  <si>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</si>
  <si>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</si>
  <si>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</si>
  <si>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</si>
  <si>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</si>
  <si>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</si>
  <si>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</si>
  <si>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</si>
  <si>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</si>
  <si>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</si>
  <si>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</si>
  <si>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</si>
  <si>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</si>
  <si>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</si>
  <si>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</si>
  <si>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</si>
  <si>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</si>
  <si>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</si>
  <si>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</si>
  <si>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</si>
  <si>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</si>
  <si>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</si>
  <si>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</si>
  <si>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</si>
  <si>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</si>
  <si>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</si>
  <si>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</si>
  <si>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</si>
  <si>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</si>
  <si>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</si>
  <si>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</si>
  <si>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</si>
  <si>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</si>
  <si>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</si>
  <si>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</si>
  <si>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</si>
  <si>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</si>
  <si>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</si>
  <si>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</si>
  <si>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</si>
  <si>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</si>
  <si>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</si>
  <si>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</si>
  <si>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</si>
  <si>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</si>
  <si>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</si>
  <si>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</si>
  <si>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</si>
  <si>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</si>
  <si>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</si>
  <si>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</si>
  <si>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</si>
  <si>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</si>
  <si>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</si>
  <si>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</si>
  <si>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</si>
  <si>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</si>
  <si>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</si>
  <si>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</si>
  <si>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</si>
  <si>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</si>
  <si>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</si>
  <si>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</si>
  <si>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</si>
  <si>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</si>
  <si>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</si>
  <si>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</si>
  <si>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</si>
  <si>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</si>
  <si>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</si>
  <si>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</si>
  <si>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</si>
  <si>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</si>
  <si>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</si>
  <si>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</si>
  <si>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</si>
  <si>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</si>
  <si>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</si>
  <si>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</si>
  <si>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</si>
  <si>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</si>
  <si>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</si>
  <si>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</si>
  <si>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</si>
  <si>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</si>
  <si>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</si>
  <si>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</si>
  <si>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</si>
  <si>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</si>
  <si>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</si>
  <si>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</si>
  <si>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</si>
  <si>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</si>
  <si>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</si>
  <si>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</si>
  <si>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</si>
  <si>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</si>
  <si>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</si>
  <si>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</si>
  <si>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</si>
  <si>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</si>
  <si>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</si>
  <si>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</si>
  <si>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</si>
  <si>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</si>
  <si>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</si>
  <si>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</si>
  <si>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</si>
  <si>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</si>
  <si>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</si>
  <si>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</si>
  <si>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</si>
  <si>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</si>
  <si>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</si>
  <si>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</si>
  <si>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</si>
  <si>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</si>
  <si>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</si>
  <si>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</si>
  <si>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</si>
  <si>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</si>
  <si>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</si>
  <si>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</si>
  <si>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</si>
  <si>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</si>
  <si>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</si>
  <si>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</si>
  <si>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</si>
  <si>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</si>
  <si>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</si>
  <si>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</si>
  <si>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</si>
  <si>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</si>
  <si>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</si>
  <si>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</si>
  <si>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</si>
  <si>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</si>
  <si>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</si>
  <si>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</si>
  <si>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</si>
  <si>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</si>
  <si>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</si>
  <si>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</si>
  <si>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</si>
  <si>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</si>
  <si>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</si>
  <si>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</si>
  <si>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</si>
  <si>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</si>
  <si>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</si>
  <si>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</si>
  <si>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</si>
  <si>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</si>
  <si>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</si>
  <si>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</si>
  <si>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</si>
  <si>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</si>
  <si>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</si>
  <si>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</si>
  <si>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</si>
  <si>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</si>
  <si>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</si>
  <si>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</si>
  <si>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</si>
  <si>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</si>
  <si>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</si>
  <si>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</si>
  <si>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</si>
  <si>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</si>
  <si>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</si>
  <si>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</si>
  <si>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</si>
  <si>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</si>
  <si>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</si>
  <si>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</si>
  <si>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</si>
  <si>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</si>
  <si>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</si>
  <si>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</si>
  <si>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</si>
  <si>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</si>
  <si>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</si>
  <si>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</si>
  <si>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</si>
  <si>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</si>
  <si>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</si>
  <si>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</si>
  <si>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</si>
  <si>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</si>
  <si>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</si>
  <si>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</si>
  <si>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</si>
  <si>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</si>
  <si>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</si>
  <si>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</si>
  <si>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</si>
  <si>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</si>
  <si>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</si>
  <si>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</si>
  <si>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</si>
  <si>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</si>
  <si>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</si>
  <si>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</si>
  <si>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</si>
  <si>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</si>
  <si>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</si>
  <si>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</si>
  <si>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</si>
  <si>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</si>
  <si>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</si>
  <si>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</si>
  <si>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</si>
  <si>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</si>
  <si>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</si>
  <si>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</si>
  <si>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</si>
  <si>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</si>
  <si>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</si>
  <si>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</si>
  <si>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</si>
  <si>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</si>
  <si>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</si>
  <si>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</si>
  <si>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</si>
  <si>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</si>
  <si>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</si>
  <si>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</si>
  <si>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</si>
  <si>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</si>
  <si>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</si>
  <si>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</si>
  <si>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</si>
  <si>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</si>
  <si>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</si>
  <si>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</si>
  <si>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</si>
  <si>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</si>
  <si>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</si>
  <si>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</si>
  <si>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</si>
  <si>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</si>
  <si>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</si>
  <si>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</si>
  <si>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</si>
  <si>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</si>
  <si>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</si>
  <si>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</si>
  <si>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</si>
  <si>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</si>
  <si>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</si>
  <si>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</si>
  <si>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</si>
  <si>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</si>
  <si>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</si>
  <si>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</si>
  <si>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</si>
  <si>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</si>
  <si>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</si>
  <si>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</si>
  <si>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</si>
  <si>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</si>
  <si>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</si>
  <si>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</si>
  <si>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</si>
  <si>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</si>
  <si>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</si>
  <si>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</si>
  <si>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</si>
  <si>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</si>
  <si>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</si>
  <si>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</si>
  <si>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</si>
  <si>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</si>
  <si>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</si>
  <si>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</si>
  <si>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</si>
  <si>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</si>
  <si>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</si>
  <si>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</si>
  <si>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</si>
  <si>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</si>
  <si>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</si>
  <si>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</si>
  <si>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</si>
  <si>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</si>
  <si>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</si>
  <si>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</si>
  <si>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</si>
  <si>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</si>
  <si>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</si>
  <si>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</si>
  <si>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</si>
  <si>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</si>
  <si>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</si>
  <si>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</si>
  <si>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</si>
  <si>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</si>
  <si>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</si>
  <si>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</si>
  <si>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</si>
  <si>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</si>
  <si>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</si>
  <si>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</si>
  <si>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</si>
  <si>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</si>
  <si>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</si>
  <si>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</si>
  <si>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</si>
  <si>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</si>
  <si>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</si>
  <si>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</si>
  <si>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</si>
  <si>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</si>
  <si>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</si>
  <si>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</si>
  <si>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</si>
  <si>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</si>
  <si>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</si>
  <si>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</si>
  <si>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</si>
  <si>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</si>
  <si>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</si>
  <si>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</si>
  <si>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</si>
  <si>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</si>
  <si>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</si>
  <si>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</si>
  <si>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</si>
  <si>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</si>
  <si>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</si>
  <si>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</si>
  <si>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</si>
  <si>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</si>
  <si>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</si>
  <si>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</si>
  <si>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</si>
  <si>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</si>
  <si>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</si>
  <si>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</si>
  <si>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</si>
  <si>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</si>
  <si>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</si>
  <si>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</si>
  <si>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</si>
  <si>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</si>
  <si>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</si>
  <si>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</si>
  <si>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</si>
  <si>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</si>
  <si>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</si>
  <si>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</si>
  <si>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</si>
  <si>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</si>
  <si>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</si>
  <si>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</si>
  <si>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</si>
  <si>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</si>
  <si>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</si>
  <si>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</si>
  <si>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</si>
  <si>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</si>
  <si>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</si>
  <si>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</si>
  <si>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</si>
  <si>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</si>
  <si>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</si>
  <si>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</si>
  <si>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</si>
  <si>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</si>
  <si>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</si>
  <si>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</si>
  <si>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</si>
  <si>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</si>
  <si>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</si>
  <si>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</si>
  <si>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</si>
  <si>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</si>
  <si>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</si>
  <si>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</si>
  <si>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</si>
  <si>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</si>
  <si>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</si>
  <si>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</si>
  <si>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</si>
  <si>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</si>
  <si>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</si>
  <si>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</si>
  <si>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</si>
  <si>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</si>
  <si>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</si>
  <si>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</si>
  <si>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</si>
  <si>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</si>
  <si>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</si>
  <si>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</si>
  <si>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</si>
  <si>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</si>
  <si>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</si>
  <si>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</si>
  <si>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</si>
  <si>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</si>
  <si>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</si>
  <si>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</si>
  <si>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</si>
  <si>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</si>
  <si>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</si>
  <si>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</si>
  <si>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</si>
  <si>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</si>
  <si>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</si>
  <si>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</si>
  <si>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</si>
  <si>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</si>
  <si>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</si>
  <si>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</si>
  <si>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</si>
  <si>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</si>
  <si>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</si>
  <si>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</si>
  <si>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</si>
  <si>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</si>
  <si>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</si>
  <si>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</si>
  <si>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</si>
  <si>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</si>
  <si>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</si>
  <si>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</si>
  <si>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</si>
  <si>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</si>
  <si>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</si>
  <si>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</si>
  <si>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</si>
  <si>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</si>
  <si>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</si>
  <si>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</si>
  <si>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</si>
  <si>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</si>
  <si>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</si>
  <si>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</si>
  <si>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</si>
  <si>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</si>
  <si>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</si>
  <si>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</si>
  <si>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</si>
  <si>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</si>
  <si>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</si>
  <si>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</si>
  <si>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</si>
  <si>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</si>
  <si>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</si>
  <si>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</si>
  <si>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</si>
  <si>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</si>
  <si>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</si>
  <si>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</si>
  <si>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</si>
  <si>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</si>
  <si>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</si>
  <si>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</si>
  <si>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</si>
  <si>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</si>
  <si>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</si>
  <si>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</si>
  <si>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</si>
  <si>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</si>
  <si>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</si>
  <si>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</si>
  <si>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</si>
  <si>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</si>
  <si>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</si>
  <si>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</si>
  <si>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</si>
  <si>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</si>
  <si>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</si>
  <si>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</si>
  <si>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</si>
  <si>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</si>
  <si>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</si>
  <si>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</si>
  <si>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</si>
  <si>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</si>
  <si>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</si>
  <si>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</si>
  <si>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</si>
  <si>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</si>
  <si>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</si>
  <si>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</si>
  <si>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</si>
  <si>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</si>
  <si>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</si>
  <si>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</si>
  <si>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</si>
  <si>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</si>
  <si>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</si>
  <si>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</si>
  <si>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</si>
  <si>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</si>
  <si>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</si>
  <si>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</si>
  <si>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</si>
  <si>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</si>
  <si>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</si>
  <si>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</si>
  <si>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</si>
  <si>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</si>
  <si>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</si>
  <si>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</si>
  <si>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</si>
  <si>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</si>
  <si>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</si>
  <si>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</si>
  <si>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</si>
  <si>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</si>
  <si>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</si>
  <si>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</si>
  <si>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</si>
  <si>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</si>
  <si>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</si>
  <si>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</si>
  <si>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</si>
  <si>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</si>
  <si>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</si>
  <si>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</si>
  <si>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</si>
  <si>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</si>
  <si>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</si>
  <si>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</si>
  <si>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</si>
  <si>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</si>
  <si>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</si>
  <si>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</si>
  <si>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</si>
  <si>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</si>
  <si>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</si>
  <si>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</si>
  <si>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</si>
  <si>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</si>
  <si>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</si>
  <si>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</si>
  <si>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</si>
  <si>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</si>
  <si>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</si>
  <si>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</si>
  <si>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</si>
  <si>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</si>
  <si>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</si>
  <si>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</si>
  <si>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</si>
  <si>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</si>
  <si>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</si>
  <si>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</si>
  <si>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</si>
  <si>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</si>
  <si>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</si>
  <si>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</si>
  <si>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</si>
  <si>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</si>
  <si>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</si>
  <si>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</si>
  <si>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</si>
  <si>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</si>
  <si>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</si>
  <si>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</si>
  <si>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</si>
  <si>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</si>
  <si>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</si>
  <si>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</si>
  <si>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</si>
  <si>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</si>
  <si>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</si>
  <si>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</si>
  <si>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</si>
  <si>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</si>
  <si>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</si>
  <si>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</si>
  <si>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</si>
  <si>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</si>
  <si>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</si>
  <si>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</si>
  <si>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</si>
  <si>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</si>
  <si>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</si>
  <si>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</si>
  <si>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</si>
  <si>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</si>
  <si>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</si>
  <si>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</si>
  <si>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</si>
  <si>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</si>
  <si>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</si>
  <si>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</si>
  <si>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</si>
  <si>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</si>
  <si>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</si>
  <si>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</si>
  <si>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</si>
  <si>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</si>
  <si>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</si>
  <si>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</si>
  <si>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</si>
  <si>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</si>
  <si>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</si>
  <si>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</si>
  <si>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</si>
  <si>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</si>
  <si>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</si>
  <si>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</si>
  <si>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</si>
  <si>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</si>
  <si>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</si>
  <si>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</si>
  <si>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</si>
  <si>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</si>
  <si>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</si>
  <si>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</si>
  <si>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</si>
  <si>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</si>
  <si>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</si>
  <si>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</si>
  <si>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</si>
  <si>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</si>
  <si>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</si>
  <si>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</si>
  <si>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</si>
  <si>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</si>
  <si>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</si>
  <si>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</si>
  <si>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</si>
  <si>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</si>
  <si>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</si>
  <si>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</si>
  <si>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</si>
  <si>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</si>
  <si>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</si>
  <si>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</si>
  <si>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</si>
  <si>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</si>
  <si>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</si>
  <si>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</si>
  <si>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</si>
  <si>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</si>
  <si>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</si>
  <si>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</si>
  <si>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</si>
  <si>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</si>
  <si>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</si>
  <si>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</si>
  <si>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</si>
  <si>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</si>
  <si>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</si>
  <si>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</si>
  <si>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</si>
  <si>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</si>
  <si>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</si>
  <si>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</si>
  <si>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</si>
  <si>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</si>
  <si>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</si>
  <si>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</si>
  <si>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</si>
  <si>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</si>
  <si>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</si>
  <si>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</si>
  <si>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</si>
  <si>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</si>
  <si>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</si>
  <si>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</si>
  <si>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</si>
  <si>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</si>
  <si>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</si>
  <si>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</si>
  <si>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</si>
  <si>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</si>
  <si>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</si>
  <si>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</si>
  <si>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</si>
  <si>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</si>
  <si>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</si>
  <si>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</si>
  <si>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</si>
  <si>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</si>
  <si>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</si>
  <si>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</si>
  <si>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</si>
  <si>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</si>
  <si>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</si>
  <si>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</si>
  <si>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</si>
  <si>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</si>
  <si>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</si>
  <si>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</si>
  <si>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</si>
  <si>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</si>
  <si>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</si>
  <si>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</si>
  <si>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</si>
  <si>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</si>
  <si>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</si>
  <si>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</si>
  <si>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</si>
  <si>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</si>
  <si>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</si>
  <si>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</si>
  <si>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</si>
  <si>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</si>
  <si>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</si>
  <si>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</si>
  <si>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</si>
  <si>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</si>
  <si>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</si>
  <si>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</si>
  <si>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</si>
  <si>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</si>
  <si>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</si>
  <si>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</si>
  <si>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</si>
  <si>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</si>
  <si>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</si>
  <si>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</si>
  <si>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</si>
  <si>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</si>
  <si>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</si>
  <si>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</si>
  <si>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</si>
  <si>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</si>
  <si>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</si>
  <si>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</si>
  <si>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</si>
  <si>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</si>
  <si>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</si>
  <si>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</si>
  <si>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</si>
  <si>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</si>
  <si>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</si>
  <si>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</si>
  <si>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</si>
  <si>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</si>
  <si>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</si>
  <si>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</si>
  <si>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</si>
  <si>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</si>
  <si>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</si>
  <si>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</si>
  <si>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</si>
  <si>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</si>
  <si>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</si>
  <si>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</si>
  <si>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</si>
  <si>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</si>
  <si>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</si>
  <si>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</si>
  <si>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</si>
  <si>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</si>
  <si>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</si>
  <si>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</si>
  <si>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</si>
  <si>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</si>
  <si>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</si>
  <si>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</si>
  <si>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</si>
  <si>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</si>
  <si>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</si>
  <si>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</si>
  <si>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</si>
  <si>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</si>
  <si>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</si>
  <si>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</si>
  <si>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</si>
  <si>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</si>
  <si>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</si>
  <si>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</si>
  <si>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</si>
  <si>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</si>
  <si>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</si>
  <si>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</si>
  <si>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</si>
  <si>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</si>
  <si>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</si>
  <si>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</si>
  <si>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</si>
  <si>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</si>
  <si>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</si>
  <si>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</si>
  <si>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</si>
  <si>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</si>
  <si>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</si>
  <si>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</si>
  <si>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</si>
  <si>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</si>
  <si>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</si>
  <si>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</si>
  <si>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</si>
  <si>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</si>
  <si>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</si>
  <si>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</si>
  <si>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</si>
  <si>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</si>
  <si>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</si>
  <si>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</si>
  <si>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</si>
  <si>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</si>
  <si>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</si>
  <si>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</si>
  <si>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</si>
  <si>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</si>
  <si>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</si>
  <si>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</si>
  <si>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</si>
  <si>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</si>
  <si>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</si>
  <si>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</si>
  <si>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</si>
  <si>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</si>
  <si>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</si>
  <si>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</si>
  <si>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</si>
  <si>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</si>
  <si>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</si>
  <si>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</si>
  <si>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</si>
  <si>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</si>
  <si>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</si>
  <si>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</si>
  <si>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</si>
  <si>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</si>
  <si>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</si>
  <si>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</si>
  <si>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</si>
  <si>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</si>
  <si>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</si>
  <si>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</si>
  <si>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</si>
  <si>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</si>
  <si>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</si>
  <si>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</si>
  <si>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</si>
  <si>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</si>
  <si>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</si>
  <si>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</si>
  <si>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</si>
  <si>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</si>
  <si>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</si>
  <si>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</si>
  <si>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</si>
  <si>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</si>
  <si>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</si>
  <si>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</si>
  <si>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</si>
  <si>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</si>
  <si>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</si>
  <si>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</si>
  <si>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</si>
  <si>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</si>
  <si>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</si>
  <si>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</si>
  <si>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</si>
  <si>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</si>
  <si>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</si>
  <si>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</si>
  <si>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</si>
  <si>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</si>
  <si>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</si>
  <si>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</si>
  <si>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</si>
  <si>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</si>
  <si>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</si>
  <si>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</si>
  <si>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</si>
  <si>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</si>
  <si>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</si>
  <si>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</si>
  <si>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</si>
  <si>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</si>
  <si>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</si>
  <si>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</si>
  <si>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</si>
  <si>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</si>
  <si>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</si>
  <si>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</si>
  <si>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</si>
  <si>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</si>
  <si>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</si>
  <si>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</si>
  <si>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</si>
  <si>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</si>
  <si>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</si>
  <si>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</si>
  <si>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</si>
  <si>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</si>
  <si>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</si>
  <si>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</si>
  <si>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</si>
  <si>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</si>
  <si>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</si>
  <si>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</si>
  <si>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</si>
  <si>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</si>
  <si>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</si>
  <si>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</si>
  <si>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</si>
  <si>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</si>
  <si>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</si>
  <si>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</si>
  <si>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</si>
  <si>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</si>
  <si>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</si>
  <si>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</si>
  <si>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</si>
  <si>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</si>
  <si>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</si>
  <si>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</si>
  <si>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</si>
  <si>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</si>
  <si>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</si>
  <si>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</si>
  <si>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</si>
  <si>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</si>
  <si>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</si>
  <si>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</si>
  <si>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</si>
  <si>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</si>
  <si>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</si>
  <si>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</si>
  <si>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</si>
  <si>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</si>
  <si>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</si>
  <si>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</si>
  <si>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</si>
  <si>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</si>
  <si>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</si>
  <si>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</si>
  <si>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</si>
  <si>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</si>
  <si>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</si>
  <si>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</si>
  <si>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</si>
  <si>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</si>
  <si>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</si>
  <si>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</si>
  <si>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</si>
  <si>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</si>
  <si>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</si>
  <si>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</si>
  <si>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</si>
  <si>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</si>
  <si>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</si>
  <si>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</si>
  <si>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</si>
  <si>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</si>
  <si>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</si>
  <si>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</si>
  <si>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</si>
  <si>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</si>
  <si>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</si>
  <si>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</si>
  <si>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</si>
  <si>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</si>
  <si>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</si>
  <si>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</si>
  <si>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</si>
  <si>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</si>
  <si>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</si>
  <si>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</si>
  <si>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</si>
  <si>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</si>
  <si>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</si>
  <si>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</si>
  <si>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</si>
  <si>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</si>
  <si>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</si>
  <si>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</si>
  <si>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</si>
  <si>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</si>
  <si>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</si>
  <si>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</si>
  <si>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</si>
  <si>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</si>
  <si>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</si>
  <si>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</si>
  <si>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</si>
  <si>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</si>
  <si>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</si>
  <si>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</si>
  <si>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</si>
  <si>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</si>
  <si>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</si>
  <si>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</si>
  <si>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</si>
  <si>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</si>
  <si>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</si>
  <si>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</si>
  <si>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</si>
  <si>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</si>
  <si>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</si>
  <si>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</si>
  <si>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</si>
  <si>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</si>
  <si>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</si>
  <si>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</si>
  <si>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</si>
  <si>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</si>
  <si>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</si>
  <si>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</si>
  <si>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</si>
  <si>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</si>
  <si>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</si>
  <si>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</si>
  <si>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</si>
  <si>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</si>
  <si>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</si>
  <si>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</si>
  <si>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</si>
  <si>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</si>
  <si>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</si>
  <si>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</si>
  <si>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</si>
  <si>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</si>
  <si>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</si>
  <si>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</si>
  <si>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</si>
  <si>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</si>
  <si>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</si>
  <si>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</si>
  <si>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</si>
  <si>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</si>
  <si>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</si>
  <si>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</si>
  <si>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</si>
  <si>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</si>
  <si>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</si>
  <si>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</si>
  <si>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</si>
  <si>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</si>
  <si>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</si>
  <si>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</si>
  <si>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</si>
  <si>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</si>
  <si>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</si>
  <si>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</si>
  <si>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</si>
  <si>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</si>
  <si>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</si>
  <si>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</si>
  <si>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</si>
  <si>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</si>
  <si>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</si>
  <si>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</si>
  <si>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</si>
  <si>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</si>
  <si>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</si>
  <si>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</si>
  <si>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</si>
  <si>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</si>
  <si>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</si>
  <si>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</si>
  <si>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</si>
  <si>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</si>
  <si>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</si>
  <si>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</si>
  <si>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</si>
  <si>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</si>
  <si>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</si>
  <si>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</si>
  <si>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</si>
  <si>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</si>
  <si>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</si>
  <si>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</si>
  <si>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</si>
  <si>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</si>
  <si>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</si>
  <si>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</si>
  <si>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</si>
  <si>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</si>
  <si>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</si>
  <si>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</si>
  <si>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</si>
  <si>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</si>
  <si>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</si>
  <si>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</si>
  <si>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</si>
  <si>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</si>
  <si>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</si>
  <si>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</si>
  <si>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</si>
  <si>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</si>
  <si>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</si>
  <si>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</si>
  <si>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</si>
  <si>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</si>
  <si>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</si>
  <si>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</si>
  <si>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</si>
  <si>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</si>
  <si>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</si>
  <si>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</si>
  <si>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</si>
  <si>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</si>
  <si>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</si>
  <si>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</si>
  <si>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</si>
  <si>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</si>
  <si>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</si>
  <si>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</si>
  <si>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</si>
  <si>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</si>
  <si>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</si>
  <si>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</si>
  <si>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</si>
  <si>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</si>
  <si>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</si>
  <si>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</si>
  <si>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</si>
  <si>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</si>
  <si>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</si>
  <si>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</si>
  <si>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</si>
  <si>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</si>
  <si>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</si>
  <si>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</si>
  <si>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</si>
  <si>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</si>
  <si>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</si>
  <si>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</si>
  <si>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</si>
  <si>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</si>
  <si>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</si>
  <si>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</si>
  <si>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</si>
  <si>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</si>
  <si>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</si>
  <si>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</si>
  <si>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</si>
  <si>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</si>
  <si>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</si>
  <si>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</si>
  <si>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</si>
  <si>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</si>
  <si>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</si>
  <si>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</si>
  <si>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</si>
  <si>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</si>
  <si>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</si>
  <si>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</si>
  <si>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</si>
  <si>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</si>
  <si>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</si>
  <si>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</si>
  <si>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</si>
  <si>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</si>
  <si>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</si>
  <si>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</si>
  <si>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</si>
  <si>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</si>
  <si>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</si>
  <si>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</si>
  <si>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</si>
  <si>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</si>
  <si>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</si>
  <si>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</si>
  <si>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</si>
  <si>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</si>
  <si>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</si>
  <si>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</si>
  <si>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</si>
  <si>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</si>
  <si>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</si>
  <si>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</si>
  <si>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</si>
  <si>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</si>
  <si>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</si>
  <si>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</si>
  <si>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</si>
  <si>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</si>
  <si>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</si>
  <si>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</si>
  <si>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</si>
  <si>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</si>
  <si>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</si>
  <si>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</si>
  <si>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</si>
  <si>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</si>
  <si>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</si>
  <si>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</si>
  <si>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</si>
  <si>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</si>
  <si>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</si>
  <si>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</si>
  <si>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</si>
  <si>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</si>
  <si>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</si>
  <si>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</si>
  <si>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</si>
  <si>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</si>
  <si>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</si>
  <si>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</si>
  <si>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</si>
  <si>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</si>
  <si>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</si>
  <si>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</si>
  <si>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</si>
  <si>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</si>
  <si>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</si>
  <si>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</si>
  <si>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</si>
  <si>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</si>
  <si>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</si>
  <si>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</si>
  <si>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</si>
  <si>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</si>
  <si>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</si>
  <si>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</si>
  <si>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</si>
  <si>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</si>
  <si>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</si>
  <si>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</si>
  <si>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</si>
  <si>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</si>
  <si>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</si>
  <si>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</si>
  <si>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</si>
  <si>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</si>
  <si>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</si>
  <si>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</si>
  <si>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</si>
  <si>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</si>
  <si>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</si>
  <si>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</si>
  <si>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</si>
  <si>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</si>
  <si>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</si>
  <si>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</si>
  <si>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</si>
  <si>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</si>
  <si>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</si>
  <si>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</si>
  <si>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</si>
  <si>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</si>
  <si>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</si>
  <si>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</si>
  <si>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</si>
  <si>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</si>
  <si>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</si>
  <si>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</si>
  <si>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</si>
  <si>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</si>
  <si>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</si>
  <si>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</si>
  <si>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</si>
  <si>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</si>
  <si>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</si>
  <si>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</si>
  <si>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</si>
  <si>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</si>
  <si>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</si>
  <si>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</si>
  <si>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</si>
  <si>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</si>
  <si>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</si>
  <si>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</si>
  <si>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</si>
  <si>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</si>
  <si>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</si>
  <si>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</si>
  <si>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</si>
  <si>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</si>
  <si>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</si>
  <si>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</si>
  <si>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</si>
  <si>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</si>
  <si>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</si>
  <si>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</si>
  <si>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</si>
  <si>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</si>
  <si>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</si>
  <si>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</si>
  <si>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</si>
  <si>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</si>
  <si>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</si>
  <si>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</si>
  <si>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</si>
  <si>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</si>
  <si>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</si>
  <si>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</si>
  <si>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</si>
  <si>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</si>
  <si>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</si>
  <si>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</si>
  <si>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</si>
  <si>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</si>
  <si>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</si>
  <si>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</si>
  <si>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</si>
  <si>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</si>
  <si>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</si>
  <si>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</si>
  <si>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</si>
  <si>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</si>
  <si>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</si>
  <si>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</si>
  <si>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</si>
  <si>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</si>
  <si>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</si>
  <si>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</si>
  <si>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</si>
  <si>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</si>
  <si>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</si>
  <si>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</si>
  <si>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</si>
  <si>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</si>
  <si>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</si>
  <si>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</si>
  <si>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</si>
  <si>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</si>
  <si>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</si>
  <si>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</si>
  <si>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</si>
  <si>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</si>
  <si>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</si>
  <si>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</si>
  <si>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</si>
  <si>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</si>
  <si>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</si>
  <si>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</si>
  <si>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</si>
  <si>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</si>
  <si>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</si>
  <si>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</si>
  <si>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</si>
  <si>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</si>
  <si>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</si>
  <si>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</si>
  <si>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</si>
  <si>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</si>
  <si>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</si>
  <si>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</si>
  <si>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</si>
  <si>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</si>
  <si>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</si>
  <si>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</si>
  <si>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</si>
  <si>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</si>
  <si>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</si>
  <si>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</si>
  <si>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</si>
  <si>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</si>
  <si>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</si>
  <si>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</si>
  <si>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</si>
  <si>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</si>
  <si>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</si>
  <si>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</si>
  <si>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</si>
  <si>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</si>
  <si>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</si>
  <si>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</si>
  <si>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</si>
  <si>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</si>
  <si>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</si>
  <si>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</si>
  <si>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</si>
  <si>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</si>
  <si>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</si>
  <si>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</si>
  <si>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</si>
  <si>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</si>
  <si>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</si>
  <si>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</si>
  <si>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</si>
  <si>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</si>
  <si>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</si>
  <si>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</si>
  <si>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</si>
  <si>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</si>
  <si>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</si>
  <si>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</si>
  <si>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</si>
  <si>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</si>
  <si>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</si>
  <si>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</si>
  <si>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</si>
  <si>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</si>
  <si>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</si>
  <si>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</si>
  <si>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</si>
  <si>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</si>
  <si>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</si>
  <si>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</si>
  <si>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</si>
  <si>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</si>
  <si>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</si>
  <si>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</si>
  <si>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</si>
  <si>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</si>
  <si>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</si>
  <si>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</si>
  <si>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</si>
  <si>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</si>
  <si>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</si>
  <si>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</si>
  <si>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</si>
  <si>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</si>
  <si>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</si>
  <si>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</si>
  <si>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</si>
  <si>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</si>
  <si>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</si>
  <si>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</si>
  <si>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</si>
  <si>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</si>
  <si>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</si>
  <si>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</si>
  <si>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</si>
  <si>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</si>
  <si>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</si>
  <si>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</si>
  <si>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</si>
  <si>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</si>
  <si>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</si>
  <si>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</si>
  <si>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</si>
  <si>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</si>
  <si>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</si>
  <si>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</si>
  <si>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</si>
  <si>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</si>
  <si>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</si>
  <si>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</si>
  <si>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</si>
  <si>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</si>
  <si>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</si>
  <si>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</si>
  <si>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</si>
  <si>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</si>
  <si>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</si>
  <si>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</si>
  <si>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</si>
  <si>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</si>
  <si>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</si>
  <si>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</si>
  <si>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</si>
  <si>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</si>
  <si>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</si>
  <si>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</si>
  <si>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</si>
  <si>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</si>
  <si>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</si>
  <si>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</si>
  <si>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</si>
  <si>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</si>
  <si>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</si>
  <si>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</si>
  <si>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</si>
  <si>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</si>
  <si>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</si>
  <si>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</si>
  <si>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</si>
  <si>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</si>
  <si>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</si>
  <si>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</si>
  <si>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</si>
  <si>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</si>
  <si>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</si>
  <si>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</si>
  <si>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</si>
  <si>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</si>
  <si>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</si>
  <si>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</si>
  <si>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</si>
  <si>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</si>
  <si>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</si>
  <si>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</si>
  <si>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</si>
  <si>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</si>
  <si>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</si>
  <si>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</si>
  <si>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</si>
  <si>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</si>
  <si>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</si>
  <si>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</si>
  <si>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</si>
  <si>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</si>
  <si>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</si>
  <si>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</si>
  <si>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</si>
  <si>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</si>
  <si>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</si>
  <si>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</si>
  <si>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</si>
  <si>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</si>
  <si>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</si>
  <si>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</si>
  <si>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</si>
  <si>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</si>
  <si>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</si>
  <si>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</si>
  <si>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</si>
  <si>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</si>
  <si>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</si>
  <si>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</si>
  <si>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</si>
  <si>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</si>
  <si>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</si>
  <si>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</si>
  <si>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</si>
  <si>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</si>
  <si>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</si>
  <si>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</si>
  <si>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</si>
  <si>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</si>
  <si>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</si>
  <si>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</si>
  <si>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</si>
  <si>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</si>
  <si>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</si>
  <si>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</si>
  <si>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</si>
  <si>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</si>
  <si>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</si>
  <si>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</si>
  <si>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</si>
  <si>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</si>
  <si>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</si>
  <si>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</si>
  <si>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</si>
  <si>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</si>
  <si>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</si>
  <si>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</si>
  <si>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</si>
  <si>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</si>
  <si>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</si>
  <si>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</si>
  <si>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</si>
  <si>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</si>
  <si>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</si>
  <si>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</si>
  <si>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</si>
  <si>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</si>
  <si>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</si>
  <si>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</si>
  <si>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</si>
  <si>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</si>
  <si>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</si>
  <si>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</si>
  <si>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</si>
  <si>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</si>
  <si>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</si>
  <si>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</si>
  <si>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</si>
  <si>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</si>
  <si>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</si>
  <si>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</si>
  <si>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</si>
  <si>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</si>
  <si>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</si>
  <si>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</si>
  <si>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</si>
  <si>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</si>
  <si>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</si>
  <si>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</si>
  <si>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</si>
  <si>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</si>
  <si>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</si>
  <si>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</si>
  <si>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</si>
  <si>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</si>
  <si>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</si>
  <si>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</si>
  <si>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</si>
  <si>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</si>
  <si>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</si>
  <si>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</si>
  <si>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</si>
  <si>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</si>
  <si>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</si>
  <si>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</si>
  <si>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</si>
  <si>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</si>
  <si>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</si>
  <si>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</si>
  <si>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</si>
  <si>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</si>
  <si>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</si>
  <si>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</si>
  <si>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</si>
  <si>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</si>
  <si>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</si>
  <si>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</si>
  <si>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</si>
  <si>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</si>
  <si>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</si>
  <si>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</si>
  <si>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</si>
  <si>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</si>
  <si>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</si>
  <si>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</si>
  <si>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</si>
  <si>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</si>
  <si>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</si>
  <si>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</si>
  <si>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</si>
  <si>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</si>
  <si>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</si>
  <si>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</si>
  <si>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</si>
  <si>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</si>
  <si>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</si>
  <si>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</si>
  <si>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</si>
  <si>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</si>
  <si>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</si>
  <si>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</si>
  <si>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</si>
  <si>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</si>
  <si>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</si>
  <si>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</si>
  <si>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</si>
  <si>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</si>
  <si>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</si>
  <si>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</si>
  <si>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</si>
  <si>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</si>
  <si>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</si>
  <si>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</si>
  <si>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</si>
  <si>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</si>
  <si>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</si>
  <si>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</si>
  <si>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</si>
  <si>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</si>
  <si>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</si>
  <si>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</si>
  <si>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</si>
  <si>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</si>
  <si>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</si>
  <si>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</si>
  <si>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</si>
  <si>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</si>
  <si>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</si>
  <si>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</si>
  <si>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</si>
  <si>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</si>
  <si>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</si>
  <si>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</si>
  <si>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</si>
  <si>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</si>
  <si>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</si>
  <si>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</si>
  <si>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</si>
  <si>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</si>
  <si>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</si>
  <si>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</si>
  <si>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</si>
  <si>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</si>
  <si>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</si>
  <si>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</si>
  <si>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</si>
  <si>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</si>
  <si>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</si>
  <si>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</si>
  <si>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</si>
  <si>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</si>
  <si>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</si>
  <si>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</si>
  <si>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</si>
  <si>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</si>
  <si>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</si>
  <si>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</si>
  <si>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</si>
  <si>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</si>
  <si>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</si>
  <si>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</si>
  <si>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</si>
  <si>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</si>
  <si>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</si>
  <si>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</si>
  <si>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</si>
  <si>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</si>
  <si>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</si>
  <si>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</si>
  <si>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</si>
  <si>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</si>
  <si>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</si>
  <si>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</si>
  <si>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</si>
  <si>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</si>
  <si>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</si>
  <si>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</si>
  <si>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</si>
  <si>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</si>
  <si>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</si>
  <si>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</si>
  <si>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</si>
  <si>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</si>
  <si>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</si>
  <si>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</si>
  <si>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</si>
  <si>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</si>
  <si>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</si>
  <si>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</si>
  <si>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</si>
  <si>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</si>
  <si>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</si>
  <si>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</si>
  <si>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</si>
  <si>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</si>
  <si>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</si>
  <si>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</si>
  <si>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</si>
  <si>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</si>
  <si>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</si>
  <si>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</si>
  <si>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</si>
  <si>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</si>
  <si>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</si>
  <si>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</si>
  <si>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</si>
  <si>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</si>
  <si>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</si>
  <si>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</si>
  <si>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</si>
  <si>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</si>
  <si>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</si>
  <si>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</si>
  <si>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</si>
  <si>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</si>
  <si>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</si>
  <si>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</si>
  <si>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</si>
  <si>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</si>
  <si>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</si>
  <si>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</si>
  <si>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</si>
  <si>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</si>
  <si>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</si>
  <si>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</si>
  <si>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</si>
  <si>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</si>
  <si>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</si>
  <si>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</si>
  <si>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</si>
  <si>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</si>
  <si>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</si>
  <si>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</si>
  <si>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</si>
  <si>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</si>
  <si>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</si>
  <si>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</si>
  <si>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</si>
  <si>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</si>
  <si>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</si>
  <si>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</si>
  <si>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</si>
  <si>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</si>
  <si>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</si>
  <si>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</si>
  <si>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</si>
  <si>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</si>
  <si>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</si>
  <si>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</si>
  <si>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</si>
  <si>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</si>
  <si>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</si>
  <si>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</si>
  <si>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</si>
  <si>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</si>
  <si>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</si>
  <si>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</si>
  <si>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</si>
  <si>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</si>
  <si>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</si>
  <si>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</si>
  <si>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</si>
  <si>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</si>
  <si>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</si>
  <si>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</si>
  <si>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</si>
  <si>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</si>
  <si>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</si>
  <si>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</si>
  <si>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</si>
  <si>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</si>
  <si>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</si>
  <si>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</si>
  <si>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</si>
  <si>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</si>
  <si>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</si>
  <si>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</si>
  <si>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</si>
  <si>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</si>
  <si>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</si>
  <si>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</si>
  <si>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</si>
  <si>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</si>
  <si>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</si>
  <si>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</si>
  <si>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</si>
  <si>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</si>
  <si>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</si>
  <si>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</si>
  <si>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</si>
  <si>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</si>
  <si>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</si>
  <si>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</si>
  <si>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</si>
  <si>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</si>
  <si>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</si>
  <si>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</si>
  <si>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</si>
  <si>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</si>
  <si>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</si>
  <si>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</si>
  <si>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</si>
  <si>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</si>
  <si>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</si>
  <si>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</si>
  <si>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</si>
  <si>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</si>
  <si>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</si>
  <si>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</si>
  <si>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</si>
  <si>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</si>
  <si>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</si>
  <si>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</si>
  <si>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</si>
  <si>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</si>
  <si>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</si>
  <si>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</si>
  <si>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</si>
  <si>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</si>
  <si>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</si>
  <si>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</si>
  <si>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</si>
  <si>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</si>
  <si>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</si>
  <si>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</si>
  <si>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</si>
  <si>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</si>
  <si>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</si>
  <si>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</si>
  <si>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</si>
  <si>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</si>
  <si>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</si>
  <si>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</si>
  <si>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</si>
  <si>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</si>
  <si>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</si>
  <si>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</si>
  <si>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</si>
  <si>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</si>
  <si>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</si>
  <si>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</si>
  <si>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</si>
  <si>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</si>
  <si>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</si>
  <si>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</si>
  <si>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</si>
  <si>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</si>
  <si>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</si>
  <si>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</si>
  <si>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</si>
  <si>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</si>
  <si>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</si>
  <si>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</si>
  <si>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</si>
  <si>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</si>
  <si>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</si>
  <si>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</si>
  <si>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</si>
  <si>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</si>
  <si>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</si>
  <si>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</si>
  <si>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</si>
  <si>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</si>
  <si>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</si>
  <si>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</si>
  <si>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</si>
  <si>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</si>
  <si>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</si>
  <si>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</si>
  <si>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</si>
  <si>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</si>
  <si>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</si>
  <si>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</si>
  <si>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</si>
  <si>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</si>
  <si>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</si>
  <si>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</si>
  <si>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</si>
  <si>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</si>
  <si>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</si>
  <si>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</si>
  <si>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</si>
  <si>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</si>
  <si>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</si>
  <si>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</si>
  <si>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</si>
  <si>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</si>
  <si>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</si>
  <si>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</si>
  <si>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</si>
  <si>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</si>
  <si>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</si>
  <si>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</si>
  <si>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</si>
  <si>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</si>
  <si>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</si>
  <si>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</si>
  <si>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</si>
  <si>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</si>
  <si>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</si>
  <si>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</si>
  <si>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</si>
  <si>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</si>
  <si>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</si>
  <si>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</si>
  <si>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</si>
  <si>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</si>
  <si>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</si>
  <si>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</si>
  <si>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</si>
  <si>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</si>
  <si>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</si>
  <si>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</si>
  <si>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</si>
  <si>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</si>
  <si>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</si>
  <si>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</si>
  <si>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</si>
  <si>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</si>
  <si>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</si>
  <si>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</si>
  <si>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</si>
  <si>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</si>
  <si>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</si>
  <si>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</si>
  <si>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</si>
  <si>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</si>
  <si>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</si>
  <si>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</si>
  <si>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</si>
  <si>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</si>
  <si>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</si>
  <si>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</si>
  <si>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</si>
  <si>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</si>
  <si>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</si>
  <si>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</si>
  <si>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</si>
  <si>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</si>
  <si>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</si>
  <si>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</si>
  <si>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</si>
  <si>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</si>
  <si>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</si>
  <si>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</si>
  <si>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</si>
  <si>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</si>
  <si>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</si>
  <si>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</si>
  <si>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</si>
  <si>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</si>
  <si>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</si>
  <si>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</si>
  <si>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</si>
  <si>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</si>
  <si>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</si>
  <si>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</si>
  <si>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</si>
  <si>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</si>
  <si>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</si>
  <si>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</si>
  <si>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</si>
  <si>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</si>
  <si>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</si>
  <si>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</si>
  <si>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</si>
  <si>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</si>
  <si>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</si>
  <si>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</si>
  <si>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</si>
  <si>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</si>
  <si>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</si>
  <si>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</si>
  <si>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</si>
  <si>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</si>
  <si>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</si>
  <si>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</si>
  <si>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</si>
  <si>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</si>
  <si>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</si>
  <si>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</si>
  <si>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</si>
  <si>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</si>
  <si>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</si>
  <si>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</si>
  <si>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</si>
  <si>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</si>
  <si>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</si>
  <si>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</si>
  <si>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</si>
  <si>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</si>
  <si>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</si>
  <si>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</si>
  <si>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</si>
  <si>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</si>
  <si>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</si>
  <si>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</si>
  <si>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</si>
  <si>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</si>
  <si>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</si>
  <si>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</si>
  <si>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</si>
  <si>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</si>
  <si>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</si>
  <si>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</si>
  <si>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</si>
  <si>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</si>
  <si>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</si>
  <si>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</si>
  <si>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</si>
  <si>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</si>
  <si>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</si>
  <si>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</si>
  <si>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</si>
  <si>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</si>
  <si>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</si>
  <si>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</si>
  <si>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</si>
  <si>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</si>
  <si>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</si>
  <si>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</si>
  <si>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</si>
  <si>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</si>
  <si>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</si>
  <si>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</si>
  <si>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</si>
  <si>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</si>
  <si>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</si>
  <si>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</si>
  <si>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</si>
  <si>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</si>
  <si>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</si>
  <si>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</si>
  <si>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</si>
  <si>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</si>
  <si>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</si>
  <si>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</si>
  <si>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</si>
  <si>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</si>
  <si>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</si>
  <si>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</si>
  <si>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</si>
  <si>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</si>
  <si>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</si>
  <si>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</si>
  <si>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</si>
  <si>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</si>
  <si>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</si>
  <si>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</si>
  <si>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</si>
  <si>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</si>
  <si>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</si>
  <si>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</si>
  <si>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</si>
  <si>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</si>
  <si>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</si>
  <si>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</si>
  <si>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</si>
  <si>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</si>
  <si>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</si>
  <si>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</si>
  <si>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</si>
  <si>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</si>
  <si>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</si>
  <si>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</si>
  <si>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</si>
  <si>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</si>
  <si>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</si>
  <si>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</si>
  <si>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</si>
  <si>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</si>
  <si>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</si>
  <si>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</si>
  <si>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</si>
  <si>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</si>
  <si>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</si>
  <si>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</si>
  <si>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</si>
  <si>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</si>
  <si>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</si>
  <si>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</si>
  <si>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</si>
  <si>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</si>
  <si>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</si>
  <si>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</si>
  <si>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</si>
  <si>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</si>
  <si>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</si>
  <si>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</si>
  <si>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</si>
  <si>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</si>
  <si>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</si>
  <si>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</si>
  <si>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</si>
  <si>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</si>
  <si>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</si>
  <si>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</si>
  <si>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</si>
  <si>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</si>
  <si>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</si>
  <si>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</si>
  <si>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</si>
  <si>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</si>
  <si>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</si>
  <si>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</si>
  <si>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</si>
  <si>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</si>
  <si>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</si>
  <si>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</si>
  <si>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</si>
  <si>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</si>
  <si>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</si>
  <si>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</si>
  <si>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</si>
  <si>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</si>
  <si>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</si>
  <si>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</si>
  <si>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</si>
  <si>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</si>
  <si>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</si>
  <si>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</si>
  <si>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</si>
  <si>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</si>
  <si>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</si>
  <si>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</si>
  <si>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</si>
  <si>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</si>
  <si>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</si>
  <si>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</si>
  <si>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</si>
  <si>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</si>
  <si>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</si>
  <si>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</si>
  <si>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</si>
  <si>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</si>
  <si>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</si>
  <si>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</si>
  <si>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</si>
  <si>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</si>
  <si>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</si>
  <si>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</si>
  <si>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</si>
  <si>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</si>
  <si>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</si>
  <si>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</si>
  <si>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</si>
  <si>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</si>
  <si>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</si>
  <si>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</si>
  <si>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</si>
  <si>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</si>
  <si>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</si>
  <si>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</si>
  <si>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</si>
  <si>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</si>
  <si>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</si>
  <si>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</si>
  <si>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</si>
  <si>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</si>
  <si>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</si>
  <si>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</si>
  <si>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</si>
  <si>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</si>
  <si>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</si>
  <si>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</si>
  <si>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</si>
  <si>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</si>
  <si>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</si>
  <si>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</si>
  <si>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</si>
  <si>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</si>
  <si>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</si>
  <si>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</si>
  <si>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</si>
  <si>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</si>
  <si>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</si>
  <si>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</si>
  <si>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</si>
  <si>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</si>
  <si>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</si>
  <si>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</si>
  <si>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</si>
  <si>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</si>
  <si>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</si>
  <si>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</si>
  <si>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</si>
  <si>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</si>
  <si>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</si>
  <si>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</si>
  <si>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</si>
  <si>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</si>
  <si>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</si>
  <si>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</si>
  <si>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</si>
  <si>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</si>
  <si>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</si>
  <si>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</si>
  <si>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</si>
  <si>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</si>
  <si>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</si>
  <si>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</si>
  <si>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</si>
  <si>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</si>
  <si>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</si>
  <si>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</si>
  <si>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</si>
  <si>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</si>
  <si>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</si>
  <si>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</si>
  <si>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</si>
  <si>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</si>
  <si>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</si>
  <si>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</si>
  <si>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</si>
  <si>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</si>
  <si>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</si>
  <si>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</si>
  <si>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</si>
  <si>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</si>
  <si>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</si>
  <si>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</si>
  <si>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</si>
  <si>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</si>
  <si>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</si>
  <si>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</si>
  <si>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</si>
  <si>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</si>
  <si>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</si>
  <si>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</si>
  <si>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</si>
  <si>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</si>
  <si>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</si>
  <si>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</si>
  <si>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</si>
  <si>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</si>
  <si>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</si>
  <si>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</si>
  <si>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</si>
  <si>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</si>
  <si>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</si>
  <si>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</si>
  <si>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</si>
  <si>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</si>
  <si>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</si>
  <si>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</si>
  <si>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</si>
  <si>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</si>
  <si>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</si>
  <si>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</si>
  <si>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</si>
  <si>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</si>
  <si>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</si>
  <si>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</si>
  <si>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</si>
  <si>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</si>
  <si>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</si>
  <si>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</si>
  <si>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</si>
  <si>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</si>
  <si>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</si>
  <si>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</si>
  <si>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</si>
  <si>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</si>
  <si>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</si>
  <si>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</si>
  <si>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</si>
  <si>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</si>
  <si>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</si>
  <si>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</si>
  <si>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</si>
  <si>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</si>
  <si>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</si>
  <si>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</si>
  <si>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</si>
  <si>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</si>
  <si>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</si>
  <si>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</si>
  <si>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</si>
  <si>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</si>
  <si>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</si>
  <si>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</si>
  <si>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</si>
  <si>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</si>
  <si>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</si>
  <si>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</si>
  <si>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</si>
  <si>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</si>
  <si>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</si>
  <si>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2" type="noConversion"/>
  </si>
  <si>
    <t>https://fgw.sh.gov.cn/ns2/20200302/0025-40616.html</t>
    <phoneticPr fontId="212" type="noConversion"/>
  </si>
  <si>
    <t>市场分析</t>
    <phoneticPr fontId="212" type="noConversion"/>
  </si>
  <si>
    <t>https://www.sohu.com/a/518093007_121123914</t>
    <phoneticPr fontId="212" type="noConversion"/>
  </si>
  <si>
    <t>东安大楼</t>
    <phoneticPr fontId="212" type="noConversion"/>
  </si>
  <si>
    <t>建成年代</t>
    <phoneticPr fontId="212" type="noConversion"/>
  </si>
  <si>
    <t>荣成大厦</t>
    <phoneticPr fontId="212" type="noConversion"/>
  </si>
  <si>
    <t>低区</t>
    <phoneticPr fontId="212" type="noConversion"/>
  </si>
  <si>
    <t>估价对象1（结果表）</t>
  </si>
  <si>
    <t>东安大楼</t>
    <phoneticPr fontId="212" type="noConversion"/>
  </si>
  <si>
    <t>市调实际成交166平，1270万，因为是学区房，所以贵100万，南向，中楼层，1月底成交，1997年的房子，估价对象实际成交在1150万左右</t>
    <phoneticPr fontId="212" type="noConversion"/>
  </si>
  <si>
    <t>联系电话：</t>
    <phoneticPr fontId="212" type="noConversion"/>
  </si>
  <si>
    <r>
      <t>联系电话：1</t>
    </r>
    <r>
      <rPr>
        <sz val="11"/>
        <color theme="1"/>
        <rFont val="宋体"/>
        <family val="3"/>
        <charset val="134"/>
        <scheme val="minor"/>
      </rPr>
      <t>3248071149</t>
    </r>
    <phoneticPr fontId="212" type="noConversion"/>
  </si>
  <si>
    <t>情况4</t>
  </si>
  <si>
    <t>转让取得</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</si>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</sst>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8"/>
      <name val="宋体"/>
      <family val="3"/>
      <charset val="134"/>
    </font>
    <font>
      <b/>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76200</xdr:colOff>
      <xdr:row>3</xdr:row>
      <xdr:rowOff>114300</xdr:rowOff>
    </xdr:from>
    <xdr:to>
      <xdr:col>33</xdr:col>
      <xdr:colOff>617687</xdr:colOff>
      <xdr:row>37</xdr:row>
      <xdr:rowOff>75477</xdr:rowOff>
    </xdr:to>
    <xdr:pic>
      <xdr:nvPicPr>
        <xdr:cNvPr id="3" name="图片 2"/>
        <xdr:cNvPicPr>
          <a:picLocks noChangeAspect="1"/>
        </xdr:cNvPicPr>
      </xdr:nvPicPr>
      <xdr:blipFill>
        <a:blip xmlns:r="http://schemas.openxmlformats.org/officeDocument/2006/relationships" r:embed="rId1"/>
        <a:stretch>
          <a:fillRect/>
        </a:stretch>
      </xdr:blipFill>
      <xdr:spPr>
        <a:xfrm>
          <a:off x="12020550" y="628650"/>
          <a:ext cx="11514287" cy="5790477"/>
        </a:xfrm>
        <a:prstGeom prst="rect">
          <a:avLst/>
        </a:prstGeom>
      </xdr:spPr>
    </xdr:pic>
    <xdr:clientData/>
  </xdr:twoCellAnchor>
  <xdr:twoCellAnchor editAs="oneCell">
    <xdr:from>
      <xdr:col>18</xdr:col>
      <xdr:colOff>476250</xdr:colOff>
      <xdr:row>38</xdr:row>
      <xdr:rowOff>133350</xdr:rowOff>
    </xdr:from>
    <xdr:to>
      <xdr:col>27</xdr:col>
      <xdr:colOff>208812</xdr:colOff>
      <xdr:row>60</xdr:row>
      <xdr:rowOff>132879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106400" y="6648450"/>
          <a:ext cx="5904762" cy="3771429"/>
        </a:xfrm>
        <a:prstGeom prst="rect">
          <a:avLst/>
        </a:prstGeom>
      </xdr:spPr>
    </xdr:pic>
    <xdr:clientData/>
  </xdr:twoCellAnchor>
  <xdr:twoCellAnchor editAs="oneCell">
    <xdr:from>
      <xdr:col>0</xdr:col>
      <xdr:colOff>0</xdr:colOff>
      <xdr:row>4</xdr:row>
      <xdr:rowOff>95250</xdr:rowOff>
    </xdr:from>
    <xdr:to>
      <xdr:col>16</xdr:col>
      <xdr:colOff>322403</xdr:colOff>
      <xdr:row>41</xdr:row>
      <xdr:rowOff>151600</xdr:rowOff>
    </xdr:to>
    <xdr:pic>
      <xdr:nvPicPr>
        <xdr:cNvPr id="2" name="图片 1"/>
        <xdr:cNvPicPr>
          <a:picLocks noChangeAspect="1"/>
        </xdr:cNvPicPr>
      </xdr:nvPicPr>
      <xdr:blipFill>
        <a:blip xmlns:r="http://schemas.openxmlformats.org/officeDocument/2006/relationships" r:embed="rId3"/>
        <a:stretch>
          <a:fillRect/>
        </a:stretch>
      </xdr:blipFill>
      <xdr:spPr>
        <a:xfrm>
          <a:off x="0" y="781050"/>
          <a:ext cx="11580953" cy="6400000"/>
        </a:xfrm>
        <a:prstGeom prst="rect">
          <a:avLst/>
        </a:prstGeom>
      </xdr:spPr>
    </xdr:pic>
    <xdr:clientData/>
  </xdr:twoCellAnchor>
  <xdr:twoCellAnchor editAs="oneCell">
    <xdr:from>
      <xdr:col>0</xdr:col>
      <xdr:colOff>457200</xdr:colOff>
      <xdr:row>42</xdr:row>
      <xdr:rowOff>76200</xdr:rowOff>
    </xdr:from>
    <xdr:to>
      <xdr:col>9</xdr:col>
      <xdr:colOff>427858</xdr:colOff>
      <xdr:row>64</xdr:row>
      <xdr:rowOff>113824</xdr:rowOff>
    </xdr:to>
    <xdr:pic>
      <xdr:nvPicPr>
        <xdr:cNvPr id="5" name="图片 4"/>
        <xdr:cNvPicPr>
          <a:picLocks noChangeAspect="1"/>
        </xdr:cNvPicPr>
      </xdr:nvPicPr>
      <xdr:blipFill>
        <a:blip xmlns:r="http://schemas.openxmlformats.org/officeDocument/2006/relationships" r:embed="rId4"/>
        <a:stretch>
          <a:fillRect/>
        </a:stretch>
      </xdr:blipFill>
      <xdr:spPr>
        <a:xfrm>
          <a:off x="457200" y="7277100"/>
          <a:ext cx="6142858"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B40" sqref="B40"/>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54" t="s">
        <v>349</v>
      </c>
      <c r="B8" s="3052" t="s">
        <v>350</v>
      </c>
      <c r="C8" s="3362"/>
      <c r="D8" s="3363"/>
      <c r="E8" s="3053" t="s">
        <v>351</v>
      </c>
      <c r="F8" s="3054" t="s">
        <v>352</v>
      </c>
      <c r="G8" s="3055" t="str">
        <f>C6</f>
        <v>XX</v>
      </c>
    </row>
    <row r="9" spans="1:17">
      <c r="A9" s="3354"/>
      <c r="B9" s="2182" t="s">
        <v>353</v>
      </c>
      <c r="C9" s="3037"/>
      <c r="D9" s="3056"/>
      <c r="E9" s="3057" t="s">
        <v>354</v>
      </c>
      <c r="F9" s="3058"/>
      <c r="G9" s="3059"/>
    </row>
    <row r="10" spans="1:17">
      <c r="A10" s="3354"/>
      <c r="B10" s="2182" t="s">
        <v>355</v>
      </c>
      <c r="C10" s="3364"/>
      <c r="D10" s="3365"/>
      <c r="E10" s="3061" t="s">
        <v>356</v>
      </c>
      <c r="F10" s="3062"/>
      <c r="G10" s="3063"/>
    </row>
    <row r="11" spans="1:17">
      <c r="A11" s="3354"/>
      <c r="B11" s="2138" t="s">
        <v>357</v>
      </c>
      <c r="C11" s="3366"/>
      <c r="D11" s="3367"/>
      <c r="E11" s="3046"/>
      <c r="F11" s="3046"/>
      <c r="G11" s="3047"/>
    </row>
    <row r="12" spans="1:17">
      <c r="A12" s="3355" t="s">
        <v>358</v>
      </c>
      <c r="B12" s="3064" t="s">
        <v>359</v>
      </c>
      <c r="C12" s="3065">
        <v>167.24</v>
      </c>
      <c r="D12" s="3066" t="s">
        <v>360</v>
      </c>
      <c r="E12" s="3067"/>
      <c r="F12" s="3068"/>
      <c r="G12" s="3047"/>
    </row>
    <row r="13" spans="1:17" ht="21" customHeight="1">
      <c r="A13" s="3356"/>
      <c r="B13" s="3070" t="s">
        <v>361</v>
      </c>
      <c r="C13" s="3071">
        <v>35.5</v>
      </c>
      <c r="D13" s="3072" t="s">
        <v>360</v>
      </c>
      <c r="E13" s="3073"/>
      <c r="F13" s="3046"/>
      <c r="G13" s="3047"/>
      <c r="I13" s="3353"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5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5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68" t="s">
        <v>369</v>
      </c>
      <c r="C17" s="3369"/>
      <c r="D17" s="3370" t="s">
        <v>370</v>
      </c>
      <c r="E17" s="3371"/>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75">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4" t="s">
        <v>378</v>
      </c>
      <c r="B24" s="3374"/>
      <c r="C24" s="3374"/>
      <c r="D24" s="3374"/>
      <c r="E24" s="3374"/>
      <c r="F24" s="3374"/>
      <c r="G24" s="3374"/>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75" t="s">
        <v>383</v>
      </c>
      <c r="D28" s="3376"/>
      <c r="E28" s="3112"/>
      <c r="F28" s="3111" t="s">
        <v>383</v>
      </c>
      <c r="G28" s="3112"/>
      <c r="K28" s="3014"/>
    </row>
    <row r="29" spans="1:66">
      <c r="A29" s="3114" t="s">
        <v>384</v>
      </c>
      <c r="B29" s="3115"/>
      <c r="C29" s="3377" t="s">
        <v>385</v>
      </c>
      <c r="D29" s="3378"/>
      <c r="E29" s="3115"/>
      <c r="F29" s="3114" t="s">
        <v>385</v>
      </c>
      <c r="G29" s="3115"/>
      <c r="K29" s="3014"/>
    </row>
    <row r="30" spans="1:66">
      <c r="A30" s="3114" t="s">
        <v>386</v>
      </c>
      <c r="B30" s="3115"/>
      <c r="C30" s="3377" t="s">
        <v>386</v>
      </c>
      <c r="D30" s="3378"/>
      <c r="E30" s="3115"/>
      <c r="F30" s="3114" t="s">
        <v>387</v>
      </c>
      <c r="G30" s="3115"/>
      <c r="K30" s="3014"/>
    </row>
    <row r="31" spans="1:66">
      <c r="A31" s="3114" t="s">
        <v>388</v>
      </c>
      <c r="B31" s="3115"/>
      <c r="C31" s="3357" t="s">
        <v>389</v>
      </c>
      <c r="D31" s="3046"/>
      <c r="E31" s="3117" t="str">
        <f>E32&amp;" "&amp;E33&amp;" "&amp;E34&amp;" "&amp;E35</f>
        <v/>
      </c>
      <c r="F31" s="3114" t="s">
        <v>390</v>
      </c>
      <c r="G31" s="3115"/>
    </row>
    <row r="32" spans="1:66">
      <c r="A32" s="3114" t="s">
        <v>391</v>
      </c>
      <c r="B32" s="3115"/>
      <c r="C32" s="3358"/>
      <c r="D32" s="2182" t="s">
        <v>392</v>
      </c>
      <c r="E32" s="3115"/>
      <c r="F32" s="3114" t="s">
        <v>393</v>
      </c>
      <c r="G32" s="3115"/>
    </row>
    <row r="33" spans="1:7" ht="24">
      <c r="A33" s="3118" t="s">
        <v>394</v>
      </c>
      <c r="B33" s="3119"/>
      <c r="C33" s="3358"/>
      <c r="D33" s="2182" t="s">
        <v>395</v>
      </c>
      <c r="E33" s="3115"/>
      <c r="F33" s="3114" t="s">
        <v>396</v>
      </c>
      <c r="G33" s="3115"/>
    </row>
    <row r="34" spans="1:7">
      <c r="A34" s="3111" t="s">
        <v>397</v>
      </c>
      <c r="B34" s="3112"/>
      <c r="C34" s="3358"/>
      <c r="D34" s="2182" t="s">
        <v>398</v>
      </c>
      <c r="E34" s="3115"/>
      <c r="F34" s="3114" t="s">
        <v>399</v>
      </c>
      <c r="G34" s="3115"/>
    </row>
    <row r="35" spans="1:7">
      <c r="A35" s="3114" t="s">
        <v>400</v>
      </c>
      <c r="B35" s="3115"/>
      <c r="C35" s="3359"/>
      <c r="D35" s="2182" t="s">
        <v>401</v>
      </c>
      <c r="E35" s="3115"/>
      <c r="F35" s="3118" t="s">
        <v>402</v>
      </c>
      <c r="G35" s="3120"/>
    </row>
    <row r="36" spans="1:7">
      <c r="A36" s="3114" t="s">
        <v>359</v>
      </c>
      <c r="B36" s="3115"/>
      <c r="C36" s="3377" t="s">
        <v>403</v>
      </c>
      <c r="D36" s="3378"/>
      <c r="E36" s="3115"/>
      <c r="F36" s="3113" t="s">
        <v>404</v>
      </c>
      <c r="G36" s="3112"/>
    </row>
    <row r="37" spans="1:7">
      <c r="A37" s="3114" t="s">
        <v>405</v>
      </c>
      <c r="B37" s="3115"/>
      <c r="C37" s="3379" t="s">
        <v>406</v>
      </c>
      <c r="D37" s="3380"/>
      <c r="E37" s="3119"/>
      <c r="F37" s="3116" t="s">
        <v>407</v>
      </c>
      <c r="G37" s="3115"/>
    </row>
    <row r="38" spans="1:7">
      <c r="A38" s="3114" t="s">
        <v>408</v>
      </c>
      <c r="B38" s="3115"/>
      <c r="C38" s="3360" t="s">
        <v>409</v>
      </c>
      <c r="D38" s="3066" t="s">
        <v>393</v>
      </c>
      <c r="E38" s="3112"/>
      <c r="F38" s="3118" t="s">
        <v>410</v>
      </c>
      <c r="G38" s="3119"/>
    </row>
    <row r="39" spans="1:7">
      <c r="A39" s="3114" t="s">
        <v>411</v>
      </c>
      <c r="B39" s="3115"/>
      <c r="C39" s="3361"/>
      <c r="D39" s="2182" t="s">
        <v>400</v>
      </c>
      <c r="E39" s="3115"/>
      <c r="F39" s="3111" t="s">
        <v>412</v>
      </c>
      <c r="G39" s="3112"/>
    </row>
    <row r="40" spans="1:7">
      <c r="A40" s="3114" t="s">
        <v>413</v>
      </c>
      <c r="B40" s="3115"/>
      <c r="C40" s="3361" t="s">
        <v>414</v>
      </c>
      <c r="D40" s="2182" t="s">
        <v>359</v>
      </c>
      <c r="E40" s="3115"/>
      <c r="F40" s="3114" t="s">
        <v>415</v>
      </c>
      <c r="G40" s="3115"/>
    </row>
    <row r="41" spans="1:7" ht="24.75" customHeight="1">
      <c r="A41" s="3118" t="s">
        <v>416</v>
      </c>
      <c r="B41" s="3119"/>
      <c r="C41" s="3372"/>
      <c r="D41" s="3072" t="s">
        <v>361</v>
      </c>
      <c r="E41" s="3119"/>
      <c r="F41" s="3118" t="s">
        <v>417</v>
      </c>
      <c r="G41" s="3119"/>
    </row>
    <row r="42" spans="1:7">
      <c r="A42" s="3121" t="s">
        <v>418</v>
      </c>
      <c r="B42" s="3122"/>
      <c r="C42" s="3381" t="s">
        <v>418</v>
      </c>
      <c r="D42" s="3382"/>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83" t="s">
        <v>421</v>
      </c>
      <c r="D49" s="3384"/>
      <c r="E49" s="3125"/>
      <c r="F49" s="3118" t="s">
        <v>422</v>
      </c>
      <c r="G49" s="3119"/>
    </row>
    <row r="50" spans="1:66">
      <c r="A50" s="3114" t="s">
        <v>423</v>
      </c>
      <c r="B50" s="3126"/>
      <c r="C50" s="3360" t="s">
        <v>424</v>
      </c>
      <c r="D50" s="3385"/>
      <c r="E50" s="3127"/>
      <c r="F50" s="3128"/>
      <c r="G50" s="3129"/>
    </row>
    <row r="51" spans="1:66">
      <c r="A51" s="3114" t="s">
        <v>425</v>
      </c>
      <c r="B51" s="3126"/>
      <c r="C51" s="3372" t="s">
        <v>426</v>
      </c>
      <c r="D51" s="3373"/>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2"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28.5">
      <c r="A3" s="3387"/>
      <c r="B3" s="3387"/>
      <c r="C3" s="3387"/>
      <c r="D3" s="3386"/>
      <c r="E3" s="3386"/>
      <c r="F3" s="3008" t="s">
        <v>436</v>
      </c>
      <c r="G3" s="3008" t="s">
        <v>437</v>
      </c>
      <c r="H3" s="3008" t="s">
        <v>438</v>
      </c>
      <c r="I3" s="3008" t="s">
        <v>439</v>
      </c>
      <c r="J3" s="3008" t="s">
        <v>436</v>
      </c>
      <c r="K3" s="3008" t="s">
        <v>440</v>
      </c>
      <c r="L3" s="3008" t="s">
        <v>441</v>
      </c>
      <c r="M3" s="3008" t="s">
        <v>442</v>
      </c>
    </row>
    <row r="4" spans="1:13" ht="42.75">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2.75">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2.75">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2.75">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8" activePane="bottomRight" state="frozen"/>
      <selection pane="topRight"/>
      <selection pane="bottomLeft"/>
      <selection pane="bottomRight" activeCell="B48" sqref="B48"/>
    </sheetView>
  </sheetViews>
  <sheetFormatPr defaultColWidth="13.75" defaultRowHeight="12.75"/>
  <cols>
    <col min="1" max="1" width="20.875" style="2895" customWidth="1"/>
    <col min="2" max="2" width="16.75" style="2820" customWidth="1"/>
    <col min="3" max="3" width="18.25" style="2821" customWidth="1"/>
    <col min="4" max="4" width="30.75" style="2896" customWidth="1"/>
    <col min="5" max="5" width="17.625" style="2896" customWidth="1"/>
    <col min="6" max="6" width="15.5" style="2897" customWidth="1"/>
    <col min="7" max="8" width="9.125" style="2898"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899" t="s">
        <v>451</v>
      </c>
      <c r="B1" s="2292"/>
      <c r="D1" s="2897"/>
      <c r="E1" s="2897"/>
    </row>
    <row r="2" spans="1:41" s="2824" customFormat="1" ht="15">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25">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5">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5">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3"/>
      <c r="D7" s="2914"/>
      <c r="E7" s="2914"/>
      <c r="F7" s="2904"/>
      <c r="G7" s="2904"/>
      <c r="H7" s="2904"/>
    </row>
    <row r="8" spans="1:41" s="1014" customFormat="1" ht="15" hidden="1">
      <c r="A8" s="2913"/>
      <c r="D8" s="2914"/>
      <c r="E8" s="2914"/>
      <c r="F8" s="2904"/>
      <c r="G8" s="2904"/>
      <c r="H8" s="2904"/>
    </row>
    <row r="9" spans="1:41" s="1014" customFormat="1" ht="14.25" hidden="1">
      <c r="C9" s="2915"/>
      <c r="D9" s="2904"/>
      <c r="E9" s="2904"/>
      <c r="F9" s="2904"/>
      <c r="G9" s="2904"/>
      <c r="H9" s="2904"/>
    </row>
    <row r="10" spans="1:41" s="2824" customFormat="1" ht="14.25">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25">
      <c r="A11" s="2920" t="s">
        <v>465</v>
      </c>
      <c r="B11" s="2921">
        <v>70</v>
      </c>
      <c r="C11" s="1014"/>
      <c r="D11" s="2922" t="s">
        <v>466</v>
      </c>
      <c r="E11" s="2923">
        <v>430</v>
      </c>
      <c r="F11" s="2924" t="s">
        <v>467</v>
      </c>
      <c r="G11" s="1014" t="s">
        <v>2470</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14.25">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25">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25">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25">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25">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25">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4.25">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25">
      <c r="A20" s="2947" t="s">
        <v>485</v>
      </c>
      <c r="B20" s="2508"/>
      <c r="C20" s="1014"/>
      <c r="D20" s="2948" t="str">
        <f>IF(B26=0,"成新率","工程进度")</f>
        <v>成新率</v>
      </c>
      <c r="E20" s="2949">
        <f>ROUND((G20+G21)/2,2)</f>
        <v>0.64</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25">
      <c r="A21" s="2950" t="s">
        <v>486</v>
      </c>
      <c r="B21" s="2951">
        <v>0</v>
      </c>
      <c r="C21" s="1014"/>
      <c r="D21" s="2925" t="s">
        <v>487</v>
      </c>
      <c r="E21" s="2952">
        <v>0.03</v>
      </c>
      <c r="F21" s="2953" t="s">
        <v>488</v>
      </c>
      <c r="G21" s="1014">
        <v>0.7</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25">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25">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25">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2" t="s">
        <v>497</v>
      </c>
      <c r="B25" s="2963">
        <f>B21+B23</f>
        <v>2</v>
      </c>
      <c r="C25" s="1014"/>
      <c r="D25" s="2922" t="s">
        <v>498</v>
      </c>
      <c r="E25" s="2952">
        <v>0.02</v>
      </c>
      <c r="F25" s="2953" t="s">
        <v>499</v>
      </c>
      <c r="I25" s="2898"/>
    </row>
    <row r="26" spans="1:41" ht="14.25">
      <c r="A26" s="2959" t="s">
        <v>500</v>
      </c>
      <c r="B26" s="2964">
        <f>B22-B23</f>
        <v>0</v>
      </c>
      <c r="D26" s="2925" t="s">
        <v>501</v>
      </c>
      <c r="E26" s="2956">
        <v>0.02</v>
      </c>
      <c r="F26" s="2953" t="s">
        <v>499</v>
      </c>
      <c r="G26" s="2904"/>
      <c r="H26" s="2904"/>
      <c r="I26" s="1014"/>
      <c r="J26" s="1014"/>
      <c r="K26" s="1014"/>
      <c r="L26" s="1014"/>
      <c r="M26" s="1014"/>
      <c r="N26" s="1014"/>
    </row>
    <row r="27" spans="1:41" ht="15">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25">
      <c r="A28" s="2292"/>
      <c r="B28" s="2292"/>
      <c r="D28" s="2931" t="s">
        <v>504</v>
      </c>
      <c r="E28" s="2970">
        <v>0.15</v>
      </c>
      <c r="G28" s="2904"/>
      <c r="H28" s="2904"/>
      <c r="K28" s="1014"/>
      <c r="N28" s="1014"/>
    </row>
    <row r="29" spans="1:41" ht="14.25">
      <c r="A29" s="2971" t="s">
        <v>505</v>
      </c>
      <c r="B29" s="2972"/>
      <c r="D29" s="2934" t="s">
        <v>506</v>
      </c>
      <c r="E29" s="2973">
        <f>E30+E31</f>
        <v>5.6000000000000001E-2</v>
      </c>
      <c r="F29" s="873"/>
      <c r="G29" s="2904"/>
      <c r="H29" s="2904"/>
      <c r="K29" s="1014"/>
      <c r="N29" s="1014"/>
    </row>
    <row r="30" spans="1:41" ht="14.25">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25">
      <c r="A31" s="2925" t="s">
        <v>508</v>
      </c>
      <c r="B31" s="2977">
        <f ca="1">存贷款利率!I1</f>
        <v>1.4999999999999999E-2</v>
      </c>
      <c r="D31" s="2938" t="s">
        <v>509</v>
      </c>
      <c r="E31" s="2978">
        <f>E30*(E32+E33+E34)+E35</f>
        <v>6.0000000000000001E-3</v>
      </c>
      <c r="F31" s="873"/>
      <c r="G31" s="2904"/>
      <c r="H31" s="2904"/>
      <c r="K31" s="1014"/>
      <c r="N31" s="1014"/>
    </row>
    <row r="32" spans="1:41" ht="14.25">
      <c r="A32" s="2925" t="s">
        <v>510</v>
      </c>
      <c r="B32" s="2936">
        <v>0.03</v>
      </c>
      <c r="D32" s="2938" t="s">
        <v>511</v>
      </c>
      <c r="E32" s="2979">
        <v>7.0000000000000007E-2</v>
      </c>
      <c r="F32" s="2953" t="s">
        <v>512</v>
      </c>
      <c r="G32" s="2904"/>
      <c r="H32" s="2904"/>
      <c r="K32" s="1014"/>
      <c r="L32" s="1014"/>
      <c r="M32" s="1014"/>
      <c r="N32" s="1014"/>
    </row>
    <row r="33" spans="1:14" ht="14.25">
      <c r="A33" s="2925" t="s">
        <v>513</v>
      </c>
      <c r="B33" s="2936">
        <v>0.1</v>
      </c>
      <c r="D33" s="2938" t="s">
        <v>514</v>
      </c>
      <c r="E33" s="2975">
        <v>0.03</v>
      </c>
      <c r="F33" s="2980" t="s">
        <v>515</v>
      </c>
      <c r="G33" s="2904"/>
      <c r="H33" s="2904"/>
      <c r="K33" s="1014"/>
      <c r="L33" s="1014"/>
      <c r="M33" s="1014"/>
      <c r="N33" s="1014"/>
    </row>
    <row r="34" spans="1:14" s="2821" customFormat="1" ht="14.25">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25">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5">
      <c r="A36" s="2984" t="s">
        <v>520</v>
      </c>
      <c r="B36" s="2985"/>
      <c r="D36" s="2986" t="s">
        <v>521</v>
      </c>
      <c r="E36" s="2987">
        <v>0.03</v>
      </c>
      <c r="F36" s="2508" t="s">
        <v>522</v>
      </c>
      <c r="G36" s="2904"/>
      <c r="H36" s="2904"/>
      <c r="I36" s="1014"/>
      <c r="J36" s="1014"/>
      <c r="K36" s="1014"/>
      <c r="L36" s="1014"/>
      <c r="M36" s="1014"/>
      <c r="N36" s="1014"/>
    </row>
    <row r="37" spans="1:14" s="2821" customFormat="1" ht="14.25">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25">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25">
      <c r="A39" s="2925" t="str">
        <f>IF(B29="租赁期内按合同租金","空置率","——")</f>
        <v>——</v>
      </c>
      <c r="B39" s="2936"/>
      <c r="D39" s="2931" t="s">
        <v>526</v>
      </c>
      <c r="E39" s="2991">
        <v>0.12</v>
      </c>
      <c r="F39" s="2508"/>
      <c r="G39" s="2904"/>
      <c r="H39" s="2904"/>
      <c r="I39" s="1014"/>
      <c r="J39" s="1014"/>
      <c r="K39" s="1014"/>
      <c r="L39" s="1014"/>
      <c r="M39" s="1014"/>
      <c r="N39" s="1014"/>
    </row>
    <row r="40" spans="1:14" ht="14.25">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25">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25">
      <c r="A42" s="2922" t="s">
        <v>532</v>
      </c>
      <c r="B42" s="2995">
        <v>1</v>
      </c>
      <c r="D42" s="2996" t="s">
        <v>533</v>
      </c>
      <c r="E42" s="2997">
        <v>15</v>
      </c>
      <c r="F42" s="2508">
        <v>30</v>
      </c>
      <c r="G42" s="2904" t="s">
        <v>2471</v>
      </c>
      <c r="H42" s="2904"/>
      <c r="I42" s="1014"/>
      <c r="J42" s="1014"/>
      <c r="K42" s="1014"/>
      <c r="L42" s="1014"/>
      <c r="M42" s="1014"/>
      <c r="N42" s="1014"/>
    </row>
    <row r="43" spans="1:14" ht="14.25">
      <c r="A43" s="2925" t="s">
        <v>534</v>
      </c>
      <c r="B43" s="2998">
        <v>12</v>
      </c>
      <c r="D43" s="2996" t="s">
        <v>535</v>
      </c>
      <c r="E43" s="2997">
        <v>10</v>
      </c>
      <c r="F43" s="2508">
        <v>24</v>
      </c>
      <c r="G43" s="2904" t="s">
        <v>536</v>
      </c>
      <c r="H43" s="2904"/>
      <c r="I43" s="1014"/>
      <c r="J43" s="1014"/>
      <c r="K43" s="1014"/>
      <c r="L43" s="1014"/>
      <c r="M43" s="1014"/>
      <c r="N43" s="1014"/>
    </row>
    <row r="44" spans="1:14" ht="14.25">
      <c r="A44" s="2925" t="s">
        <v>537</v>
      </c>
      <c r="B44" s="2999"/>
      <c r="D44" s="2996" t="s">
        <v>538</v>
      </c>
      <c r="E44" s="2997">
        <v>6</v>
      </c>
      <c r="F44" s="2508">
        <v>18</v>
      </c>
      <c r="G44" s="2821"/>
      <c r="H44" s="2821"/>
      <c r="I44" s="2904"/>
      <c r="J44" s="1014"/>
      <c r="K44" s="1014"/>
      <c r="L44" s="1014"/>
      <c r="M44" s="1014"/>
      <c r="N44" s="1014"/>
    </row>
    <row r="45" spans="1:14" ht="14.25">
      <c r="A45" s="2925" t="s">
        <v>539</v>
      </c>
      <c r="B45" s="3000">
        <v>5.0000000000000001E-3</v>
      </c>
      <c r="C45" s="2456" t="s">
        <v>540</v>
      </c>
      <c r="D45" s="2996" t="s">
        <v>541</v>
      </c>
      <c r="E45" s="2997">
        <v>3</v>
      </c>
      <c r="F45" s="2508">
        <v>12</v>
      </c>
      <c r="G45" s="2821"/>
      <c r="H45" s="2821"/>
      <c r="M45" s="1014"/>
      <c r="N45" s="1014"/>
    </row>
    <row r="46" spans="1:14" ht="14.25">
      <c r="A46" s="2925" t="s">
        <v>542</v>
      </c>
      <c r="B46" s="3001">
        <v>1E-3</v>
      </c>
      <c r="C46" s="2456" t="s">
        <v>543</v>
      </c>
      <c r="D46" s="2996" t="s">
        <v>264</v>
      </c>
      <c r="E46" s="2997">
        <v>1.5</v>
      </c>
      <c r="F46" s="2508">
        <v>3</v>
      </c>
      <c r="G46" s="2821"/>
      <c r="H46" s="2821"/>
      <c r="M46" s="1014"/>
      <c r="N46" s="1014"/>
    </row>
    <row r="47" spans="1:14" ht="14.25">
      <c r="A47" s="2931" t="s">
        <v>544</v>
      </c>
      <c r="B47" s="3002">
        <v>2.5000000000000001E-2</v>
      </c>
      <c r="C47" s="2456" t="s">
        <v>545</v>
      </c>
      <c r="D47" s="2996" t="s">
        <v>546</v>
      </c>
      <c r="E47" s="2999"/>
      <c r="F47" s="2508">
        <v>1.5</v>
      </c>
      <c r="G47" s="2821"/>
      <c r="H47" s="2821"/>
      <c r="M47" s="1014"/>
      <c r="N47" s="1014"/>
    </row>
    <row r="48" spans="1:14" ht="14.25">
      <c r="A48" s="2821"/>
      <c r="B48" s="2821"/>
      <c r="D48" s="2996" t="s">
        <v>547</v>
      </c>
      <c r="E48" s="2999"/>
      <c r="F48" s="2508"/>
      <c r="G48" s="2821"/>
      <c r="H48" s="2821"/>
      <c r="M48" s="1014"/>
      <c r="N48" s="1014"/>
    </row>
    <row r="49" spans="1:41" ht="14.25">
      <c r="A49" s="2821"/>
      <c r="B49" s="2821"/>
      <c r="D49" s="2996" t="s">
        <v>548</v>
      </c>
      <c r="E49" s="2999"/>
      <c r="F49" s="2508"/>
      <c r="G49" s="3300" t="s">
        <v>2472</v>
      </c>
      <c r="H49" s="2821"/>
      <c r="M49" s="1014"/>
      <c r="N49" s="1014"/>
    </row>
    <row r="50" spans="1:41" ht="14.25">
      <c r="A50" s="2821"/>
      <c r="B50" s="2821"/>
      <c r="D50" s="2996" t="s">
        <v>549</v>
      </c>
      <c r="E50" s="2999"/>
      <c r="F50" s="2508"/>
      <c r="G50" s="3301" t="s">
        <v>2473</v>
      </c>
      <c r="H50" s="2821"/>
      <c r="M50" s="1014"/>
      <c r="N50" s="1014"/>
    </row>
    <row r="51" spans="1:41" s="2292" customFormat="1" ht="14.25">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4"/>
      <c r="E52" s="2904"/>
      <c r="F52" s="2904"/>
      <c r="G52" s="2904"/>
      <c r="H52" s="2904"/>
      <c r="I52" s="1014"/>
      <c r="J52" s="1014"/>
      <c r="K52" s="1014"/>
      <c r="L52" s="1014"/>
      <c r="M52" s="1014"/>
      <c r="N52" s="1014"/>
    </row>
    <row r="53" spans="1:41" s="2821" customFormat="1" ht="14.25">
      <c r="D53" s="2904"/>
      <c r="E53" s="2904"/>
      <c r="F53" s="2904"/>
      <c r="G53" s="2904"/>
      <c r="H53" s="2904"/>
      <c r="I53" s="1014"/>
      <c r="J53" s="1014"/>
      <c r="K53" s="1014"/>
      <c r="L53" s="1014"/>
      <c r="M53" s="1014"/>
      <c r="N53" s="1014"/>
    </row>
    <row r="54" spans="1:41" s="2821" customFormat="1" ht="14.25">
      <c r="D54" s="2904"/>
      <c r="E54" s="2904"/>
      <c r="F54" s="2904"/>
      <c r="G54" s="2904"/>
      <c r="H54" s="2904"/>
      <c r="I54" s="1014"/>
      <c r="J54" s="1014"/>
      <c r="K54" s="1014"/>
      <c r="L54" s="1014"/>
      <c r="M54" s="1014"/>
      <c r="N54" s="1014"/>
    </row>
    <row r="55" spans="1:41" s="2821" customFormat="1" ht="14.25">
      <c r="D55" s="2904"/>
      <c r="E55" s="2904"/>
      <c r="F55" s="2904"/>
      <c r="G55" s="2904"/>
      <c r="H55" s="2904"/>
      <c r="I55" s="1014"/>
      <c r="J55" s="1014"/>
      <c r="K55" s="1014"/>
      <c r="L55" s="1014"/>
      <c r="M55" s="1014"/>
      <c r="N55" s="1014"/>
    </row>
    <row r="56" spans="1:41" s="2821" customFormat="1" ht="14.25">
      <c r="D56" s="2904"/>
      <c r="E56" s="2904"/>
      <c r="F56" s="2904"/>
      <c r="G56" s="2904"/>
      <c r="H56" s="2904"/>
      <c r="I56" s="1014"/>
      <c r="J56" s="1014"/>
      <c r="K56" s="1014"/>
      <c r="L56" s="1014"/>
      <c r="M56" s="1014"/>
      <c r="N56" s="1014"/>
    </row>
    <row r="57" spans="1:41" s="2821" customFormat="1" ht="14.25">
      <c r="D57" s="2904"/>
      <c r="E57" s="2904"/>
      <c r="F57" s="2904"/>
      <c r="G57" s="2904"/>
      <c r="H57" s="2904"/>
      <c r="I57" s="1014"/>
      <c r="J57" s="1014"/>
      <c r="K57" s="1014"/>
      <c r="L57" s="1014"/>
      <c r="M57" s="1014"/>
      <c r="N57" s="1014"/>
    </row>
    <row r="58" spans="1:41" s="2821" customFormat="1" ht="14.25">
      <c r="D58" s="2904"/>
      <c r="E58" s="2904"/>
      <c r="F58" s="2904"/>
      <c r="G58" s="2904"/>
      <c r="H58" s="2904"/>
      <c r="I58" s="1014"/>
      <c r="J58" s="1014"/>
      <c r="K58" s="1014"/>
      <c r="L58" s="1014"/>
      <c r="M58" s="1014"/>
      <c r="N58" s="1014"/>
    </row>
    <row r="59" spans="1:41" s="2821" customFormat="1" ht="14.25">
      <c r="D59" s="2904"/>
      <c r="E59" s="2904"/>
      <c r="F59" s="2904"/>
      <c r="G59" s="2904"/>
      <c r="H59" s="2904"/>
      <c r="I59" s="1014"/>
      <c r="J59" s="1014"/>
      <c r="K59" s="1014"/>
      <c r="L59" s="1014"/>
      <c r="M59" s="1162"/>
      <c r="N59" s="1014"/>
    </row>
    <row r="60" spans="1:41" s="2821" customFormat="1" ht="14.25">
      <c r="D60" s="2904"/>
      <c r="E60" s="2904"/>
      <c r="F60" s="2904"/>
      <c r="G60" s="2904"/>
      <c r="H60" s="2904"/>
      <c r="I60" s="1014"/>
      <c r="J60" s="1014"/>
      <c r="K60" s="1014"/>
      <c r="L60" s="1014"/>
      <c r="M60" s="1014"/>
      <c r="N60" s="1014"/>
    </row>
    <row r="61" spans="1:41" s="2821" customFormat="1" ht="14.25">
      <c r="D61" s="2904"/>
      <c r="E61" s="2904"/>
      <c r="F61" s="2904"/>
      <c r="G61" s="2904"/>
      <c r="H61" s="2904"/>
      <c r="I61" s="1014"/>
      <c r="J61" s="1014"/>
      <c r="K61" s="1014"/>
      <c r="L61" s="1014"/>
      <c r="M61" s="1014"/>
      <c r="N61" s="1014"/>
    </row>
    <row r="62" spans="1:41" s="2821" customFormat="1" ht="14.25">
      <c r="D62" s="2904"/>
      <c r="E62" s="2904"/>
      <c r="F62" s="2904"/>
      <c r="G62" s="2904"/>
      <c r="H62" s="2904"/>
      <c r="I62" s="1014"/>
      <c r="J62" s="1014"/>
      <c r="K62" s="1014"/>
      <c r="L62" s="1014"/>
      <c r="M62" s="1014"/>
      <c r="N62" s="1014"/>
    </row>
    <row r="63" spans="1:41" s="2821" customFormat="1" ht="14.25">
      <c r="D63" s="2904"/>
      <c r="E63" s="2904"/>
      <c r="F63" s="2904"/>
      <c r="G63" s="2904"/>
      <c r="H63" s="2904"/>
      <c r="I63" s="1014"/>
      <c r="J63" s="1014"/>
      <c r="K63" s="1014"/>
      <c r="L63" s="1014"/>
      <c r="M63" s="1014"/>
      <c r="N63" s="1014"/>
    </row>
    <row r="64" spans="1:41" s="2821" customFormat="1" ht="14.25">
      <c r="D64" s="2904"/>
      <c r="E64" s="2904"/>
      <c r="F64" s="2904"/>
      <c r="G64" s="2904"/>
      <c r="H64" s="2904"/>
      <c r="I64" s="1014"/>
      <c r="J64" s="1014"/>
      <c r="K64" s="1014"/>
      <c r="L64" s="1014"/>
      <c r="M64" s="1014"/>
      <c r="N64" s="1014"/>
    </row>
    <row r="65" spans="1:14" s="2821" customFormat="1" ht="14.25">
      <c r="D65" s="2904"/>
      <c r="E65" s="2904"/>
      <c r="F65" s="2904"/>
      <c r="G65" s="2904"/>
      <c r="H65" s="2904"/>
      <c r="I65" s="1014"/>
      <c r="J65" s="1014"/>
      <c r="K65" s="1014"/>
      <c r="L65" s="1014"/>
      <c r="M65" s="1014"/>
      <c r="N65" s="1014"/>
    </row>
    <row r="66" spans="1:14" s="2821" customFormat="1" ht="14.25">
      <c r="D66" s="2904"/>
      <c r="E66" s="2904"/>
      <c r="F66" s="2904"/>
      <c r="G66" s="2904"/>
      <c r="H66" s="2904"/>
      <c r="I66" s="1014"/>
      <c r="J66" s="1014"/>
      <c r="K66" s="1014"/>
      <c r="L66" s="1014"/>
      <c r="M66" s="1014"/>
      <c r="N66" s="1014"/>
    </row>
    <row r="67" spans="1:14" s="2821" customFormat="1" ht="14.25">
      <c r="A67" s="3005"/>
      <c r="D67" s="2904"/>
      <c r="E67" s="2904"/>
      <c r="F67" s="2904"/>
      <c r="G67" s="2904"/>
      <c r="H67" s="2904"/>
      <c r="I67" s="1014"/>
      <c r="J67" s="1014"/>
      <c r="K67" s="1014"/>
      <c r="L67" s="1014"/>
      <c r="M67" s="1014"/>
      <c r="N67" s="1014"/>
    </row>
    <row r="68" spans="1:14" s="2821" customFormat="1" ht="14.25">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2.75">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8">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8.75">
      <c r="A13" s="2859" t="s">
        <v>574</v>
      </c>
      <c r="B13" s="2857"/>
      <c r="C13" s="2857"/>
      <c r="D13" s="2860"/>
      <c r="E13" s="2857"/>
      <c r="F13" s="2857"/>
      <c r="G13" s="2857"/>
    </row>
    <row r="14" spans="1:29" s="2820" customFormat="1" ht="12.75">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38.25">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25.5">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25.5">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8.25">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12.75">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5.5">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5.5">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2.75">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2.75">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2.75">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805" customWidth="1"/>
    <col min="2" max="16384" width="14.625" style="2805"/>
  </cols>
  <sheetData>
    <row r="1" spans="1:9">
      <c r="A1" s="2806" t="s">
        <v>578</v>
      </c>
      <c r="B1" s="2806">
        <f>SUM(B14:B23)</f>
        <v>167.24</v>
      </c>
      <c r="C1" s="2807"/>
      <c r="D1" s="2807"/>
      <c r="E1" s="2807"/>
      <c r="F1" s="2807"/>
      <c r="G1" s="2808"/>
    </row>
    <row r="2" spans="1:9">
      <c r="A2" s="2806" t="s">
        <v>579</v>
      </c>
      <c r="B2" s="2806">
        <f>SUM(C14:C23)</f>
        <v>35.5</v>
      </c>
      <c r="C2" s="2807"/>
      <c r="D2" s="2807"/>
      <c r="E2" s="2807"/>
      <c r="F2" s="2807"/>
      <c r="G2" s="2808"/>
    </row>
    <row r="3" spans="1:9">
      <c r="A3" s="2806" t="s">
        <v>580</v>
      </c>
      <c r="B3" s="2809">
        <f>项目基本情况!D2</f>
        <v>44620</v>
      </c>
      <c r="C3" s="2807"/>
      <c r="D3" s="2807"/>
      <c r="E3" s="2807"/>
      <c r="F3" s="2807"/>
      <c r="G3" s="2808"/>
    </row>
    <row r="4" spans="1:9" ht="27">
      <c r="A4" s="2806" t="s">
        <v>581</v>
      </c>
      <c r="B4" s="2806" t="s">
        <v>582</v>
      </c>
      <c r="C4" s="2806" t="s">
        <v>583</v>
      </c>
      <c r="D4" s="2806" t="s">
        <v>584</v>
      </c>
      <c r="E4" s="2807"/>
      <c r="F4" s="2808"/>
      <c r="G4" s="2808"/>
    </row>
    <row r="5" spans="1:9">
      <c r="A5" s="2806" t="s">
        <v>585</v>
      </c>
      <c r="B5" s="2806">
        <f ca="1">SUM(D14:D23)</f>
        <v>1130</v>
      </c>
      <c r="C5" s="2806">
        <f ca="1">ROUND(B5*10000/$B$1,0)</f>
        <v>67568</v>
      </c>
      <c r="D5" s="2806">
        <f ca="1">ROUND(B5*10000/$B$2,0)</f>
        <v>318310</v>
      </c>
      <c r="E5" s="2807"/>
      <c r="F5" s="2808"/>
      <c r="G5" s="2808"/>
    </row>
    <row r="6" spans="1:9">
      <c r="A6" s="2806" t="s">
        <v>586</v>
      </c>
      <c r="B6" s="2806">
        <f ca="1">SUM(G14:G23)</f>
        <v>1130</v>
      </c>
      <c r="C6" s="2806">
        <f t="shared" ref="C6:C8" ca="1" si="0">ROUND(B6*10000/$B$1,0)</f>
        <v>67568</v>
      </c>
      <c r="D6" s="2806">
        <f t="shared" ref="D6:D8" ca="1" si="1">ROUND(B6*10000/$B$2,0)</f>
        <v>318310</v>
      </c>
      <c r="E6" s="2807"/>
      <c r="F6" s="2808"/>
      <c r="G6" s="2808"/>
    </row>
    <row r="7" spans="1:9">
      <c r="A7" s="2806" t="s">
        <v>587</v>
      </c>
      <c r="B7" s="2806">
        <f>SUM(H14:H23)</f>
        <v>0</v>
      </c>
      <c r="C7" s="2806">
        <f>ROUND(B7*10000/$B$1,0)</f>
        <v>0</v>
      </c>
      <c r="D7" s="2806">
        <f t="shared" si="1"/>
        <v>0</v>
      </c>
      <c r="E7" s="2807"/>
      <c r="F7" s="2808"/>
      <c r="G7" s="2808"/>
    </row>
    <row r="8" spans="1:9">
      <c r="A8" s="2806" t="s">
        <v>588</v>
      </c>
      <c r="B8" s="2806">
        <f>SUM(I14:I23)</f>
        <v>0</v>
      </c>
      <c r="C8" s="2806">
        <f t="shared" si="0"/>
        <v>0</v>
      </c>
      <c r="D8" s="2806">
        <f t="shared" si="1"/>
        <v>0</v>
      </c>
      <c r="E8" s="2807"/>
      <c r="F8" s="2808"/>
      <c r="G8" s="2808"/>
    </row>
    <row r="9" spans="1:9">
      <c r="A9" s="2806" t="s">
        <v>589</v>
      </c>
      <c r="B9" s="2810"/>
      <c r="C9" s="2807"/>
      <c r="D9" s="2807"/>
      <c r="E9" s="2807"/>
      <c r="F9" s="2808"/>
      <c r="G9" s="2808"/>
    </row>
    <row r="10" spans="1:9">
      <c r="A10" s="2806" t="s">
        <v>590</v>
      </c>
      <c r="B10" s="2810"/>
      <c r="C10" s="2807"/>
      <c r="D10" s="2807"/>
      <c r="E10" s="2807"/>
      <c r="F10" s="2808"/>
      <c r="G10" s="2808"/>
    </row>
    <row r="11" spans="1:9">
      <c r="A11" s="2806" t="s">
        <v>591</v>
      </c>
      <c r="B11" s="2810"/>
      <c r="C11" s="2807"/>
      <c r="D11" s="2807"/>
      <c r="E11" s="2807"/>
      <c r="F11" s="2808"/>
      <c r="G11" s="2808"/>
    </row>
    <row r="12" spans="1:9">
      <c r="A12" s="2807"/>
      <c r="B12" s="2807"/>
      <c r="C12" s="2807"/>
      <c r="D12" s="2807"/>
      <c r="E12" s="2807"/>
      <c r="F12" s="2808"/>
      <c r="G12" s="2808"/>
    </row>
    <row r="13" spans="1:9" ht="27">
      <c r="A13" s="2811" t="s">
        <v>592</v>
      </c>
      <c r="B13" s="2812" t="s">
        <v>578</v>
      </c>
      <c r="C13" s="2812" t="s">
        <v>579</v>
      </c>
      <c r="D13" s="2812" t="s">
        <v>593</v>
      </c>
      <c r="E13" s="2806" t="s">
        <v>583</v>
      </c>
      <c r="F13" s="2806" t="s">
        <v>584</v>
      </c>
      <c r="G13" s="2812" t="s">
        <v>594</v>
      </c>
      <c r="H13" s="2812" t="s">
        <v>595</v>
      </c>
      <c r="I13" s="2812" t="s">
        <v>596</v>
      </c>
    </row>
    <row r="14" spans="1:9">
      <c r="A14" s="2813" t="s">
        <v>2478</v>
      </c>
      <c r="B14" s="2814">
        <f>项目基本情况!C12</f>
        <v>167.24</v>
      </c>
      <c r="C14" s="2814">
        <f>项目基本情况!C13</f>
        <v>35.5</v>
      </c>
      <c r="D14" s="2814">
        <f ca="1">IF('数据-取费表'!B3="万元",IF(A14="估价对象1（结果表）",结果表!H121,'结果表 (1修多)'!H125),IF(A14="估价对象1（结果表）",结果表!H121,'结果表 (1修多)'!H125)/10000)</f>
        <v>1130</v>
      </c>
      <c r="E14" s="2814">
        <f ca="1">ROUND(D14*10000/B14,0)</f>
        <v>67568</v>
      </c>
      <c r="F14" s="2814">
        <f ca="1">ROUND(D14*10000/C14,0)</f>
        <v>318310</v>
      </c>
      <c r="G14" s="2814">
        <f ca="1">IF('数据-取费表'!B3="万元",IF(A14="估价对象1（结果表）",结果表!D125,'结果表 (1修多)'!D129),IF(A14="估价对象1（结果表）",结果表!D125,'结果表 (1修多)'!D129)/10000)</f>
        <v>1130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c r="A15" s="2815" t="s">
        <v>597</v>
      </c>
      <c r="B15" s="2816"/>
      <c r="C15" s="2816"/>
      <c r="D15" s="2816"/>
      <c r="E15" s="2814" t="e">
        <f t="shared" ref="E15:E23" si="2">ROUND(D15*10000/B15,0)</f>
        <v>#DIV/0!</v>
      </c>
      <c r="F15" s="2814" t="e">
        <f t="shared" ref="F15:F23" si="3">ROUND(D15*10000/C15,0)</f>
        <v>#DIV/0!</v>
      </c>
      <c r="G15" s="2817"/>
      <c r="H15" s="2817"/>
      <c r="I15" s="2816"/>
    </row>
    <row r="16" spans="1:9">
      <c r="A16" s="2815" t="s">
        <v>598</v>
      </c>
      <c r="B16" s="2816"/>
      <c r="C16" s="2816"/>
      <c r="D16" s="2816"/>
      <c r="E16" s="2814" t="e">
        <f t="shared" si="2"/>
        <v>#DIV/0!</v>
      </c>
      <c r="F16" s="2814" t="e">
        <f t="shared" si="3"/>
        <v>#DIV/0!</v>
      </c>
      <c r="G16" s="2817"/>
      <c r="H16" s="2817"/>
      <c r="I16" s="2816"/>
    </row>
    <row r="17" spans="1:9">
      <c r="A17" s="2815" t="s">
        <v>599</v>
      </c>
      <c r="B17" s="2816"/>
      <c r="C17" s="2816"/>
      <c r="D17" s="2816"/>
      <c r="E17" s="2814" t="e">
        <f t="shared" si="2"/>
        <v>#DIV/0!</v>
      </c>
      <c r="F17" s="2814" t="e">
        <f t="shared" si="3"/>
        <v>#DIV/0!</v>
      </c>
      <c r="G17" s="2817"/>
      <c r="H17" s="2817"/>
      <c r="I17" s="2816"/>
    </row>
    <row r="18" spans="1:9">
      <c r="A18" s="2815" t="s">
        <v>600</v>
      </c>
      <c r="B18" s="2816"/>
      <c r="C18" s="2816"/>
      <c r="D18" s="2816"/>
      <c r="E18" s="2814" t="e">
        <f t="shared" si="2"/>
        <v>#DIV/0!</v>
      </c>
      <c r="F18" s="2814" t="e">
        <f t="shared" si="3"/>
        <v>#DIV/0!</v>
      </c>
      <c r="G18" s="2816"/>
      <c r="H18" s="2816"/>
      <c r="I18" s="2816"/>
    </row>
    <row r="19" spans="1:9">
      <c r="A19" s="2815" t="s">
        <v>601</v>
      </c>
      <c r="B19" s="2816"/>
      <c r="C19" s="2816"/>
      <c r="D19" s="2816"/>
      <c r="E19" s="2814" t="e">
        <f t="shared" si="2"/>
        <v>#DIV/0!</v>
      </c>
      <c r="F19" s="2814" t="e">
        <f t="shared" si="3"/>
        <v>#DIV/0!</v>
      </c>
      <c r="G19" s="2816"/>
      <c r="H19" s="2816"/>
      <c r="I19" s="2816"/>
    </row>
    <row r="20" spans="1:9">
      <c r="A20" s="2815" t="s">
        <v>602</v>
      </c>
      <c r="B20" s="2816"/>
      <c r="C20" s="2816"/>
      <c r="D20" s="2816"/>
      <c r="E20" s="2814" t="e">
        <f t="shared" si="2"/>
        <v>#DIV/0!</v>
      </c>
      <c r="F20" s="2814" t="e">
        <f t="shared" si="3"/>
        <v>#DIV/0!</v>
      </c>
      <c r="G20" s="2816"/>
      <c r="H20" s="2816"/>
      <c r="I20" s="2816"/>
    </row>
    <row r="21" spans="1:9">
      <c r="A21" s="2815" t="s">
        <v>603</v>
      </c>
      <c r="B21" s="2816"/>
      <c r="C21" s="2816"/>
      <c r="D21" s="2816"/>
      <c r="E21" s="2814" t="e">
        <f t="shared" si="2"/>
        <v>#DIV/0!</v>
      </c>
      <c r="F21" s="2814" t="e">
        <f t="shared" si="3"/>
        <v>#DIV/0!</v>
      </c>
      <c r="G21" s="2816"/>
      <c r="H21" s="2816"/>
      <c r="I21" s="2816"/>
    </row>
    <row r="22" spans="1:9">
      <c r="A22" s="2815" t="s">
        <v>604</v>
      </c>
      <c r="B22" s="2816"/>
      <c r="C22" s="2816"/>
      <c r="D22" s="2816"/>
      <c r="E22" s="2814" t="e">
        <f t="shared" si="2"/>
        <v>#DIV/0!</v>
      </c>
      <c r="F22" s="2814" t="e">
        <f t="shared" si="3"/>
        <v>#DIV/0!</v>
      </c>
      <c r="G22" s="2816"/>
      <c r="H22" s="2816"/>
      <c r="I22" s="2816"/>
    </row>
    <row r="23" spans="1:9">
      <c r="A23" s="2815" t="s">
        <v>605</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34" zoomScaleNormal="100" zoomScaleSheetLayoutView="100" workbookViewId="0">
      <selection activeCell="G77" sqref="G77"/>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606</v>
      </c>
      <c r="B1" s="2450"/>
      <c r="C1" s="2450"/>
      <c r="D1" s="2450"/>
      <c r="E1" s="2450"/>
      <c r="F1" s="2450"/>
      <c r="G1" s="2450"/>
      <c r="H1" s="2450"/>
      <c r="I1" s="2450"/>
    </row>
    <row r="2" spans="1:15" ht="21.75" customHeight="1">
      <c r="A2" s="3493" t="str">
        <f>项目基本情况!B1</f>
        <v>XX房地产市场价值预评估</v>
      </c>
      <c r="B2" s="3493"/>
      <c r="C2" s="3493"/>
      <c r="D2" s="3493"/>
      <c r="E2" s="3493"/>
      <c r="F2" s="3493"/>
      <c r="G2" s="3493"/>
      <c r="H2" s="3493"/>
      <c r="I2" s="3493"/>
      <c r="J2" s="2759"/>
    </row>
    <row r="3" spans="1:15" ht="12.75">
      <c r="A3" s="3494" t="s">
        <v>607</v>
      </c>
      <c r="B3" s="3495"/>
      <c r="C3" s="3495"/>
      <c r="D3" s="3495"/>
      <c r="E3" s="3495"/>
      <c r="F3" s="3495"/>
      <c r="G3" s="3495"/>
      <c r="H3" s="3495"/>
      <c r="I3" s="3495"/>
      <c r="J3" s="2563"/>
    </row>
    <row r="4" spans="1:15" ht="14.25">
      <c r="A4" s="2451" t="s">
        <v>608</v>
      </c>
      <c r="B4" s="2451" t="s">
        <v>609</v>
      </c>
      <c r="C4" s="2452" t="s">
        <v>610</v>
      </c>
      <c r="D4" s="2452" t="s">
        <v>611</v>
      </c>
      <c r="E4" s="3433" t="s">
        <v>612</v>
      </c>
      <c r="F4" s="3446"/>
      <c r="G4" s="3446"/>
      <c r="H4" s="3446"/>
      <c r="I4" s="344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12" t="s">
        <v>613</v>
      </c>
      <c r="B5" s="3412">
        <v>25</v>
      </c>
      <c r="C5" s="3422"/>
      <c r="D5" s="3425"/>
      <c r="E5" s="2254" t="s">
        <v>614</v>
      </c>
      <c r="F5" s="2174"/>
      <c r="G5" s="2174"/>
      <c r="H5" s="2174"/>
      <c r="I5" s="2548"/>
      <c r="J5" s="2564"/>
    </row>
    <row r="6" spans="1:15" ht="12.75">
      <c r="A6" s="3412"/>
      <c r="B6" s="3412"/>
      <c r="C6" s="3423"/>
      <c r="D6" s="3425"/>
      <c r="E6" s="2254" t="s">
        <v>615</v>
      </c>
      <c r="F6" s="2174"/>
      <c r="G6" s="2174"/>
      <c r="H6" s="2174"/>
      <c r="I6" s="2548"/>
      <c r="J6" s="2564"/>
    </row>
    <row r="7" spans="1:15" ht="12.75">
      <c r="A7" s="3412"/>
      <c r="B7" s="3412"/>
      <c r="C7" s="3424"/>
      <c r="D7" s="3425"/>
      <c r="E7" s="2254" t="s">
        <v>616</v>
      </c>
      <c r="F7" s="2174"/>
      <c r="G7" s="2174"/>
      <c r="H7" s="2174"/>
      <c r="I7" s="2548"/>
      <c r="J7" s="2564"/>
    </row>
    <row r="8" spans="1:15" ht="12.75">
      <c r="A8" s="3412" t="s">
        <v>617</v>
      </c>
      <c r="B8" s="3412">
        <v>15</v>
      </c>
      <c r="C8" s="3422"/>
      <c r="D8" s="3425"/>
      <c r="E8" s="2254" t="s">
        <v>618</v>
      </c>
      <c r="F8" s="2174"/>
      <c r="G8" s="2174"/>
      <c r="H8" s="2174"/>
      <c r="I8" s="2548"/>
      <c r="J8" s="2564"/>
    </row>
    <row r="9" spans="1:15" ht="12.75">
      <c r="A9" s="3412"/>
      <c r="B9" s="3412"/>
      <c r="C9" s="3424"/>
      <c r="D9" s="3425"/>
      <c r="E9" s="2254" t="s">
        <v>619</v>
      </c>
      <c r="F9" s="2174"/>
      <c r="G9" s="2174"/>
      <c r="H9" s="2174"/>
      <c r="I9" s="2548"/>
      <c r="J9" s="2564"/>
    </row>
    <row r="10" spans="1:15" ht="12.75">
      <c r="A10" s="3412" t="s">
        <v>620</v>
      </c>
      <c r="B10" s="3412">
        <v>15</v>
      </c>
      <c r="C10" s="3422"/>
      <c r="D10" s="3425"/>
      <c r="E10" s="2254" t="s">
        <v>621</v>
      </c>
      <c r="F10" s="2174"/>
      <c r="G10" s="2174"/>
      <c r="H10" s="2174"/>
      <c r="I10" s="2548"/>
      <c r="J10" s="2564"/>
    </row>
    <row r="11" spans="1:15" ht="12.75">
      <c r="A11" s="3412"/>
      <c r="B11" s="3412"/>
      <c r="C11" s="3424"/>
      <c r="D11" s="3425"/>
      <c r="E11" s="2254" t="s">
        <v>622</v>
      </c>
      <c r="F11" s="2174"/>
      <c r="G11" s="2174"/>
      <c r="H11" s="2174"/>
      <c r="I11" s="2548"/>
      <c r="J11" s="2564"/>
    </row>
    <row r="12" spans="1:15" ht="12.75">
      <c r="A12" s="3412" t="s">
        <v>623</v>
      </c>
      <c r="B12" s="3412">
        <v>15</v>
      </c>
      <c r="C12" s="3422"/>
      <c r="D12" s="3425"/>
      <c r="E12" s="2254" t="s">
        <v>624</v>
      </c>
      <c r="F12" s="2174"/>
      <c r="G12" s="2174"/>
      <c r="H12" s="2174"/>
      <c r="I12" s="2548"/>
      <c r="J12" s="2564"/>
    </row>
    <row r="13" spans="1:15" ht="12.75">
      <c r="A13" s="3412"/>
      <c r="B13" s="3412"/>
      <c r="C13" s="3424"/>
      <c r="D13" s="3425"/>
      <c r="E13" s="2254" t="s">
        <v>625</v>
      </c>
      <c r="F13" s="2174"/>
      <c r="G13" s="2174"/>
      <c r="H13" s="2174"/>
      <c r="I13" s="2548"/>
      <c r="J13" s="2564"/>
    </row>
    <row r="14" spans="1:15" ht="12.75">
      <c r="A14" s="3412" t="s">
        <v>626</v>
      </c>
      <c r="B14" s="3412">
        <v>30</v>
      </c>
      <c r="C14" s="3422">
        <v>1</v>
      </c>
      <c r="D14" s="3425">
        <v>0</v>
      </c>
      <c r="E14" s="2254" t="s">
        <v>627</v>
      </c>
      <c r="F14" s="2174"/>
      <c r="G14" s="2174"/>
      <c r="H14" s="2174"/>
      <c r="I14" s="2548"/>
      <c r="J14" s="2564"/>
    </row>
    <row r="15" spans="1:15" ht="12.75">
      <c r="A15" s="3412"/>
      <c r="B15" s="3412"/>
      <c r="C15" s="3423"/>
      <c r="D15" s="3425"/>
      <c r="E15" s="2254" t="s">
        <v>628</v>
      </c>
      <c r="F15" s="2174"/>
      <c r="G15" s="2174"/>
      <c r="H15" s="2174"/>
      <c r="I15" s="2548"/>
      <c r="J15" s="2564"/>
    </row>
    <row r="16" spans="1:15" ht="12.75">
      <c r="A16" s="3412"/>
      <c r="B16" s="3412"/>
      <c r="C16" s="3424"/>
      <c r="D16" s="3425"/>
      <c r="E16" s="2254" t="s">
        <v>629</v>
      </c>
      <c r="F16" s="2174"/>
      <c r="G16" s="2174"/>
      <c r="H16" s="2174"/>
      <c r="I16" s="2548"/>
      <c r="J16" s="2564"/>
    </row>
    <row r="17" spans="1:36" ht="15">
      <c r="A17" s="2454" t="s">
        <v>630</v>
      </c>
      <c r="B17" s="1202"/>
      <c r="C17" s="2455">
        <f>SUM(C5:C16)</f>
        <v>1</v>
      </c>
      <c r="D17" s="2455">
        <f>SUM(D5:D16)</f>
        <v>0</v>
      </c>
      <c r="E17" s="2456"/>
      <c r="F17" s="2456"/>
      <c r="G17" s="2456"/>
      <c r="H17" s="2456"/>
      <c r="I17" s="2456"/>
      <c r="J17" s="2565"/>
    </row>
    <row r="18" spans="1:36" ht="30" customHeight="1">
      <c r="A18" s="2457" t="s">
        <v>631</v>
      </c>
      <c r="B18" s="2458"/>
      <c r="C18" s="2459">
        <f>ROUND(C17/SUM(C17:D17),2)</f>
        <v>1</v>
      </c>
      <c r="D18" s="2459">
        <f>1-C18</f>
        <v>0</v>
      </c>
      <c r="E18" s="3496" t="s">
        <v>632</v>
      </c>
      <c r="F18" s="3497"/>
      <c r="G18" s="3497"/>
      <c r="H18" s="3497"/>
      <c r="I18" s="3497"/>
      <c r="J18" s="2565"/>
    </row>
    <row r="19" spans="1:36" ht="15">
      <c r="A19" s="2460" t="s">
        <v>633</v>
      </c>
      <c r="B19" s="2461" t="s">
        <v>634</v>
      </c>
      <c r="C19" s="2462">
        <f ca="1">SUMIF(INDIRECT("'"&amp;C4&amp;"'"&amp;"!A:A"),结果表!B19,INDIRECT("'"&amp;C4&amp;"'"&amp;"!B:B"))</f>
        <v>1130</v>
      </c>
      <c r="D19" s="2463">
        <f ca="1">SUMIF(INDIRECT("'"&amp;D4&amp;"'"&amp;"!A:A"),结果表!B19,INDIRECT("'"&amp;D4&amp;"'"&amp;"!B:B"))</f>
        <v>319</v>
      </c>
      <c r="E19" s="2460" t="s">
        <v>635</v>
      </c>
      <c r="F19" s="2461" t="s">
        <v>634</v>
      </c>
      <c r="G19" s="2464">
        <f ca="1">ROUND(C19*$C$18+D19*$D$18,0)</f>
        <v>1130</v>
      </c>
      <c r="H19" s="2465" t="str">
        <f>'数据-取费表'!B3</f>
        <v>万元</v>
      </c>
      <c r="I19" s="2760"/>
      <c r="J19" s="2761"/>
    </row>
    <row r="20" spans="1:36" ht="15">
      <c r="A20" s="2466"/>
      <c r="B20" s="1215" t="s">
        <v>636</v>
      </c>
      <c r="C20" s="1142">
        <f ca="1">SUMIF(INDIRECT("'"&amp;C4&amp;"'"&amp;"!A:A"),结果表!B20,INDIRECT("'"&amp;C4&amp;"'"&amp;"!B:B"))</f>
        <v>67551</v>
      </c>
      <c r="D20" s="2410">
        <f ca="1">SUMIF(INDIRECT("'"&amp;D4&amp;"'"&amp;"!A:A"),结果表!B20,INDIRECT("'"&amp;D4&amp;"'"&amp;"!B:B"))</f>
        <v>19098</v>
      </c>
      <c r="E20" s="2466"/>
      <c r="F20" s="1215" t="s">
        <v>636</v>
      </c>
      <c r="G20" s="1163">
        <f ca="1">ROUND(C20*$C$18+D20*$D$18,0)</f>
        <v>67551</v>
      </c>
      <c r="H20" s="2467" t="s">
        <v>637</v>
      </c>
      <c r="I20" s="2456"/>
      <c r="J20" s="2565"/>
    </row>
    <row r="21" spans="1:36" ht="15" customHeight="1">
      <c r="A21" s="2468"/>
      <c r="B21" s="2469"/>
      <c r="C21" s="2469"/>
      <c r="D21" s="2470"/>
      <c r="E21" s="2468"/>
      <c r="F21" s="2469"/>
      <c r="G21" s="2471"/>
      <c r="H21" s="2472"/>
      <c r="I21" s="2456"/>
      <c r="J21" s="2565"/>
    </row>
    <row r="22" spans="1:36" ht="14.25">
      <c r="A22" s="2473" t="s">
        <v>638</v>
      </c>
      <c r="B22" s="2474"/>
      <c r="C22" s="2475"/>
      <c r="D22" s="2476">
        <f ca="1">IF(C19&lt;D19,D19/C19-1,C19/D19-1)</f>
        <v>2.542319749216301</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639</v>
      </c>
      <c r="B24" s="2461" t="s">
        <v>634</v>
      </c>
      <c r="C24" s="2464">
        <f>D30</f>
        <v>0</v>
      </c>
      <c r="D24" s="2477"/>
      <c r="E24" s="2292"/>
      <c r="F24" s="2292"/>
      <c r="G24" s="2292"/>
      <c r="H24" s="2292"/>
      <c r="I24" s="2292"/>
      <c r="J24" s="2565"/>
    </row>
    <row r="25" spans="1:36" ht="21.75" customHeight="1">
      <c r="A25" s="3414"/>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4.25">
      <c r="A27" s="2483"/>
      <c r="B27" s="2481">
        <v>0</v>
      </c>
      <c r="C27" s="2481">
        <v>0</v>
      </c>
      <c r="D27" s="2482">
        <f>ROUND(C27*B27/10000,0)</f>
        <v>0</v>
      </c>
      <c r="E27" s="2292"/>
      <c r="F27" s="2292"/>
      <c r="G27" s="2292"/>
      <c r="H27" s="2292"/>
      <c r="I27" s="2292"/>
      <c r="J27" s="2565"/>
    </row>
    <row r="28" spans="1:36" ht="14.25">
      <c r="A28" s="2480"/>
      <c r="B28" s="2481"/>
      <c r="C28" s="2481"/>
      <c r="D28" s="2482">
        <f t="shared" ref="D28:D29" si="0">ROUND(C28*B28/10000,0)</f>
        <v>0</v>
      </c>
      <c r="E28" s="2292"/>
      <c r="F28" s="2292"/>
      <c r="G28" s="2292"/>
      <c r="H28" s="2292"/>
      <c r="I28" s="2292"/>
      <c r="J28" s="2565"/>
    </row>
    <row r="29" spans="1:36" ht="14.25">
      <c r="A29" s="2480"/>
      <c r="B29" s="2481"/>
      <c r="C29" s="2481"/>
      <c r="D29" s="2482">
        <f t="shared" si="0"/>
        <v>0</v>
      </c>
      <c r="E29" s="2292"/>
      <c r="F29" s="2292"/>
      <c r="G29" s="2292"/>
      <c r="H29" s="2292"/>
      <c r="I29" s="2292"/>
      <c r="J29" s="2565"/>
    </row>
    <row r="30" spans="1:36" ht="14.25">
      <c r="A30" s="2485" t="s">
        <v>644</v>
      </c>
      <c r="B30" s="2485"/>
      <c r="C30" s="2485"/>
      <c r="D30" s="2485"/>
      <c r="E30" s="2486" t="s">
        <v>645</v>
      </c>
      <c r="F30" s="2456"/>
      <c r="G30" s="2456"/>
      <c r="H30" s="2456"/>
      <c r="I30" s="2456"/>
      <c r="J30" s="2565"/>
    </row>
    <row r="31" spans="1:36" s="2443" customFormat="1" ht="26.45"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647</v>
      </c>
      <c r="B32" s="2732" t="str">
        <f>'数据-取费表'!B4</f>
        <v>总价</v>
      </c>
      <c r="C32" s="2733">
        <f ca="1">IF(B32="总价",G19-C24,G20-C25)</f>
        <v>1130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648</v>
      </c>
      <c r="B33" s="2176"/>
      <c r="C33" s="2737"/>
      <c r="D33" s="2738"/>
      <c r="E33" s="2739" t="s">
        <v>649</v>
      </c>
      <c r="F33" s="2740" t="str">
        <f>IF(B32="楼面单价","取值（单价）","取值（总价）")</f>
        <v>取值（总价）</v>
      </c>
      <c r="G33" s="2292"/>
      <c r="H33" s="2292"/>
      <c r="I33" s="2292"/>
      <c r="J33" s="2565"/>
    </row>
    <row r="34" spans="1:17" ht="15">
      <c r="A34" s="2741"/>
      <c r="B34" s="2742" t="s">
        <v>650</v>
      </c>
      <c r="C34" s="2743">
        <f ca="1">IF(D33="自定义",F34,C32-C35)</f>
        <v>929</v>
      </c>
      <c r="D34" s="2744">
        <f ca="1">IF(D33="自定义",ROUND(C34/C32,3),1-D35)</f>
        <v>0.82200000000000006</v>
      </c>
      <c r="E34" s="2745" t="s">
        <v>651</v>
      </c>
      <c r="F34" s="2746">
        <v>2000</v>
      </c>
      <c r="G34" s="2292"/>
      <c r="H34" s="2292"/>
      <c r="I34" s="2292"/>
      <c r="J34" s="2565"/>
    </row>
    <row r="35" spans="1:17" ht="15">
      <c r="A35" s="2501"/>
      <c r="B35" s="2747" t="s">
        <v>652</v>
      </c>
      <c r="C35" s="2748">
        <f ca="1">IF(D33="自定义",F35,ROUND(C32*D35,0))</f>
        <v>201</v>
      </c>
      <c r="D35" s="2749">
        <f ca="1">IF(D33="自定义",ROUND(C35/C32,3),IF(D33="成本法成本比率",成本法!C56,IF(D33="收益法收益比率",收益法!J38,收益法!J41)))</f>
        <v>0.17799999999999999</v>
      </c>
      <c r="E35" s="2750" t="s">
        <v>653</v>
      </c>
      <c r="F35" s="2521">
        <v>4460</v>
      </c>
      <c r="G35" s="2292"/>
      <c r="H35" s="2292"/>
      <c r="I35" s="2292"/>
      <c r="J35" s="2565"/>
    </row>
    <row r="36" spans="1:17" ht="15">
      <c r="A36" s="3413" t="s">
        <v>654</v>
      </c>
      <c r="B36" s="2499" t="s">
        <v>655</v>
      </c>
      <c r="C36" s="2504">
        <v>0</v>
      </c>
      <c r="D36" s="2505"/>
      <c r="E36" s="2506"/>
      <c r="F36" s="2506"/>
      <c r="G36" s="2292"/>
      <c r="H36" s="2292"/>
      <c r="I36" s="2292"/>
      <c r="J36" s="2565"/>
    </row>
    <row r="37" spans="1:17" ht="15">
      <c r="A37" s="3415"/>
      <c r="B37" s="1202" t="s">
        <v>656</v>
      </c>
      <c r="C37" s="2507">
        <v>0</v>
      </c>
      <c r="D37" s="2508"/>
      <c r="E37" s="2508"/>
      <c r="F37" s="2506"/>
      <c r="G37" s="2508"/>
      <c r="H37" s="2508"/>
      <c r="I37" s="2508"/>
      <c r="J37" s="2570"/>
    </row>
    <row r="38" spans="1:17" ht="15">
      <c r="A38" s="3416"/>
      <c r="B38" s="2502" t="s">
        <v>657</v>
      </c>
      <c r="C38" s="2509">
        <v>0</v>
      </c>
      <c r="D38" s="2510" t="s">
        <v>658</v>
      </c>
      <c r="E38" s="2508"/>
      <c r="F38" s="2506"/>
      <c r="G38" s="2508"/>
      <c r="H38" s="2508"/>
      <c r="I38" s="2508"/>
      <c r="J38" s="2570"/>
    </row>
    <row r="39" spans="1:17" ht="15">
      <c r="A39" s="2466" t="s">
        <v>659</v>
      </c>
      <c r="B39" s="2511" t="s">
        <v>641</v>
      </c>
      <c r="C39" s="2512" t="s">
        <v>642</v>
      </c>
      <c r="D39" s="2512" t="s">
        <v>660</v>
      </c>
      <c r="E39" s="2513" t="s">
        <v>643</v>
      </c>
      <c r="F39" s="2506"/>
      <c r="G39" s="2508"/>
      <c r="H39" s="2508"/>
      <c r="I39" s="2508"/>
      <c r="J39" s="2570"/>
    </row>
    <row r="40" spans="1:17" ht="14.25">
      <c r="A40" s="2514" t="s">
        <v>661</v>
      </c>
      <c r="B40" s="2515"/>
      <c r="C40" s="2516"/>
      <c r="D40" s="2516"/>
      <c r="E40" s="2517"/>
      <c r="F40" s="2506"/>
      <c r="G40" s="2508"/>
      <c r="H40" s="2508"/>
      <c r="I40" s="2508"/>
      <c r="J40" s="2570"/>
    </row>
    <row r="41" spans="1:17" ht="14.25">
      <c r="A41" s="2514" t="s">
        <v>662</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663</v>
      </c>
      <c r="B44" s="2525"/>
      <c r="C44" s="2525"/>
      <c r="D44" s="2752"/>
      <c r="E44" s="2752"/>
      <c r="F44" s="2753"/>
      <c r="G44" s="2753"/>
      <c r="H44" s="2753"/>
      <c r="I44" s="2573" t="s">
        <v>664</v>
      </c>
      <c r="J44" s="2765"/>
      <c r="K44" s="2575" t="s">
        <v>665</v>
      </c>
      <c r="L44" s="2576"/>
      <c r="M44" s="2576"/>
      <c r="N44" s="2576"/>
      <c r="O44" s="2576"/>
      <c r="P44" s="2576"/>
      <c r="Q44" s="2446"/>
    </row>
    <row r="45" spans="1:17" ht="14.25" customHeight="1">
      <c r="A45" s="3430" t="s">
        <v>666</v>
      </c>
      <c r="B45" s="3431"/>
      <c r="C45" s="3467"/>
      <c r="D45" s="2152">
        <f ca="1">ROUND(I102*F45,0)</f>
        <v>1130</v>
      </c>
      <c r="E45" s="2242" t="s">
        <v>667</v>
      </c>
      <c r="F45" s="2527">
        <v>1</v>
      </c>
      <c r="G45" s="2528" t="s">
        <v>668</v>
      </c>
      <c r="H45" s="2292"/>
      <c r="I45" s="2292"/>
      <c r="J45" s="2565"/>
      <c r="K45" s="3498" t="s">
        <v>669</v>
      </c>
      <c r="L45" s="3498"/>
      <c r="M45" s="3498"/>
      <c r="N45" s="3498"/>
      <c r="O45" s="3498"/>
      <c r="P45" s="3498"/>
      <c r="Q45" s="2446"/>
    </row>
    <row r="46" spans="1:17" ht="14.25" customHeight="1">
      <c r="A46" s="3499" t="s">
        <v>670</v>
      </c>
      <c r="B46" s="3500"/>
      <c r="C46" s="3500"/>
      <c r="D46" s="3500"/>
      <c r="E46" s="3500"/>
      <c r="F46" s="3500"/>
      <c r="G46" s="3501"/>
      <c r="H46" s="2529"/>
      <c r="I46" s="2292"/>
      <c r="J46" s="2565"/>
      <c r="K46" s="2766">
        <v>1</v>
      </c>
      <c r="L46" s="3486" t="s">
        <v>97</v>
      </c>
      <c r="M46" s="3486"/>
      <c r="N46" s="3492" t="str">
        <f>项目基本情况!B1</f>
        <v>XX房地产市场价值预评估</v>
      </c>
      <c r="O46" s="3492"/>
      <c r="P46" s="3492"/>
      <c r="Q46" s="2446"/>
    </row>
    <row r="47" spans="1:17" ht="12" customHeight="1">
      <c r="A47" s="2530" t="s">
        <v>671</v>
      </c>
      <c r="B47" s="2531"/>
      <c r="C47" s="2532"/>
      <c r="D47" s="2190" t="s">
        <v>672</v>
      </c>
      <c r="E47" s="2140" t="s">
        <v>673</v>
      </c>
      <c r="F47" s="2351" t="s">
        <v>674</v>
      </c>
      <c r="G47" s="2533" t="s">
        <v>675</v>
      </c>
      <c r="H47" s="2529"/>
      <c r="I47" s="2292"/>
      <c r="J47" s="2565"/>
      <c r="K47" s="2766">
        <v>2</v>
      </c>
      <c r="L47" s="3486" t="s">
        <v>676</v>
      </c>
      <c r="M47" s="3486"/>
      <c r="N47" s="3490">
        <f>'数据-取费表'!B2</f>
        <v>44620</v>
      </c>
      <c r="O47" s="3490"/>
      <c r="P47" s="3490"/>
      <c r="Q47" s="2446"/>
    </row>
    <row r="48" spans="1:17" ht="25.5">
      <c r="A48" s="3491" t="s">
        <v>677</v>
      </c>
      <c r="B48" s="3426"/>
      <c r="C48" s="3426"/>
      <c r="D48" s="2254">
        <f ca="1">IF(H48="情况1",0,IF(H48="情况2",D52,IF(H48="情况3",D53,IF(H48="情况4",D54))))</f>
        <v>60</v>
      </c>
      <c r="E48" s="2195" t="str">
        <f>IF(H48="情况4","(销售额-原购置价)×税（费）率","销售额×税（费）率")</f>
        <v>(销售额-原购置价)×税（费）率</v>
      </c>
      <c r="F48" s="2535">
        <f>IF(H48="情况1","免征",'数据-取费表'!E29)</f>
        <v>5.6000000000000001E-2</v>
      </c>
      <c r="G48" s="2536" t="s">
        <v>678</v>
      </c>
      <c r="H48" s="2537" t="s">
        <v>2483</v>
      </c>
      <c r="I48" s="2529"/>
      <c r="J48" s="2579"/>
      <c r="K48" s="2766">
        <v>3</v>
      </c>
      <c r="L48" s="3486" t="s">
        <v>680</v>
      </c>
      <c r="M48" s="3486"/>
      <c r="N48" s="3492">
        <f ca="1">I102</f>
        <v>1130</v>
      </c>
      <c r="O48" s="3492"/>
      <c r="P48" s="3492"/>
      <c r="Q48" s="2446"/>
    </row>
    <row r="49" spans="1:17" ht="25.5" customHeight="1">
      <c r="A49" s="2534" t="s">
        <v>681</v>
      </c>
      <c r="B49" s="3446" t="s">
        <v>682</v>
      </c>
      <c r="C49" s="3446"/>
      <c r="D49" s="2538">
        <v>0</v>
      </c>
      <c r="E49" s="2202" t="s">
        <v>683</v>
      </c>
      <c r="F49" s="2539" t="s">
        <v>121</v>
      </c>
      <c r="G49" s="3487"/>
      <c r="H49" s="2540" t="s">
        <v>684</v>
      </c>
      <c r="I49" s="2580"/>
      <c r="J49" s="2581"/>
      <c r="K49" s="2766">
        <v>4</v>
      </c>
      <c r="L49" s="3486" t="str">
        <f>IF(项目基本情况!F5="房地产抵押价值","房地产抵押价值","抵押担保权已注销时的房地产抵押价值")</f>
        <v>抵押担保权已注销时的房地产抵押价值</v>
      </c>
      <c r="M49" s="3486"/>
      <c r="N49" s="3492" t="str">
        <f>IF(项目基本情况!F5="房地产抵押价值",I110,I112)</f>
        <v>——</v>
      </c>
      <c r="O49" s="3492"/>
      <c r="P49" s="3492"/>
      <c r="Q49" s="2446"/>
    </row>
    <row r="50" spans="1:17" ht="25.5" customHeight="1">
      <c r="A50" s="2541"/>
      <c r="B50" s="3446" t="s">
        <v>685</v>
      </c>
      <c r="C50" s="3446"/>
      <c r="D50" s="2542"/>
      <c r="E50" s="2213"/>
      <c r="F50" s="2539"/>
      <c r="G50" s="3488"/>
      <c r="H50" s="2543" t="s">
        <v>686</v>
      </c>
      <c r="I50" s="2580"/>
      <c r="J50" s="2581"/>
      <c r="K50" s="3486" t="s">
        <v>687</v>
      </c>
      <c r="L50" s="3486"/>
      <c r="M50" s="3486"/>
      <c r="N50" s="3486"/>
      <c r="O50" s="3486"/>
      <c r="P50" s="3486"/>
      <c r="Q50" s="2446"/>
    </row>
    <row r="51" spans="1:17" ht="20.45" customHeight="1">
      <c r="A51" s="2544"/>
      <c r="B51" s="3446" t="s">
        <v>688</v>
      </c>
      <c r="C51" s="3446"/>
      <c r="D51" s="2190"/>
      <c r="E51" s="430"/>
      <c r="F51" s="2539"/>
      <c r="G51" s="3489"/>
      <c r="H51" s="2543" t="s">
        <v>689</v>
      </c>
      <c r="I51" s="2580"/>
      <c r="J51" s="2581"/>
      <c r="K51" s="2767" t="s">
        <v>690</v>
      </c>
      <c r="L51" s="3486" t="s">
        <v>691</v>
      </c>
      <c r="M51" s="3486"/>
      <c r="N51" s="2767" t="s">
        <v>692</v>
      </c>
      <c r="O51" s="2767" t="s">
        <v>693</v>
      </c>
      <c r="P51" s="2767" t="s">
        <v>694</v>
      </c>
      <c r="Q51" s="2446"/>
    </row>
    <row r="52" spans="1:17" ht="24" customHeight="1">
      <c r="A52" s="2545" t="s">
        <v>695</v>
      </c>
      <c r="B52" s="3446" t="s">
        <v>696</v>
      </c>
      <c r="C52" s="3446"/>
      <c r="D52" s="2190">
        <f ca="1">ROUND(D45*'数据-取费表'!E29/(1+'数据-取费表'!F30),0)</f>
        <v>60</v>
      </c>
      <c r="E52" s="2195" t="s">
        <v>697</v>
      </c>
      <c r="F52" s="2546">
        <f>'数据-取费表'!E29</f>
        <v>5.6000000000000001E-2</v>
      </c>
      <c r="G52" s="2547"/>
      <c r="H52" s="2292"/>
      <c r="I52" s="2582"/>
      <c r="J52" s="2581"/>
      <c r="K52" s="2766">
        <v>1</v>
      </c>
      <c r="L52" s="3481" t="s">
        <v>698</v>
      </c>
      <c r="M52" s="3481"/>
      <c r="N52" s="2768">
        <f ca="1">D48</f>
        <v>60</v>
      </c>
      <c r="O52" s="2766" t="str">
        <f>E48</f>
        <v>(销售额-原购置价)×税（费）率</v>
      </c>
      <c r="P52" s="2769">
        <f>F48</f>
        <v>5.6000000000000001E-2</v>
      </c>
      <c r="Q52" s="2446"/>
    </row>
    <row r="53" spans="1:17" ht="12" customHeight="1">
      <c r="A53" s="2545" t="s">
        <v>699</v>
      </c>
      <c r="B53" s="3433" t="s">
        <v>700</v>
      </c>
      <c r="C53" s="3447"/>
      <c r="D53" s="2190">
        <f ca="1">ROUND(D45*'数据-取费表'!E29/(1+'数据-取费表'!F30),0)</f>
        <v>60</v>
      </c>
      <c r="E53" s="2195" t="s">
        <v>697</v>
      </c>
      <c r="F53" s="2546">
        <f>'数据-取费表'!E29</f>
        <v>5.6000000000000001E-2</v>
      </c>
      <c r="G53" s="2547"/>
      <c r="H53" s="2292"/>
      <c r="I53" s="2582"/>
      <c r="J53" s="2581"/>
      <c r="K53" s="2766">
        <v>2</v>
      </c>
      <c r="L53" s="3481" t="s">
        <v>701</v>
      </c>
      <c r="M53" s="3481"/>
      <c r="N53" s="2768">
        <f t="shared" ref="N53:P54" ca="1" si="1">D55</f>
        <v>1</v>
      </c>
      <c r="O53" s="2766" t="str">
        <f t="shared" si="1"/>
        <v>销售额×税（费）率</v>
      </c>
      <c r="P53" s="2769">
        <f t="shared" si="1"/>
        <v>5.0000000000000001E-4</v>
      </c>
      <c r="Q53" s="2446"/>
    </row>
    <row r="54" spans="1:17" ht="12" customHeight="1">
      <c r="A54" s="2545" t="s">
        <v>702</v>
      </c>
      <c r="B54" s="3433" t="s">
        <v>703</v>
      </c>
      <c r="C54" s="3447"/>
      <c r="D54" s="2190">
        <f ca="1">C68</f>
        <v>60</v>
      </c>
      <c r="E54" s="430" t="s">
        <v>704</v>
      </c>
      <c r="F54" s="2546">
        <f>'数据-取费表'!E29</f>
        <v>5.6000000000000001E-2</v>
      </c>
      <c r="G54" s="2547"/>
      <c r="H54" s="2549"/>
      <c r="I54" s="2582"/>
      <c r="J54" s="2581"/>
      <c r="K54" s="2766">
        <v>3</v>
      </c>
      <c r="L54" s="3481" t="s">
        <v>705</v>
      </c>
      <c r="M54" s="3481"/>
      <c r="N54" s="2768">
        <f t="shared" ca="1" si="1"/>
        <v>640</v>
      </c>
      <c r="O54" s="2766" t="str">
        <f t="shared" si="1"/>
        <v>增值额×税（费）率</v>
      </c>
      <c r="P54" s="2770" t="str">
        <f t="shared" si="1"/>
        <v>——</v>
      </c>
      <c r="Q54" s="2446"/>
    </row>
    <row r="55" spans="1:17" ht="24" customHeight="1">
      <c r="A55" s="3419" t="s">
        <v>706</v>
      </c>
      <c r="B55" s="3426"/>
      <c r="C55" s="3426"/>
      <c r="D55" s="2254">
        <f ca="1">IF(H55="个人住宅",0,ROUND(D45*I55,0))</f>
        <v>1</v>
      </c>
      <c r="E55" s="2195" t="s">
        <v>707</v>
      </c>
      <c r="F55" s="2546">
        <f>IF(H55="正常",I55,"免征")</f>
        <v>5.0000000000000001E-4</v>
      </c>
      <c r="G55" s="2547"/>
      <c r="H55" s="2537" t="s">
        <v>888</v>
      </c>
      <c r="I55" s="2586">
        <f>'数据-取费表'!E37</f>
        <v>5.0000000000000001E-4</v>
      </c>
      <c r="J55" s="2581"/>
      <c r="K55" s="2766" t="str">
        <f>IF(H59="非个人房产","",4)</f>
        <v/>
      </c>
      <c r="L55" s="3481" t="str">
        <f>IF(H59="非个人房产","——","个人所得税")</f>
        <v>——</v>
      </c>
      <c r="M55" s="3481"/>
      <c r="N55" s="2771" t="str">
        <f>D59</f>
        <v>——</v>
      </c>
      <c r="O55" s="2772" t="str">
        <f>E59</f>
        <v>——</v>
      </c>
      <c r="P55" s="2773" t="str">
        <f>F59</f>
        <v>——</v>
      </c>
      <c r="Q55" s="2446"/>
    </row>
    <row r="56" spans="1:17" ht="24.75">
      <c r="A56" s="3419" t="s">
        <v>708</v>
      </c>
      <c r="B56" s="3426"/>
      <c r="C56" s="3426"/>
      <c r="D56" s="2254">
        <f ca="1">IF(H56="个人住宅",D57,D58)</f>
        <v>640</v>
      </c>
      <c r="E56" s="2195" t="s">
        <v>709</v>
      </c>
      <c r="F56" s="2546" t="str">
        <f>IF(H56="正常",F58,"免征")</f>
        <v>——</v>
      </c>
      <c r="G56" s="2550" t="s">
        <v>710</v>
      </c>
      <c r="H56" s="2551" t="s">
        <v>888</v>
      </c>
      <c r="I56" s="2552"/>
      <c r="J56" s="2581"/>
      <c r="K56" s="2766" t="str">
        <f>IF(项目基本情况!I6="上海银行",IF(K55="",4,K55+1),"")</f>
        <v/>
      </c>
      <c r="L56" s="3477" t="str">
        <f>IF(项目基本情况!I6="上海银行","其他处置费用","")</f>
        <v/>
      </c>
      <c r="M56" s="3478"/>
      <c r="N56" s="2768" t="str">
        <f>IF(项目基本情况!I6="上海银行",N69,"")</f>
        <v/>
      </c>
      <c r="O56" s="3477" t="str">
        <f>IF(项目基本情况!I6="上海银行","包含处置中涉及的律师、诉讼、拍卖、评估等费用","")</f>
        <v/>
      </c>
      <c r="P56" s="3479"/>
      <c r="Q56" s="2446"/>
    </row>
    <row r="57" spans="1:17" ht="12.75">
      <c r="A57" s="2545" t="s">
        <v>681</v>
      </c>
      <c r="B57" s="3433" t="s">
        <v>711</v>
      </c>
      <c r="C57" s="3447"/>
      <c r="D57" s="2538">
        <v>0</v>
      </c>
      <c r="E57" s="2202" t="s">
        <v>683</v>
      </c>
      <c r="F57" s="2140"/>
      <c r="G57" s="2547"/>
      <c r="H57" s="2552"/>
      <c r="I57" s="2552"/>
      <c r="J57" s="2581"/>
      <c r="K57" s="3481">
        <f>IF(AND(K55="",K56=""),4,IF(项目基本情况!I6="上海银行",K56+1,K55+1))</f>
        <v>4</v>
      </c>
      <c r="L57" s="3481" t="s">
        <v>433</v>
      </c>
      <c r="M57" s="2774" t="s">
        <v>712</v>
      </c>
      <c r="N57" s="2775"/>
      <c r="O57" s="2776">
        <f ca="1">SUMIF(N52:N56,"&lt;9e307")</f>
        <v>701</v>
      </c>
      <c r="P57" s="2777"/>
      <c r="Q57" s="2604" t="e">
        <f ca="1">O57/N49</f>
        <v>#VALUE!</v>
      </c>
    </row>
    <row r="58" spans="1:17" ht="24.75">
      <c r="A58" s="2545" t="s">
        <v>695</v>
      </c>
      <c r="B58" s="3433" t="s">
        <v>713</v>
      </c>
      <c r="C58" s="3446"/>
      <c r="D58" s="2254">
        <f ca="1">IF(H58="转让取得",C81,C97)</f>
        <v>640</v>
      </c>
      <c r="E58" s="2195" t="s">
        <v>709</v>
      </c>
      <c r="F58" s="2140" t="s">
        <v>121</v>
      </c>
      <c r="G58" s="2547"/>
      <c r="H58" s="2551" t="s">
        <v>2484</v>
      </c>
      <c r="I58" s="2552"/>
      <c r="J58" s="2581"/>
      <c r="K58" s="3481"/>
      <c r="L58" s="3481"/>
      <c r="M58" s="2774" t="s">
        <v>715</v>
      </c>
      <c r="N58" s="2778"/>
      <c r="O58" s="2779" t="str">
        <f ca="1">IF(H19="元",NUMBERSTRING(INT(O57),2)&amp;"元整",NUMBERSTRING(INT(O57*10000),2)&amp;"元整")</f>
        <v>柒佰零壹万元整</v>
      </c>
      <c r="P58" s="2780"/>
      <c r="Q58" s="2446"/>
    </row>
    <row r="59" spans="1:17" ht="24">
      <c r="A59" s="3436" t="s">
        <v>716</v>
      </c>
      <c r="B59" s="3437"/>
      <c r="C59" s="3437"/>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717</v>
      </c>
      <c r="H59" s="2558" t="s">
        <v>718</v>
      </c>
      <c r="I59" s="2781" t="s">
        <v>719</v>
      </c>
      <c r="J59" s="2581"/>
      <c r="K59" s="3482">
        <f>K57+1</f>
        <v>5</v>
      </c>
      <c r="L59" s="3481" t="s">
        <v>588</v>
      </c>
      <c r="M59" s="2766" t="s">
        <v>712</v>
      </c>
      <c r="N59" s="2782"/>
      <c r="O59" s="2783" t="e">
        <f ca="1">N49-O57</f>
        <v>#VALUE!</v>
      </c>
      <c r="P59" s="2784"/>
      <c r="Q59" s="2446"/>
    </row>
    <row r="60" spans="1:17" ht="12" customHeight="1">
      <c r="A60" s="2559"/>
      <c r="B60" s="2450"/>
      <c r="C60" s="2450"/>
      <c r="D60" s="2450"/>
      <c r="E60" s="2657"/>
      <c r="F60" s="2756"/>
      <c r="G60" s="2756"/>
      <c r="H60" s="2757"/>
      <c r="I60" s="1650"/>
      <c r="K60" s="3483"/>
      <c r="L60" s="3481"/>
      <c r="M60" s="2774" t="s">
        <v>715</v>
      </c>
      <c r="N60" s="2778"/>
      <c r="O60" s="2779" t="e">
        <f ca="1">IF(H19="元",NUMBERSTRING(INT(O59),2)&amp;"元整",NUMBERSTRING(INT(O59*10000),2)&amp;"元整")</f>
        <v>#VALUE!</v>
      </c>
      <c r="P60" s="2780"/>
      <c r="Q60" s="2446"/>
    </row>
    <row r="61" spans="1:17" ht="12.75">
      <c r="A61" s="3480" t="s">
        <v>720</v>
      </c>
      <c r="B61" s="3480"/>
      <c r="C61" s="3480"/>
      <c r="D61" s="3480"/>
      <c r="E61" s="3480"/>
      <c r="F61" s="2756"/>
      <c r="G61" s="2756"/>
      <c r="H61" s="2758"/>
      <c r="I61" s="1650"/>
      <c r="K61" s="2766">
        <f>K59+1</f>
        <v>6</v>
      </c>
      <c r="L61" s="3481" t="s">
        <v>721</v>
      </c>
      <c r="M61" s="3481"/>
      <c r="N61" s="2785"/>
      <c r="O61" s="2786" t="e">
        <f ca="1">IF(H19="元",ROUND(O59/项目基本情况!C12,0),ROUND(O59*10000/项目基本情况!C12,0))</f>
        <v>#VALUE!</v>
      </c>
      <c r="P61" s="2787"/>
      <c r="Q61" s="2446"/>
    </row>
    <row r="62" spans="1:17" ht="12.75">
      <c r="A62" s="3474" t="s">
        <v>722</v>
      </c>
      <c r="B62" s="3475"/>
      <c r="C62" s="409"/>
      <c r="D62" s="409" t="s">
        <v>723</v>
      </c>
      <c r="E62" s="2561" t="s">
        <v>675</v>
      </c>
      <c r="F62" s="2756"/>
      <c r="G62" s="2756"/>
      <c r="H62" s="2758"/>
      <c r="I62" s="1650"/>
      <c r="K62" s="2788"/>
      <c r="L62" s="2788"/>
      <c r="M62" s="2788"/>
      <c r="N62" s="2788"/>
      <c r="O62" s="2788"/>
      <c r="P62" s="2788"/>
      <c r="Q62" s="2446"/>
    </row>
    <row r="63" spans="1:17" ht="12.75">
      <c r="A63" s="2606">
        <v>1</v>
      </c>
      <c r="B63" s="2607" t="s">
        <v>724</v>
      </c>
      <c r="C63" s="2608">
        <f ca="1">ROUND((C64+C65)/(1+'数据-取费表'!F30),0)</f>
        <v>1076</v>
      </c>
      <c r="D63" s="2607"/>
      <c r="E63" s="2609"/>
      <c r="F63" s="2756"/>
      <c r="G63" s="2756"/>
      <c r="H63" s="2758"/>
      <c r="I63" s="1650"/>
      <c r="K63" s="3484" t="s">
        <v>725</v>
      </c>
      <c r="L63" s="2789" t="s">
        <v>726</v>
      </c>
      <c r="M63" s="2789" t="e">
        <f>IF(N49&gt;10000,N49*0.5%,IF(AND(N49&gt;1000,N49&lt;=10000),N49*1%,IF(AND(N49&gt;100,N49&lt;=1000),N49*3%,IF(AND(N49&gt;10,N49&lt;=100),N49*5%,N49*8%))))</f>
        <v>#VALUE!</v>
      </c>
      <c r="N63" s="2790" t="e">
        <f>ROUND(M63,1)</f>
        <v>#VALUE!</v>
      </c>
      <c r="O63" s="2788"/>
      <c r="P63" s="2788"/>
      <c r="Q63" s="2446"/>
    </row>
    <row r="64" spans="1:17" ht="12.75">
      <c r="A64" s="2610" t="s">
        <v>727</v>
      </c>
      <c r="B64" s="398" t="s">
        <v>728</v>
      </c>
      <c r="C64" s="2611">
        <f ca="1">D45</f>
        <v>1130</v>
      </c>
      <c r="D64" s="398" t="s">
        <v>121</v>
      </c>
      <c r="E64" s="2612"/>
      <c r="F64" s="2756"/>
      <c r="G64" s="2756"/>
      <c r="H64" s="2758"/>
      <c r="I64" s="1650"/>
      <c r="K64" s="3484"/>
      <c r="L64" s="2789" t="s">
        <v>729</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730</v>
      </c>
      <c r="P64" s="2788"/>
      <c r="Q64" s="2446"/>
    </row>
    <row r="65" spans="1:36" ht="12.75">
      <c r="A65" s="2610" t="s">
        <v>731</v>
      </c>
      <c r="B65" s="398" t="s">
        <v>732</v>
      </c>
      <c r="C65" s="2613"/>
      <c r="D65" s="398"/>
      <c r="E65" s="2612"/>
      <c r="F65" s="2756"/>
      <c r="G65" s="2756"/>
      <c r="H65" s="2758"/>
      <c r="I65" s="1650"/>
      <c r="K65" s="3484"/>
      <c r="L65" s="2789" t="s">
        <v>733</v>
      </c>
      <c r="M65" s="2789" t="e">
        <f>IF(N49&gt;1000,N49*0.1%,IF(AND(N49&gt;500,N49&lt;=1000),N49*0.5%,IF(AND(N49&gt;50,N49&lt;=500),N49*1%,IF(AND(N49&gt;1,N49&lt;=50),N49*1.5%))))</f>
        <v>#VALUE!</v>
      </c>
      <c r="N65" s="2790" t="e">
        <f t="shared" si="2"/>
        <v>#VALUE!</v>
      </c>
      <c r="O65" s="2788" t="s">
        <v>730</v>
      </c>
      <c r="P65" s="2788"/>
      <c r="Q65" s="2446"/>
    </row>
    <row r="66" spans="1:36" ht="12.75">
      <c r="A66" s="2614" t="s">
        <v>734</v>
      </c>
      <c r="B66" s="495" t="s">
        <v>735</v>
      </c>
      <c r="C66" s="2615"/>
      <c r="D66" s="495" t="s">
        <v>121</v>
      </c>
      <c r="E66" s="2616" t="s">
        <v>736</v>
      </c>
      <c r="F66" s="2756"/>
      <c r="G66" s="2756"/>
      <c r="H66" s="2758"/>
      <c r="I66" s="1650"/>
      <c r="K66" s="3484"/>
      <c r="L66" s="2789" t="s">
        <v>737</v>
      </c>
      <c r="M66" s="2789" t="e">
        <f>N49*0.5%</f>
        <v>#VALUE!</v>
      </c>
      <c r="N66" s="2790" t="e">
        <f>IF(M66&gt;0.5,0.5,ROUND(M66,0))</f>
        <v>#VALUE!</v>
      </c>
      <c r="O66" s="2788" t="s">
        <v>738</v>
      </c>
      <c r="P66" s="2788"/>
      <c r="Q66" s="2446"/>
    </row>
    <row r="67" spans="1:36" ht="12.75">
      <c r="A67" s="2614" t="s">
        <v>739</v>
      </c>
      <c r="B67" s="495" t="s">
        <v>740</v>
      </c>
      <c r="C67" s="2617">
        <f ca="1">C63-C66</f>
        <v>1076</v>
      </c>
      <c r="D67" s="398" t="s">
        <v>121</v>
      </c>
      <c r="E67" s="2612"/>
      <c r="F67" s="2756"/>
      <c r="G67" s="2756"/>
      <c r="H67" s="2758"/>
      <c r="I67" s="1650"/>
      <c r="K67" s="3484"/>
      <c r="L67" s="2789" t="s">
        <v>741</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2.75">
      <c r="A68" s="2618" t="s">
        <v>742</v>
      </c>
      <c r="B68" s="513" t="s">
        <v>743</v>
      </c>
      <c r="C68" s="2619">
        <f ca="1">IF(C67&lt;=0,0,ROUND(C67*D68,0))</f>
        <v>60</v>
      </c>
      <c r="D68" s="606">
        <f>'数据-取费表'!E29</f>
        <v>5.6000000000000001E-2</v>
      </c>
      <c r="E68" s="2620"/>
      <c r="F68" s="2756"/>
      <c r="G68" s="2756"/>
      <c r="H68" s="2758"/>
      <c r="I68" s="1650"/>
      <c r="K68" s="3484"/>
      <c r="L68" s="2789" t="s">
        <v>744</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8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4.25">
      <c r="A70" s="3472" t="s">
        <v>745</v>
      </c>
      <c r="B70" s="3473"/>
      <c r="C70" s="3473"/>
      <c r="D70" s="3473"/>
      <c r="E70" s="3473"/>
      <c r="F70" s="3473"/>
      <c r="G70" s="3473"/>
      <c r="H70" s="3473"/>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4.25">
      <c r="A71" s="3474" t="s">
        <v>722</v>
      </c>
      <c r="B71" s="3475"/>
      <c r="C71" s="409"/>
      <c r="D71" s="409" t="s">
        <v>723</v>
      </c>
      <c r="E71" s="2623" t="s">
        <v>675</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4.25">
      <c r="A72" s="2626">
        <v>1</v>
      </c>
      <c r="B72" s="495" t="s">
        <v>746</v>
      </c>
      <c r="C72" s="2617">
        <f ca="1">ROUND(D45/(1+'数据-取费表'!F30),0)</f>
        <v>1076</v>
      </c>
      <c r="D72" s="398" t="s">
        <v>121</v>
      </c>
      <c r="E72" s="2254" t="s">
        <v>747</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2628">
        <v>2</v>
      </c>
      <c r="B73" s="2351" t="s">
        <v>748</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749</v>
      </c>
      <c r="B74" s="398" t="s">
        <v>750</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10" t="s">
        <v>751</v>
      </c>
      <c r="B75" s="398" t="s">
        <v>752</v>
      </c>
      <c r="C75" s="516"/>
      <c r="D75" s="398" t="s">
        <v>121</v>
      </c>
      <c r="E75" s="2629" t="s">
        <v>753</v>
      </c>
      <c r="F75" s="2630" t="s">
        <v>754</v>
      </c>
      <c r="G75" s="2629" t="s">
        <v>755</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756</v>
      </c>
      <c r="B76" s="416" t="s">
        <v>757</v>
      </c>
      <c r="C76" s="398">
        <f>IF(F75="购房发票",ROUND(C75*H75*D76,0),0)</f>
        <v>0</v>
      </c>
      <c r="D76" s="2632">
        <v>0.05</v>
      </c>
      <c r="E76" s="3433" t="s">
        <v>758</v>
      </c>
      <c r="F76" s="3446"/>
      <c r="G76" s="3446"/>
      <c r="H76" s="348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759</v>
      </c>
      <c r="B77" s="398" t="s">
        <v>760</v>
      </c>
      <c r="C77" s="398">
        <f>ROUND(IF(G77="个人住宅",0,IF(G77="2016年5月1日前购买",C75*D77,C75*D77/(1+'数据-取费表'!F30))),0)</f>
        <v>0</v>
      </c>
      <c r="D77" s="2634">
        <f>'数据-取费表'!E36+'数据-取费表'!E37</f>
        <v>3.0499999999999999E-2</v>
      </c>
      <c r="E77" s="2254" t="s">
        <v>761</v>
      </c>
      <c r="F77" s="1198"/>
      <c r="G77" s="2635" t="s">
        <v>2485</v>
      </c>
      <c r="H77" s="2633" t="str">
        <f>IF(G77="个人买卖住房","免征印花税"," ")</f>
        <v xml:space="preserve">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763</v>
      </c>
      <c r="B78" s="398" t="s">
        <v>764</v>
      </c>
      <c r="C78" s="2636">
        <f ca="1">ROUND(D45*D78/(1+'数据-取费表'!F30),0)</f>
        <v>6</v>
      </c>
      <c r="D78" s="2637">
        <f>'数据-取费表'!E31</f>
        <v>6.0000000000000001E-3</v>
      </c>
      <c r="E78" s="3396" t="s">
        <v>765</v>
      </c>
      <c r="F78" s="3397"/>
      <c r="G78" s="3397"/>
      <c r="H78" s="3398"/>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4.25">
      <c r="A79" s="2614" t="s">
        <v>739</v>
      </c>
      <c r="B79" s="495" t="s">
        <v>766</v>
      </c>
      <c r="C79" s="2617">
        <f ca="1">C72-C73</f>
        <v>1070</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742</v>
      </c>
      <c r="B80" s="495" t="s">
        <v>767</v>
      </c>
      <c r="C80" s="2641">
        <f ca="1">IF(C79&lt;=0,0,C79/C73)</f>
        <v>178.33333333333334</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768</v>
      </c>
      <c r="B81" s="513" t="s">
        <v>769</v>
      </c>
      <c r="C81" s="2642">
        <f ca="1">ROUND(IF(C79&lt;=0,0,IF(C80&gt;=200%,C79*60%-C73*35%,IF(C80&gt;=100%,C79*50%-C73*15%,IF(C80&gt;=50%,C79*40%-C73*5%,IF(C80&lt;50%,C79*30%,0))))),0)</f>
        <v>640</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3472" t="s">
        <v>770</v>
      </c>
      <c r="B83" s="3473"/>
      <c r="C83" s="3473"/>
      <c r="D83" s="3473"/>
      <c r="E83" s="3473"/>
      <c r="F83" s="3473"/>
      <c r="G83" s="3473"/>
      <c r="H83" s="3473"/>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4.25">
      <c r="A84" s="3474" t="s">
        <v>722</v>
      </c>
      <c r="B84" s="3475"/>
      <c r="C84" s="409"/>
      <c r="D84" s="409" t="s">
        <v>723</v>
      </c>
      <c r="E84" s="2623" t="s">
        <v>675</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746</v>
      </c>
      <c r="C85" s="2617">
        <f ca="1">ROUND(D45/(1+'数据-取费表'!F30),0)</f>
        <v>1076</v>
      </c>
      <c r="D85" s="398" t="s">
        <v>121</v>
      </c>
      <c r="E85" s="2173" t="s">
        <v>747</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2628">
        <v>2</v>
      </c>
      <c r="B86" s="2351" t="s">
        <v>748</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10" t="s">
        <v>749</v>
      </c>
      <c r="B87" s="398" t="s">
        <v>771</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10" t="s">
        <v>751</v>
      </c>
      <c r="B88" s="398" t="s">
        <v>772</v>
      </c>
      <c r="C88" s="2649"/>
      <c r="D88" s="2637"/>
      <c r="E88" s="2586" t="s">
        <v>773</v>
      </c>
      <c r="F88" s="2639"/>
      <c r="G88" s="2650" t="s">
        <v>774</v>
      </c>
      <c r="H88" s="2651"/>
      <c r="I88" s="2691"/>
      <c r="J88" s="2692"/>
      <c r="K88" s="2686" t="s">
        <v>775</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756</v>
      </c>
      <c r="B89" s="398" t="s">
        <v>760</v>
      </c>
      <c r="C89" s="2636">
        <f>ROUND(C88*D89,0)</f>
        <v>0</v>
      </c>
      <c r="D89" s="2637">
        <f>'数据-取费表'!E36+'数据-取费表'!E37</f>
        <v>3.0499999999999999E-2</v>
      </c>
      <c r="E89" s="2586" t="s">
        <v>776</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763</v>
      </c>
      <c r="B90" s="398" t="s">
        <v>777</v>
      </c>
      <c r="C90" s="2649"/>
      <c r="D90" s="2637"/>
      <c r="E90" s="2586" t="str">
        <f>IF(H88="-","土地取得成本中已包含该笔费用"," ")</f>
        <v/>
      </c>
      <c r="F90" s="2639"/>
      <c r="G90" s="3476" t="s">
        <v>778</v>
      </c>
      <c r="H90" s="3476"/>
      <c r="I90" s="2691"/>
      <c r="J90" s="2692"/>
      <c r="K90" s="2686" t="s">
        <v>779</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780</v>
      </c>
      <c r="B91" s="398" t="s">
        <v>781</v>
      </c>
      <c r="C91" s="2636">
        <f>IF(H91="——",成本法!C33,I91)</f>
        <v>0</v>
      </c>
      <c r="D91" s="2637"/>
      <c r="E91" s="3396" t="s">
        <v>782</v>
      </c>
      <c r="F91" s="3397"/>
      <c r="G91" s="3397"/>
      <c r="H91" s="2652" t="s">
        <v>783</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784</v>
      </c>
      <c r="B92" s="398" t="s">
        <v>785</v>
      </c>
      <c r="C92" s="2636">
        <f>ROUND((C87+C90+C91)*D92,0)</f>
        <v>0</v>
      </c>
      <c r="D92" s="2795">
        <v>0.1</v>
      </c>
      <c r="E92" s="3396" t="s">
        <v>786</v>
      </c>
      <c r="F92" s="3397"/>
      <c r="G92" s="3397"/>
      <c r="H92" s="3398"/>
      <c r="I92" s="2691"/>
      <c r="J92" s="2692"/>
      <c r="K92" s="2690" t="s">
        <v>787</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788</v>
      </c>
      <c r="B93" s="398" t="s">
        <v>764</v>
      </c>
      <c r="C93" s="2636">
        <f ca="1">ROUND(D45*D93/(1+'数据-取费表'!F30),0)</f>
        <v>6</v>
      </c>
      <c r="D93" s="2637">
        <f>'数据-取费表'!E31</f>
        <v>6.0000000000000001E-3</v>
      </c>
      <c r="E93" s="3396" t="s">
        <v>765</v>
      </c>
      <c r="F93" s="3397"/>
      <c r="G93" s="3397"/>
      <c r="H93" s="3398"/>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789</v>
      </c>
      <c r="B94" s="398" t="s">
        <v>790</v>
      </c>
      <c r="C94" s="2636">
        <f>ROUND((C87+C90+C91)*D94,0)</f>
        <v>0</v>
      </c>
      <c r="D94" s="2637">
        <v>0.2</v>
      </c>
      <c r="E94" s="3396" t="s">
        <v>791</v>
      </c>
      <c r="F94" s="3397"/>
      <c r="G94" s="3397"/>
      <c r="H94" s="3398"/>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4.25">
      <c r="A95" s="2614" t="s">
        <v>739</v>
      </c>
      <c r="B95" s="495" t="s">
        <v>766</v>
      </c>
      <c r="C95" s="2617">
        <f ca="1">ROUND(C85-C86,0)</f>
        <v>1070</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742</v>
      </c>
      <c r="B96" s="495" t="s">
        <v>767</v>
      </c>
      <c r="C96" s="2641">
        <f ca="1">IF(C95&lt;=0,0,C95/C86)</f>
        <v>178.33333333333334</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768</v>
      </c>
      <c r="B97" s="513" t="s">
        <v>769</v>
      </c>
      <c r="C97" s="2642">
        <f ca="1">ROUND(IF(C95&lt;=0,0,IF(C96&gt;=200%,C95*60%-C86*35%,IF(C96&gt;=100%,C95*50%-C86*15%,IF(C96&gt;=50%,C95*40%-C86*5%,IF(C96&lt;50%,C95*30%,0))))),0)</f>
        <v>640</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792</v>
      </c>
      <c r="B98" s="2450"/>
      <c r="C98" s="2450"/>
      <c r="D98" s="2450"/>
      <c r="E98" s="2657"/>
      <c r="F98" s="2657"/>
      <c r="G98" s="2657"/>
      <c r="H98" s="2658"/>
      <c r="I98" s="2450"/>
    </row>
    <row r="99" spans="1:36" ht="15.75">
      <c r="A99" s="3399" t="s">
        <v>793</v>
      </c>
      <c r="B99" s="3400"/>
      <c r="C99" s="3400"/>
      <c r="D99" s="3401"/>
      <c r="E99" s="2450"/>
      <c r="F99" s="3402" t="s">
        <v>794</v>
      </c>
      <c r="G99" s="3403"/>
      <c r="H99" s="3403"/>
      <c r="I99" s="3404"/>
      <c r="J99" s="2804"/>
    </row>
    <row r="100" spans="1:36" ht="15">
      <c r="A100" s="3405" t="s">
        <v>795</v>
      </c>
      <c r="B100" s="3406"/>
      <c r="C100" s="2661" t="str">
        <f>C4</f>
        <v>比较法-住宅</v>
      </c>
      <c r="D100" s="2662" t="str">
        <f>D4</f>
        <v>收益法</v>
      </c>
      <c r="E100" s="2450"/>
      <c r="F100" s="3407" t="s">
        <v>796</v>
      </c>
      <c r="G100" s="3408"/>
      <c r="H100" s="3407" t="s">
        <v>797</v>
      </c>
      <c r="I100" s="3409"/>
      <c r="J100" s="2694"/>
    </row>
    <row r="101" spans="1:36" ht="12.75">
      <c r="A101" s="3417" t="s">
        <v>798</v>
      </c>
      <c r="B101" s="497" t="str">
        <f>IF(H19="元","总价（元）","总价（万元）")</f>
        <v>总价（万元）</v>
      </c>
      <c r="C101" s="2661">
        <f ca="1">C19</f>
        <v>1130</v>
      </c>
      <c r="D101" s="2662">
        <f ca="1">D19</f>
        <v>319</v>
      </c>
      <c r="E101" s="2450"/>
      <c r="F101" s="3407" t="str">
        <f>项目基本情况!I1</f>
        <v>XX房地产</v>
      </c>
      <c r="G101" s="3408"/>
      <c r="H101" s="3410">
        <f>项目基本情况!C12</f>
        <v>167.24</v>
      </c>
      <c r="I101" s="3409"/>
      <c r="J101" s="2694"/>
    </row>
    <row r="102" spans="1:36" ht="12.75">
      <c r="A102" s="3417"/>
      <c r="B102" s="497" t="s">
        <v>799</v>
      </c>
      <c r="C102" s="2663">
        <f ca="1">C20</f>
        <v>67551</v>
      </c>
      <c r="D102" s="2664">
        <f ca="1">D20</f>
        <v>19098</v>
      </c>
      <c r="E102" s="2450"/>
      <c r="F102" s="3392" t="s">
        <v>800</v>
      </c>
      <c r="G102" s="3393"/>
      <c r="H102" s="2665" t="str">
        <f>C106</f>
        <v>总价（万元）</v>
      </c>
      <c r="I102" s="2674">
        <f ca="1">H121</f>
        <v>1130</v>
      </c>
      <c r="J102" s="2694"/>
    </row>
    <row r="103" spans="1:36" ht="12.75">
      <c r="A103" s="3417" t="s">
        <v>801</v>
      </c>
      <c r="B103" s="498" t="str">
        <f>B101</f>
        <v>总价（万元）</v>
      </c>
      <c r="C103" s="2668">
        <f ca="1">H121</f>
        <v>1130</v>
      </c>
      <c r="D103" s="2666"/>
      <c r="E103" s="2450"/>
      <c r="F103" s="3392"/>
      <c r="G103" s="3393"/>
      <c r="H103" s="2665" t="s">
        <v>799</v>
      </c>
      <c r="I103" s="2612">
        <f ca="1">I121</f>
        <v>67568</v>
      </c>
      <c r="J103" s="2564"/>
    </row>
    <row r="104" spans="1:36" ht="12.75">
      <c r="A104" s="3418"/>
      <c r="B104" s="2671" t="s">
        <v>799</v>
      </c>
      <c r="C104" s="2672">
        <f ca="1">I121</f>
        <v>67568</v>
      </c>
      <c r="D104" s="2673"/>
      <c r="E104" s="2450"/>
      <c r="F104" s="3392"/>
      <c r="G104" s="3393"/>
      <c r="H104" s="3458"/>
      <c r="I104" s="3459"/>
      <c r="J104" s="2695"/>
    </row>
    <row r="105" spans="1:36" ht="15">
      <c r="A105" s="3399" t="s">
        <v>802</v>
      </c>
      <c r="B105" s="3400"/>
      <c r="C105" s="3400"/>
      <c r="D105" s="3401"/>
      <c r="E105" s="2450"/>
      <c r="F105" s="3460" t="s">
        <v>803</v>
      </c>
      <c r="G105" s="3461"/>
      <c r="H105" s="2670" t="str">
        <f>C108</f>
        <v>总额（万元）</v>
      </c>
      <c r="I105" s="2674">
        <f>SUMIF(I106:I108,"&lt;9E307")</f>
        <v>0</v>
      </c>
      <c r="J105" s="2694"/>
    </row>
    <row r="106" spans="1:36" ht="14.25">
      <c r="A106" s="3392" t="s">
        <v>800</v>
      </c>
      <c r="B106" s="3393"/>
      <c r="C106" s="2665" t="str">
        <f>B101</f>
        <v>总价（万元）</v>
      </c>
      <c r="D106" s="2674">
        <f ca="1">H121</f>
        <v>1130</v>
      </c>
      <c r="E106" s="2450"/>
      <c r="F106" s="3394" t="s">
        <v>804</v>
      </c>
      <c r="G106" s="3395"/>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2.75">
      <c r="A107" s="3392"/>
      <c r="B107" s="3393"/>
      <c r="C107" s="2665" t="s">
        <v>799</v>
      </c>
      <c r="D107" s="2612">
        <f ca="1">I121</f>
        <v>67568</v>
      </c>
      <c r="E107" s="2450"/>
      <c r="F107" s="3394" t="s">
        <v>805</v>
      </c>
      <c r="G107" s="3395"/>
      <c r="H107" s="2670" t="str">
        <f>C110</f>
        <v>总额（万元）</v>
      </c>
      <c r="I107" s="2612">
        <f>C37</f>
        <v>0</v>
      </c>
      <c r="J107" s="2564"/>
    </row>
    <row r="108" spans="1:36" ht="12.75">
      <c r="A108" s="3462" t="s">
        <v>803</v>
      </c>
      <c r="B108" s="3463"/>
      <c r="C108" s="2670" t="str">
        <f>IF(H19="元","总额（元）","总额（万元）")</f>
        <v>总额（万元）</v>
      </c>
      <c r="D108" s="2674">
        <f>IF(D36="正常操作",I106+I107+I108,I107+I108)</f>
        <v>0</v>
      </c>
      <c r="E108" s="2450"/>
      <c r="F108" s="3394" t="s">
        <v>806</v>
      </c>
      <c r="G108" s="3395"/>
      <c r="H108" s="2670" t="str">
        <f>C111</f>
        <v>总额（万元）</v>
      </c>
      <c r="I108" s="2612">
        <f>C38</f>
        <v>0</v>
      </c>
      <c r="J108" s="2564"/>
    </row>
    <row r="109" spans="1:36" ht="12.75">
      <c r="A109" s="3394" t="s">
        <v>804</v>
      </c>
      <c r="B109" s="3395"/>
      <c r="C109" s="2670" t="str">
        <f>C108</f>
        <v>总额（万元）</v>
      </c>
      <c r="D109" s="2612">
        <f>IF(D36="同一抵押权人同一抵押物续贷",C36&amp;"（未扣减，详见特别提示）",C36)</f>
        <v>0</v>
      </c>
      <c r="E109" s="2450"/>
      <c r="F109" s="3392"/>
      <c r="G109" s="3393"/>
      <c r="H109" s="3464"/>
      <c r="I109" s="3465"/>
      <c r="J109" s="2698"/>
    </row>
    <row r="110" spans="1:36" ht="28.5" customHeight="1">
      <c r="A110" s="3394" t="s">
        <v>805</v>
      </c>
      <c r="B110" s="3395"/>
      <c r="C110" s="2670" t="str">
        <f>C108</f>
        <v>总额（万元）</v>
      </c>
      <c r="D110" s="2612">
        <f>C37</f>
        <v>0</v>
      </c>
      <c r="E110" s="2450"/>
      <c r="F110" s="3466" t="str">
        <f>IF(项目基本情况!F5="已注销","——","3.房地产抵押价值")</f>
        <v>3.房地产抵押价值</v>
      </c>
      <c r="G110" s="3467"/>
      <c r="H110" s="2796" t="str">
        <f>C112</f>
        <v>总价（万元）</v>
      </c>
      <c r="I110" s="2674">
        <f ca="1">IF(F110="——","——",I102-I105)</f>
        <v>1130</v>
      </c>
      <c r="J110" s="2694"/>
    </row>
    <row r="111" spans="1:36" ht="12.75">
      <c r="A111" s="3394" t="s">
        <v>806</v>
      </c>
      <c r="B111" s="3395"/>
      <c r="C111" s="2670" t="str">
        <f>C108</f>
        <v>总额（万元）</v>
      </c>
      <c r="D111" s="2612">
        <f>C38</f>
        <v>0</v>
      </c>
      <c r="E111" s="2450"/>
      <c r="F111" s="3468"/>
      <c r="G111" s="3469"/>
      <c r="H111" s="2665" t="s">
        <v>799</v>
      </c>
      <c r="I111" s="2699">
        <f ca="1">D113</f>
        <v>67568</v>
      </c>
      <c r="J111" s="2700"/>
    </row>
    <row r="112" spans="1:36" ht="26.25" customHeight="1">
      <c r="A112" s="3392" t="str">
        <f>IF(项目基本情况!F5="已注销","——","3.房地产抵押价值")</f>
        <v>3.房地产抵押价值</v>
      </c>
      <c r="B112" s="3393"/>
      <c r="C112" s="2665" t="str">
        <f>B101</f>
        <v>总价（万元）</v>
      </c>
      <c r="D112" s="2674">
        <f ca="1">IF(A112="——","——",D106-D108)</f>
        <v>1130</v>
      </c>
      <c r="E112" s="2450"/>
      <c r="F112" s="3466" t="str">
        <f>IF(项目基本情况!F5="已注销及未注销","4.抵押担保权已注销时的房地产抵押价值",IF(项目基本情况!F5="已注销","3.抵押担保权已注销时的房地产抵押价值","——"))</f>
        <v>——</v>
      </c>
      <c r="G112" s="3467"/>
      <c r="H112" s="2796" t="str">
        <f>C114</f>
        <v>总价（万元）</v>
      </c>
      <c r="I112" s="2674" t="str">
        <f>IF(F112="——","——",I102-I107-I108)</f>
        <v>——</v>
      </c>
      <c r="J112" s="2694"/>
    </row>
    <row r="113" spans="1:16" ht="12.75">
      <c r="A113" s="3392"/>
      <c r="B113" s="3393"/>
      <c r="C113" s="2665" t="s">
        <v>799</v>
      </c>
      <c r="D113" s="2612">
        <f ca="1">ROUND(IF(D112=D106,D107,IF(H19="元",D112/项目基本情况!C12,D112*10000/项目基本情况!C12)),0)</f>
        <v>67568</v>
      </c>
      <c r="E113" s="2450"/>
      <c r="F113" s="3468"/>
      <c r="G113" s="3469"/>
      <c r="H113" s="2665" t="s">
        <v>799</v>
      </c>
      <c r="I113" s="2612" t="str">
        <f>D115</f>
        <v>——</v>
      </c>
      <c r="J113" s="2564"/>
    </row>
    <row r="114" spans="1:16" ht="12.75">
      <c r="A114" s="3392" t="str">
        <f>IF(项目基本情况!F5="已注销及未注销","4.抵押担保权已注销时的房地产抵押价值",IF(项目基本情况!F5="已注销","3.抵押担保权已注销时的房地产抵押价值","——"))</f>
        <v>——</v>
      </c>
      <c r="B114" s="3393"/>
      <c r="C114" s="2665" t="str">
        <f>B101</f>
        <v>总价（万元）</v>
      </c>
      <c r="D114" s="2674" t="str">
        <f>IF(A114="——","——",D106-D110-D111)</f>
        <v>——</v>
      </c>
      <c r="E114" s="2450"/>
      <c r="F114" s="3466" t="str">
        <f>IF(项目基本情况!G5="抵押净值",IF(OR(项目基本情况!F5="已注销",项目基本情况!F5="房地产抵押价值"),"4.抵押净值","5.抵押净值"),"——")</f>
        <v>——</v>
      </c>
      <c r="G114" s="3467"/>
      <c r="H114" s="2665" t="str">
        <f>C116</f>
        <v>总价（万元）</v>
      </c>
      <c r="I114" s="2674" t="str">
        <f>IF(F114="——","——",O59)</f>
        <v>——</v>
      </c>
      <c r="J114" s="2694"/>
    </row>
    <row r="115" spans="1:16" ht="12.75">
      <c r="A115" s="3392"/>
      <c r="B115" s="3393"/>
      <c r="C115" s="2665" t="s">
        <v>799</v>
      </c>
      <c r="D115" s="2612" t="str">
        <f>IF(A114="——","——",ROUND(IF(D114=D106,D107,IF(H19="元",D114/项目基本情况!C12,D114*10000/项目基本情况!C12)),0))</f>
        <v>——</v>
      </c>
      <c r="E115" s="2450"/>
      <c r="F115" s="3470"/>
      <c r="G115" s="3471"/>
      <c r="H115" s="2675" t="s">
        <v>799</v>
      </c>
      <c r="I115" s="2676" t="str">
        <f ca="1">D117</f>
        <v>——</v>
      </c>
      <c r="J115" s="2564"/>
    </row>
    <row r="116" spans="1:16" ht="15.75">
      <c r="A116" s="3392" t="str">
        <f>IF(项目基本情况!G5="抵押净值",IF(OR(项目基本情况!F5="已注销",项目基本情况!F5="房地产抵押价值"),"4.抵押净值","5.抵押净值"),"——")</f>
        <v>——</v>
      </c>
      <c r="B116" s="3393"/>
      <c r="C116" s="2665" t="str">
        <f>B101</f>
        <v>总价（万元）</v>
      </c>
      <c r="D116" s="2674" t="str">
        <f>IF(A116="——","——",O59)</f>
        <v>——</v>
      </c>
      <c r="E116" s="2450"/>
      <c r="F116" s="3448"/>
      <c r="G116" s="3448"/>
      <c r="H116" s="3449"/>
      <c r="I116" s="3449"/>
      <c r="J116" s="2701"/>
      <c r="O116" s="1605"/>
      <c r="P116" s="1605"/>
    </row>
    <row r="117" spans="1:16" ht="12.75">
      <c r="A117" s="3456"/>
      <c r="B117" s="3457"/>
      <c r="C117" s="2675" t="s">
        <v>799</v>
      </c>
      <c r="D117" s="2676" t="str">
        <f ca="1">IF(D116=D112,D113,IF(A116="——","——",O61))</f>
        <v>——</v>
      </c>
      <c r="E117" s="2450"/>
      <c r="F117" s="3450" t="str">
        <f>IF(B32="总价","（以上估价结果中单价为总价除以建筑面积得出）","（以上估价结果中总价为楼面单价乘以建筑面积得出）")</f>
        <v>（以上估价结果中单价为总价除以建筑面积得出）</v>
      </c>
      <c r="G117" s="3450"/>
      <c r="H117" s="3450"/>
      <c r="I117" s="3450"/>
      <c r="J117" s="2702"/>
      <c r="O117" s="1605"/>
      <c r="P117" s="1605"/>
    </row>
    <row r="118" spans="1:16" ht="15">
      <c r="A118" s="3451" t="s">
        <v>807</v>
      </c>
      <c r="B118" s="3452"/>
      <c r="C118" s="3452"/>
      <c r="D118" s="3452"/>
      <c r="E118" s="3452"/>
      <c r="F118" s="3452"/>
      <c r="G118" s="3452"/>
      <c r="H118" s="3452"/>
      <c r="I118" s="3452"/>
      <c r="J118" s="2703"/>
    </row>
    <row r="119" spans="1:16" ht="12.75">
      <c r="A119" s="3419" t="s">
        <v>808</v>
      </c>
      <c r="B119" s="3420" t="s">
        <v>359</v>
      </c>
      <c r="C119" s="3420" t="s">
        <v>809</v>
      </c>
      <c r="D119" s="3453" t="s">
        <v>810</v>
      </c>
      <c r="E119" s="3454"/>
      <c r="F119" s="3426" t="s">
        <v>653</v>
      </c>
      <c r="G119" s="3426"/>
      <c r="H119" s="3426" t="s">
        <v>811</v>
      </c>
      <c r="I119" s="3455"/>
      <c r="J119" s="2564"/>
    </row>
    <row r="120" spans="1:16" ht="12.75">
      <c r="A120" s="3419"/>
      <c r="B120" s="3421"/>
      <c r="C120" s="3421"/>
      <c r="D120" s="2195" t="s">
        <v>812</v>
      </c>
      <c r="E120" s="2195" t="s">
        <v>813</v>
      </c>
      <c r="F120" s="2195" t="s">
        <v>812</v>
      </c>
      <c r="G120" s="2195" t="s">
        <v>813</v>
      </c>
      <c r="H120" s="2195" t="s">
        <v>812</v>
      </c>
      <c r="I120" s="2612" t="s">
        <v>813</v>
      </c>
      <c r="J120" s="2564"/>
    </row>
    <row r="121" spans="1:16" ht="12.75">
      <c r="A121" s="2545" t="str">
        <f>项目基本情况!I1</f>
        <v>XX房地产</v>
      </c>
      <c r="B121" s="2195">
        <f>项目基本情况!C12</f>
        <v>167.24</v>
      </c>
      <c r="C121" s="2195">
        <f>项目基本情况!C13</f>
        <v>35.5</v>
      </c>
      <c r="D121" s="2195">
        <f ca="1">ROUND(IF(B32="总价",C34,IF('数据-取费表'!B3="万元",E121*B121/10000,E121*B121)),0)</f>
        <v>929</v>
      </c>
      <c r="E121" s="2195">
        <f ca="1">ROUND(IF(B32="楼面单价",C34,IF(H19="元",D121/B121,D121*10000/B121)),0)</f>
        <v>55549</v>
      </c>
      <c r="F121" s="2195">
        <f ca="1">ROUND(IF(B32="总价",C35,IF('数据-取费表'!B3="万元",G121*B121/10000,G121*B121)),0)</f>
        <v>201</v>
      </c>
      <c r="G121" s="2195">
        <f ca="1">ROUND(IF(B32="楼面单价",C35,IF(H19="元",F121/B121,F121*10000/B121)),0)</f>
        <v>12019</v>
      </c>
      <c r="H121" s="2195">
        <f ca="1">ROUND(IF(B32="总价",C32,IF('数据-取费表'!B3="万元",I121*B121/10000,I121*B121)),0)</f>
        <v>1130</v>
      </c>
      <c r="I121" s="2612">
        <f ca="1">ROUND(IF(B32="楼面单价",C32,IF(H19="元",H121/B121,H121*10000/B121)),0)</f>
        <v>67568</v>
      </c>
      <c r="J121" s="2564"/>
    </row>
    <row r="122" spans="1:16" ht="12.75">
      <c r="A122" s="3419" t="s">
        <v>814</v>
      </c>
      <c r="B122" s="3426"/>
      <c r="C122" s="3426"/>
      <c r="D122" s="3441" t="str">
        <f ca="1">IF(H19="元",NUMBERSTRING(INT(D121),2)&amp;"元整",NUMBERSTRING(INT(D121*10000),2)&amp;"元整")</f>
        <v>玖佰贰拾玖万元整</v>
      </c>
      <c r="E122" s="3442"/>
      <c r="F122" s="3441" t="str">
        <f ca="1">IF(H19="元",NUMBERSTRING(INT(F121),2)&amp;"元整",NUMBERSTRING(INT(F121*10000),2)&amp;"元整")</f>
        <v>贰佰零壹万元整</v>
      </c>
      <c r="G122" s="3442"/>
      <c r="H122" s="3441" t="str">
        <f ca="1">IF(H19="元",NUMBERSTRING(INT(H121),2)&amp;"元整",NUMBERSTRING(INT(H121*10000),2)&amp;"元整")</f>
        <v>壹仟壹佰叁拾万元整</v>
      </c>
      <c r="I122" s="3443"/>
      <c r="J122" s="2704"/>
    </row>
    <row r="123" spans="1:16" ht="12.75">
      <c r="A123" s="3407" t="str">
        <f>IF(项目基本情况!D5="房地产市场价值","——",MID(A108,3,LEN(A108)-2))</f>
        <v>——</v>
      </c>
      <c r="B123" s="3444"/>
      <c r="C123" s="3408"/>
      <c r="D123" s="3410">
        <f>I105</f>
        <v>0</v>
      </c>
      <c r="E123" s="3444"/>
      <c r="F123" s="3444"/>
      <c r="G123" s="3444"/>
      <c r="H123" s="3444"/>
      <c r="I123" s="3409"/>
      <c r="J123" s="2694"/>
    </row>
    <row r="124" spans="1:16" ht="12.75">
      <c r="A124" s="3445" t="s">
        <v>814</v>
      </c>
      <c r="B124" s="3446"/>
      <c r="C124" s="3447"/>
      <c r="D124" s="3427">
        <f>H109</f>
        <v>0</v>
      </c>
      <c r="E124" s="3428"/>
      <c r="F124" s="3428"/>
      <c r="G124" s="3428"/>
      <c r="H124" s="3428"/>
      <c r="I124" s="3429"/>
      <c r="J124" s="2705"/>
    </row>
    <row r="125" spans="1:16" ht="12.75">
      <c r="A125" s="3392" t="str">
        <f>IF(项目基本情况!D5="房地产市场价值","——",MID(A112,3,LEN(A112)-2))</f>
        <v>——</v>
      </c>
      <c r="B125" s="3393"/>
      <c r="C125" s="3393"/>
      <c r="D125" s="3410">
        <f ca="1">I110</f>
        <v>1130</v>
      </c>
      <c r="E125" s="3444"/>
      <c r="F125" s="3444"/>
      <c r="G125" s="3444"/>
      <c r="H125" s="3444"/>
      <c r="I125" s="3409"/>
      <c r="J125" s="2694"/>
    </row>
    <row r="126" spans="1:16" ht="12.75">
      <c r="A126" s="3419" t="s">
        <v>814</v>
      </c>
      <c r="B126" s="3426"/>
      <c r="C126" s="3426"/>
      <c r="D126" s="3427">
        <f ca="1">I111</f>
        <v>67568</v>
      </c>
      <c r="E126" s="3428"/>
      <c r="F126" s="3428"/>
      <c r="G126" s="3428"/>
      <c r="H126" s="3428"/>
      <c r="I126" s="3429"/>
      <c r="J126" s="2705"/>
    </row>
    <row r="127" spans="1:16" ht="12.75">
      <c r="A127" s="3392" t="str">
        <f>IF(项目基本情况!D5="房地产市场价值","——",MID(A114,3,LEN(A114)-2))</f>
        <v>——</v>
      </c>
      <c r="B127" s="3393"/>
      <c r="C127" s="3393"/>
      <c r="D127" s="3430" t="str">
        <f>I112</f>
        <v>——</v>
      </c>
      <c r="E127" s="3431"/>
      <c r="F127" s="3431"/>
      <c r="G127" s="3431"/>
      <c r="H127" s="3431"/>
      <c r="I127" s="3432"/>
      <c r="J127" s="2694"/>
    </row>
    <row r="128" spans="1:16" ht="12.75">
      <c r="A128" s="3419" t="s">
        <v>814</v>
      </c>
      <c r="B128" s="3426"/>
      <c r="C128" s="3433"/>
      <c r="D128" s="3434" t="str">
        <f>I113</f>
        <v>——</v>
      </c>
      <c r="E128" s="3434"/>
      <c r="F128" s="3434"/>
      <c r="G128" s="3434"/>
      <c r="H128" s="3434"/>
      <c r="I128" s="3434"/>
      <c r="J128" s="2705"/>
    </row>
    <row r="129" spans="1:10" ht="12.75">
      <c r="A129" s="3392" t="str">
        <f>IF(项目基本情况!D5="房地产市场价值","——",MID(F114,3,LEN(F114)-2))</f>
        <v>——</v>
      </c>
      <c r="B129" s="3393"/>
      <c r="C129" s="3410"/>
      <c r="D129" s="3435" t="str">
        <f>I114</f>
        <v>——</v>
      </c>
      <c r="E129" s="3435"/>
      <c r="F129" s="3435"/>
      <c r="G129" s="3435"/>
      <c r="H129" s="3435"/>
      <c r="I129" s="3435"/>
      <c r="J129" s="2694"/>
    </row>
    <row r="130" spans="1:10" ht="12.75">
      <c r="A130" s="3436" t="s">
        <v>814</v>
      </c>
      <c r="B130" s="3437"/>
      <c r="C130" s="3437"/>
      <c r="D130" s="3438">
        <f>H116</f>
        <v>0</v>
      </c>
      <c r="E130" s="3439"/>
      <c r="F130" s="3439"/>
      <c r="G130" s="3439"/>
      <c r="H130" s="3439"/>
      <c r="I130" s="3440"/>
      <c r="J130" s="2705"/>
    </row>
    <row r="131" spans="1:10" ht="12.75">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2.75">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698"/>
    </row>
    <row r="133" spans="1:10" ht="21.75" customHeight="1">
      <c r="A133" s="2706" t="s">
        <v>815</v>
      </c>
      <c r="B133" s="2707"/>
      <c r="C133" s="2708" t="s">
        <v>816</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817</v>
      </c>
      <c r="G139" s="2718"/>
      <c r="H139" s="2718"/>
      <c r="I139" s="2728" t="s">
        <v>818</v>
      </c>
      <c r="J139" s="2729"/>
    </row>
    <row r="140" spans="1:10" ht="21.75" customHeight="1">
      <c r="A140" s="1608"/>
      <c r="B140" s="2719" t="s">
        <v>819</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820</v>
      </c>
      <c r="J142" s="2729"/>
    </row>
    <row r="143" spans="1:10" ht="21.75" customHeight="1">
      <c r="A143" s="1608"/>
      <c r="B143" s="2719" t="s">
        <v>821</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820</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606</v>
      </c>
      <c r="B1" s="2450"/>
      <c r="C1" s="2450"/>
      <c r="D1" s="2450"/>
      <c r="E1" s="2450"/>
      <c r="F1" s="2450"/>
      <c r="G1" s="2450"/>
      <c r="H1" s="2450"/>
      <c r="I1" s="2450"/>
    </row>
    <row r="2" spans="1:15" ht="21.75" customHeight="1">
      <c r="A2" s="3527" t="s">
        <v>822</v>
      </c>
      <c r="B2" s="3527"/>
      <c r="C2" s="3527"/>
      <c r="D2" s="3527"/>
      <c r="E2" s="3527"/>
      <c r="F2" s="3527"/>
      <c r="G2" s="3527"/>
      <c r="H2" s="3527"/>
      <c r="I2" s="3527"/>
      <c r="J2" s="2562"/>
    </row>
    <row r="3" spans="1:15" ht="12.75">
      <c r="A3" s="3494" t="s">
        <v>607</v>
      </c>
      <c r="B3" s="3495"/>
      <c r="C3" s="3495"/>
      <c r="D3" s="3495"/>
      <c r="E3" s="3495"/>
      <c r="F3" s="3495"/>
      <c r="G3" s="3495"/>
      <c r="H3" s="3495"/>
      <c r="I3" s="3495"/>
      <c r="J3" s="2563"/>
    </row>
    <row r="4" spans="1:15" ht="14.25">
      <c r="A4" s="2451" t="s">
        <v>608</v>
      </c>
      <c r="B4" s="2451" t="s">
        <v>609</v>
      </c>
      <c r="C4" s="2452"/>
      <c r="D4" s="2452"/>
      <c r="E4" s="3433" t="s">
        <v>612</v>
      </c>
      <c r="F4" s="3446"/>
      <c r="G4" s="3446"/>
      <c r="H4" s="3446"/>
      <c r="I4" s="344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2.75">
      <c r="A5" s="3412" t="s">
        <v>613</v>
      </c>
      <c r="B5" s="3412">
        <v>25</v>
      </c>
      <c r="C5" s="3422"/>
      <c r="D5" s="3425"/>
      <c r="E5" s="2254" t="s">
        <v>614</v>
      </c>
      <c r="F5" s="2174"/>
      <c r="G5" s="2174"/>
      <c r="H5" s="2174"/>
      <c r="I5" s="2548"/>
      <c r="J5" s="2564"/>
    </row>
    <row r="6" spans="1:15" ht="12.75">
      <c r="A6" s="3412"/>
      <c r="B6" s="3412"/>
      <c r="C6" s="3423"/>
      <c r="D6" s="3425"/>
      <c r="E6" s="2254" t="s">
        <v>615</v>
      </c>
      <c r="F6" s="2174"/>
      <c r="G6" s="2174"/>
      <c r="H6" s="2174"/>
      <c r="I6" s="2548"/>
      <c r="J6" s="2564"/>
    </row>
    <row r="7" spans="1:15" ht="12.75">
      <c r="A7" s="3412"/>
      <c r="B7" s="3412"/>
      <c r="C7" s="3424"/>
      <c r="D7" s="3425"/>
      <c r="E7" s="2254" t="s">
        <v>616</v>
      </c>
      <c r="F7" s="2174"/>
      <c r="G7" s="2174"/>
      <c r="H7" s="2174"/>
      <c r="I7" s="2548"/>
      <c r="J7" s="2564"/>
    </row>
    <row r="8" spans="1:15" ht="12.75">
      <c r="A8" s="3412" t="s">
        <v>617</v>
      </c>
      <c r="B8" s="3412">
        <v>15</v>
      </c>
      <c r="C8" s="3422"/>
      <c r="D8" s="3425"/>
      <c r="E8" s="2254" t="s">
        <v>618</v>
      </c>
      <c r="F8" s="2174"/>
      <c r="G8" s="2174"/>
      <c r="H8" s="2174"/>
      <c r="I8" s="2548"/>
      <c r="J8" s="2564"/>
    </row>
    <row r="9" spans="1:15" ht="12.75">
      <c r="A9" s="3412"/>
      <c r="B9" s="3412"/>
      <c r="C9" s="3424"/>
      <c r="D9" s="3425"/>
      <c r="E9" s="2254" t="s">
        <v>619</v>
      </c>
      <c r="F9" s="2174"/>
      <c r="G9" s="2174"/>
      <c r="H9" s="2174"/>
      <c r="I9" s="2548"/>
      <c r="J9" s="2564"/>
    </row>
    <row r="10" spans="1:15" ht="12.75">
      <c r="A10" s="3412" t="s">
        <v>620</v>
      </c>
      <c r="B10" s="3412">
        <v>15</v>
      </c>
      <c r="C10" s="3422"/>
      <c r="D10" s="3425"/>
      <c r="E10" s="2254" t="s">
        <v>621</v>
      </c>
      <c r="F10" s="2174"/>
      <c r="G10" s="2174"/>
      <c r="H10" s="2174"/>
      <c r="I10" s="2548"/>
      <c r="J10" s="2564"/>
    </row>
    <row r="11" spans="1:15" ht="12.75">
      <c r="A11" s="3412"/>
      <c r="B11" s="3412"/>
      <c r="C11" s="3424"/>
      <c r="D11" s="3425"/>
      <c r="E11" s="2254" t="s">
        <v>622</v>
      </c>
      <c r="F11" s="2174"/>
      <c r="G11" s="2174"/>
      <c r="H11" s="2174"/>
      <c r="I11" s="2548"/>
      <c r="J11" s="2564"/>
    </row>
    <row r="12" spans="1:15" ht="12.75">
      <c r="A12" s="3412" t="s">
        <v>623</v>
      </c>
      <c r="B12" s="3412">
        <v>15</v>
      </c>
      <c r="C12" s="3422"/>
      <c r="D12" s="3425"/>
      <c r="E12" s="2254" t="s">
        <v>624</v>
      </c>
      <c r="F12" s="2174"/>
      <c r="G12" s="2174"/>
      <c r="H12" s="2174"/>
      <c r="I12" s="2548"/>
      <c r="J12" s="2564"/>
    </row>
    <row r="13" spans="1:15" ht="12.75">
      <c r="A13" s="3412"/>
      <c r="B13" s="3412"/>
      <c r="C13" s="3424"/>
      <c r="D13" s="3425"/>
      <c r="E13" s="2254" t="s">
        <v>625</v>
      </c>
      <c r="F13" s="2174"/>
      <c r="G13" s="2174"/>
      <c r="H13" s="2174"/>
      <c r="I13" s="2548"/>
      <c r="J13" s="2564"/>
    </row>
    <row r="14" spans="1:15" ht="12.75">
      <c r="A14" s="3412" t="s">
        <v>626</v>
      </c>
      <c r="B14" s="3412">
        <v>30</v>
      </c>
      <c r="C14" s="3422"/>
      <c r="D14" s="3425"/>
      <c r="E14" s="2254" t="s">
        <v>627</v>
      </c>
      <c r="F14" s="2174"/>
      <c r="G14" s="2174"/>
      <c r="H14" s="2174"/>
      <c r="I14" s="2548"/>
      <c r="J14" s="2564"/>
    </row>
    <row r="15" spans="1:15" ht="12.75">
      <c r="A15" s="3412"/>
      <c r="B15" s="3412"/>
      <c r="C15" s="3423"/>
      <c r="D15" s="3425"/>
      <c r="E15" s="2254" t="s">
        <v>628</v>
      </c>
      <c r="F15" s="2174"/>
      <c r="G15" s="2174"/>
      <c r="H15" s="2174"/>
      <c r="I15" s="2548"/>
      <c r="J15" s="2564"/>
    </row>
    <row r="16" spans="1:15" ht="12.75">
      <c r="A16" s="3412"/>
      <c r="B16" s="3412"/>
      <c r="C16" s="3424"/>
      <c r="D16" s="3425"/>
      <c r="E16" s="2254" t="s">
        <v>629</v>
      </c>
      <c r="F16" s="2174"/>
      <c r="G16" s="2174"/>
      <c r="H16" s="2174"/>
      <c r="I16" s="2548"/>
      <c r="J16" s="2564"/>
    </row>
    <row r="17" spans="1:36" ht="15">
      <c r="A17" s="2454" t="s">
        <v>630</v>
      </c>
      <c r="B17" s="1202"/>
      <c r="C17" s="2455">
        <f>SUM(C5:C16)</f>
        <v>0</v>
      </c>
      <c r="D17" s="2455">
        <f>SUM(D5:D16)</f>
        <v>0</v>
      </c>
      <c r="E17" s="2456"/>
      <c r="F17" s="2456"/>
      <c r="G17" s="2456"/>
      <c r="H17" s="2456"/>
      <c r="I17" s="2456"/>
      <c r="J17" s="2565"/>
    </row>
    <row r="18" spans="1:36" ht="32.450000000000003" customHeight="1">
      <c r="A18" s="2457" t="s">
        <v>631</v>
      </c>
      <c r="B18" s="2458"/>
      <c r="C18" s="2459" t="e">
        <f>ROUND(C17/SUM(C17:D17),2)</f>
        <v>#DIV/0!</v>
      </c>
      <c r="D18" s="2459" t="e">
        <f>1-C18</f>
        <v>#DIV/0!</v>
      </c>
      <c r="E18" s="3496" t="s">
        <v>632</v>
      </c>
      <c r="F18" s="3497"/>
      <c r="G18" s="3497"/>
      <c r="H18" s="3497"/>
      <c r="I18" s="3497"/>
      <c r="J18" s="2565"/>
    </row>
    <row r="19" spans="1:36" ht="15">
      <c r="A19" s="2460" t="s">
        <v>633</v>
      </c>
      <c r="B19" s="2461" t="s">
        <v>634</v>
      </c>
      <c r="C19" s="2462" t="e">
        <f ca="1">SUMIF(INDIRECT("'"&amp;C4&amp;"'"&amp;"!A:A"),'结果表 (1修多)'!B19,INDIRECT("'"&amp;C4&amp;"'"&amp;"!B:B"))</f>
        <v>#REF!</v>
      </c>
      <c r="D19" s="2463" t="e">
        <f ca="1">SUMIF(INDIRECT("'"&amp;D4&amp;"'"&amp;"!A:A"),'结果表 (1修多)'!B19,INDIRECT("'"&amp;D4&amp;"'"&amp;"!B:B"))</f>
        <v>#REF!</v>
      </c>
      <c r="E19" s="2460" t="s">
        <v>635</v>
      </c>
      <c r="F19" s="2461" t="s">
        <v>634</v>
      </c>
      <c r="G19" s="2464" t="e">
        <f ca="1">ROUND(C19*$C$18+D19*$D$18,0)</f>
        <v>#REF!</v>
      </c>
      <c r="H19" s="2465" t="str">
        <f>'数据-取费表'!B3</f>
        <v>万元</v>
      </c>
      <c r="I19" s="2456"/>
      <c r="J19" s="2565"/>
    </row>
    <row r="20" spans="1:36" ht="15">
      <c r="A20" s="2466"/>
      <c r="B20" s="1215" t="s">
        <v>636</v>
      </c>
      <c r="C20" s="1142" t="e">
        <f ca="1">SUMIF(INDIRECT("'"&amp;C4&amp;"'"&amp;"!A:A"),'结果表 (1修多)'!B20,INDIRECT("'"&amp;C4&amp;"'"&amp;"!B:B"))</f>
        <v>#REF!</v>
      </c>
      <c r="D20" s="2410" t="e">
        <f ca="1">SUMIF(INDIRECT("'"&amp;D4&amp;"'"&amp;"!A:A"),'结果表 (1修多)'!B20,INDIRECT("'"&amp;D4&amp;"'"&amp;"!B:B"))</f>
        <v>#REF!</v>
      </c>
      <c r="E20" s="2466"/>
      <c r="F20" s="1215" t="s">
        <v>636</v>
      </c>
      <c r="G20" s="1163" t="e">
        <f ca="1">ROUND(C20*$C$18+D20*$D$18,0)</f>
        <v>#REF!</v>
      </c>
      <c r="H20" s="2467" t="s">
        <v>637</v>
      </c>
      <c r="I20" s="2456"/>
      <c r="J20" s="2565"/>
    </row>
    <row r="21" spans="1:36" ht="15" customHeight="1">
      <c r="A21" s="2468"/>
      <c r="B21" s="2469"/>
      <c r="C21" s="2469"/>
      <c r="D21" s="2470"/>
      <c r="E21" s="2468"/>
      <c r="F21" s="2469"/>
      <c r="G21" s="2471"/>
      <c r="H21" s="2472"/>
      <c r="I21" s="2456"/>
      <c r="J21" s="2565"/>
    </row>
    <row r="22" spans="1:36" ht="14.25">
      <c r="A22" s="2473" t="s">
        <v>638</v>
      </c>
      <c r="B22" s="2474"/>
      <c r="C22" s="2475"/>
      <c r="D22" s="2476" t="e">
        <f ca="1">IF(C19&lt;D19,D19/C19-1,C19/D19-1)</f>
        <v>#REF!</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639</v>
      </c>
      <c r="B24" s="2461" t="s">
        <v>634</v>
      </c>
      <c r="C24" s="2464">
        <f>D30</f>
        <v>0</v>
      </c>
      <c r="D24" s="2477"/>
      <c r="E24" s="2292"/>
      <c r="F24" s="2292"/>
      <c r="G24" s="2292"/>
      <c r="H24" s="2292"/>
      <c r="I24" s="2292"/>
      <c r="J24" s="2565"/>
    </row>
    <row r="25" spans="1:36" ht="21.75" customHeight="1">
      <c r="A25" s="3414"/>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4.25">
      <c r="A27" s="2483" t="s">
        <v>823</v>
      </c>
      <c r="B27" s="2481">
        <v>0</v>
      </c>
      <c r="C27" s="2481">
        <v>0</v>
      </c>
      <c r="D27" s="2482">
        <f>ROUND(C27*B27/10000,0)</f>
        <v>0</v>
      </c>
      <c r="E27" s="2292"/>
      <c r="F27" s="2292"/>
      <c r="G27" s="2292"/>
      <c r="H27" s="2292"/>
      <c r="I27" s="2292"/>
      <c r="J27" s="2565"/>
    </row>
    <row r="28" spans="1:36" ht="14.25">
      <c r="A28" s="2480"/>
      <c r="B28" s="2481"/>
      <c r="C28" s="2481"/>
      <c r="D28" s="2482">
        <f>ROUND(C28*B28/10000,0)</f>
        <v>0</v>
      </c>
      <c r="E28" s="2292"/>
      <c r="F28" s="2292"/>
      <c r="G28" s="2292"/>
      <c r="H28" s="2292"/>
      <c r="I28" s="2292"/>
      <c r="J28" s="2565"/>
    </row>
    <row r="29" spans="1:36" ht="14.25">
      <c r="A29" s="2480"/>
      <c r="B29" s="2481"/>
      <c r="C29" s="2481"/>
      <c r="D29" s="2482">
        <f t="shared" ref="D29" si="0">ROUND(C29*B29/10000,0)</f>
        <v>0</v>
      </c>
      <c r="E29" s="2292"/>
      <c r="F29" s="2292"/>
      <c r="G29" s="2292"/>
      <c r="H29" s="2292"/>
      <c r="I29" s="2292"/>
      <c r="J29" s="2565"/>
    </row>
    <row r="30" spans="1:36" ht="14.25">
      <c r="A30" s="2484" t="s">
        <v>644</v>
      </c>
      <c r="B30" s="2485"/>
      <c r="C30" s="2485"/>
      <c r="D30" s="2485"/>
      <c r="E30" s="2486" t="s">
        <v>645</v>
      </c>
      <c r="F30" s="2456"/>
      <c r="G30" s="2456"/>
      <c r="H30" s="2456"/>
      <c r="I30" s="2456"/>
      <c r="J30" s="2565"/>
    </row>
    <row r="31" spans="1:36" s="2443" customFormat="1" ht="27.6"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8" t="s">
        <v>824</v>
      </c>
      <c r="B32" s="3528"/>
      <c r="C32" s="3528"/>
      <c r="D32" s="3528"/>
      <c r="E32" s="3528"/>
      <c r="F32" s="3528"/>
      <c r="G32" s="3528"/>
      <c r="H32" s="3528"/>
      <c r="I32" s="3528"/>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5">
      <c r="A33" s="2489"/>
      <c r="B33" s="2490" t="s">
        <v>825</v>
      </c>
      <c r="C33" s="2491">
        <f>典型户型修正!R27</f>
        <v>0</v>
      </c>
      <c r="D33" s="2456" t="s">
        <v>637</v>
      </c>
      <c r="E33" s="2292"/>
      <c r="F33" s="2292"/>
      <c r="G33" s="2292"/>
      <c r="H33" s="2292"/>
      <c r="I33" s="2292"/>
      <c r="J33" s="2565"/>
    </row>
    <row r="34" spans="1:16" ht="15">
      <c r="A34" s="2492" t="s">
        <v>826</v>
      </c>
      <c r="B34" s="2493" t="s">
        <v>827</v>
      </c>
      <c r="C34" s="2494">
        <f>典型户型修正!B2</f>
        <v>0</v>
      </c>
      <c r="D34" s="2495" t="str">
        <f>IF('数据-取费表'!B3="万元","万元","元")</f>
        <v>万元</v>
      </c>
      <c r="E34" s="2292"/>
      <c r="F34" s="2292"/>
      <c r="G34" s="2292"/>
      <c r="H34" s="2292"/>
      <c r="I34" s="2292"/>
      <c r="J34" s="2565"/>
    </row>
    <row r="35" spans="1:16" ht="15">
      <c r="A35" s="2496"/>
      <c r="B35" s="2497" t="s">
        <v>828</v>
      </c>
      <c r="C35" s="2470" t="e">
        <f>典型户型修正!B3</f>
        <v>#DIV/0!</v>
      </c>
      <c r="D35" s="2456" t="s">
        <v>637</v>
      </c>
      <c r="E35" s="2292"/>
      <c r="F35" s="2292"/>
      <c r="G35" s="2292"/>
      <c r="H35" s="2292"/>
      <c r="I35" s="2292"/>
      <c r="J35" s="2565"/>
    </row>
    <row r="36" spans="1:16" ht="15">
      <c r="A36" s="2498"/>
      <c r="B36" s="2499" t="s">
        <v>650</v>
      </c>
      <c r="C36" s="2500">
        <f>IF('数据-取费表'!B3="万元",典型户型修正!V25,典型户型修正!U25)</f>
        <v>0</v>
      </c>
      <c r="D36" s="2456" t="str">
        <f>D34</f>
        <v>万元</v>
      </c>
      <c r="E36" s="2292"/>
      <c r="F36" s="2292"/>
      <c r="G36" s="2292"/>
      <c r="H36" s="2292"/>
      <c r="I36" s="2292"/>
      <c r="J36" s="2565"/>
    </row>
    <row r="37" spans="1:16" ht="15">
      <c r="A37" s="2501"/>
      <c r="B37" s="2502" t="s">
        <v>652</v>
      </c>
      <c r="C37" s="2503">
        <f>IF('数据-取费表'!B3="万元",典型户型修正!Y25,典型户型修正!X25)</f>
        <v>0</v>
      </c>
      <c r="D37" s="2456" t="str">
        <f>D34</f>
        <v>万元</v>
      </c>
      <c r="E37" s="2292"/>
      <c r="F37" s="2292"/>
      <c r="G37" s="2292"/>
      <c r="H37" s="2292"/>
      <c r="I37" s="2292"/>
      <c r="J37" s="2565"/>
    </row>
    <row r="38" spans="1:16" ht="15">
      <c r="A38" s="3413" t="s">
        <v>654</v>
      </c>
      <c r="B38" s="2499" t="s">
        <v>655</v>
      </c>
      <c r="C38" s="2504"/>
      <c r="D38" s="2505"/>
      <c r="E38" s="2506"/>
      <c r="F38" s="2506"/>
      <c r="G38" s="2292"/>
      <c r="H38" s="2292"/>
      <c r="I38" s="2292"/>
      <c r="J38" s="2565"/>
    </row>
    <row r="39" spans="1:16" ht="15">
      <c r="A39" s="3415"/>
      <c r="B39" s="1202" t="s">
        <v>656</v>
      </c>
      <c r="C39" s="2507"/>
      <c r="D39" s="2508"/>
      <c r="E39" s="2508"/>
      <c r="F39" s="2506"/>
      <c r="G39" s="2508"/>
      <c r="H39" s="2508"/>
      <c r="I39" s="2508"/>
      <c r="J39" s="2570"/>
    </row>
    <row r="40" spans="1:16" ht="15">
      <c r="A40" s="3416"/>
      <c r="B40" s="2502" t="s">
        <v>657</v>
      </c>
      <c r="C40" s="2509"/>
      <c r="D40" s="2510" t="s">
        <v>658</v>
      </c>
      <c r="E40" s="2508"/>
      <c r="F40" s="2506"/>
      <c r="G40" s="2508"/>
      <c r="H40" s="2508"/>
      <c r="I40" s="2508"/>
      <c r="J40" s="2570"/>
    </row>
    <row r="41" spans="1:16" ht="15">
      <c r="A41" s="2466" t="s">
        <v>659</v>
      </c>
      <c r="B41" s="2511" t="s">
        <v>641</v>
      </c>
      <c r="C41" s="2512" t="s">
        <v>642</v>
      </c>
      <c r="D41" s="2512" t="s">
        <v>660</v>
      </c>
      <c r="E41" s="2513" t="s">
        <v>643</v>
      </c>
      <c r="F41" s="2506"/>
      <c r="G41" s="2508"/>
      <c r="H41" s="2508"/>
      <c r="I41" s="2508"/>
      <c r="J41" s="2570"/>
    </row>
    <row r="42" spans="1:16" ht="14.25">
      <c r="A42" s="2514" t="s">
        <v>661</v>
      </c>
      <c r="B42" s="2515"/>
      <c r="C42" s="2516"/>
      <c r="D42" s="2516"/>
      <c r="E42" s="2517"/>
      <c r="F42" s="2506"/>
      <c r="G42" s="2508"/>
      <c r="H42" s="2508"/>
      <c r="I42" s="2508"/>
      <c r="J42" s="2570"/>
    </row>
    <row r="43" spans="1:16" ht="14.25">
      <c r="A43" s="2514" t="s">
        <v>662</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663</v>
      </c>
      <c r="B46" s="2525"/>
      <c r="C46" s="2525"/>
      <c r="D46" s="2526"/>
      <c r="E46" s="2526"/>
      <c r="F46" s="2526"/>
      <c r="G46" s="2526"/>
      <c r="H46" s="2526"/>
      <c r="I46" s="2573" t="s">
        <v>664</v>
      </c>
      <c r="J46" s="2574"/>
      <c r="K46" s="2575" t="s">
        <v>665</v>
      </c>
      <c r="L46" s="2576"/>
      <c r="M46" s="2576"/>
      <c r="N46" s="2576"/>
      <c r="O46" s="2576"/>
      <c r="P46" s="2576"/>
    </row>
    <row r="47" spans="1:16" ht="14.25" customHeight="1">
      <c r="A47" s="3430" t="s">
        <v>666</v>
      </c>
      <c r="B47" s="3431"/>
      <c r="C47" s="3467"/>
      <c r="D47" s="2152">
        <f>ROUND(I104*F47,0)</f>
        <v>0</v>
      </c>
      <c r="E47" s="2242" t="s">
        <v>667</v>
      </c>
      <c r="F47" s="2527">
        <v>1</v>
      </c>
      <c r="G47" s="2528" t="s">
        <v>668</v>
      </c>
      <c r="H47" s="2292"/>
      <c r="I47" s="2292"/>
      <c r="J47" s="2565"/>
      <c r="K47" s="3529" t="s">
        <v>829</v>
      </c>
      <c r="L47" s="3529"/>
      <c r="M47" s="3529"/>
      <c r="N47" s="3529"/>
      <c r="O47" s="3529"/>
      <c r="P47" s="3529"/>
    </row>
    <row r="48" spans="1:16" ht="14.25" customHeight="1">
      <c r="A48" s="3499" t="s">
        <v>670</v>
      </c>
      <c r="B48" s="3500"/>
      <c r="C48" s="3500"/>
      <c r="D48" s="3500"/>
      <c r="E48" s="3500"/>
      <c r="F48" s="3500"/>
      <c r="G48" s="3501"/>
      <c r="H48" s="2529"/>
      <c r="I48" s="2292"/>
      <c r="J48" s="2565"/>
      <c r="K48" s="2577">
        <v>1</v>
      </c>
      <c r="L48" s="3524" t="s">
        <v>830</v>
      </c>
      <c r="M48" s="3524"/>
      <c r="N48" s="3530"/>
      <c r="O48" s="3530"/>
      <c r="P48" s="3530"/>
    </row>
    <row r="49" spans="1:17" ht="12" customHeight="1">
      <c r="A49" s="2530" t="s">
        <v>671</v>
      </c>
      <c r="B49" s="2531"/>
      <c r="C49" s="2532"/>
      <c r="D49" s="2190" t="s">
        <v>672</v>
      </c>
      <c r="E49" s="2140" t="s">
        <v>673</v>
      </c>
      <c r="F49" s="2351" t="s">
        <v>674</v>
      </c>
      <c r="G49" s="2533" t="s">
        <v>675</v>
      </c>
      <c r="H49" s="2529"/>
      <c r="I49" s="2292"/>
      <c r="J49" s="2565"/>
      <c r="K49" s="2577">
        <v>2</v>
      </c>
      <c r="L49" s="3524" t="s">
        <v>831</v>
      </c>
      <c r="M49" s="3524"/>
      <c r="N49" s="3525">
        <f>'数据-取费表'!B2</f>
        <v>44620</v>
      </c>
      <c r="O49" s="3525"/>
      <c r="P49" s="3525"/>
    </row>
    <row r="50" spans="1:17" ht="25.5">
      <c r="A50" s="3491" t="s">
        <v>677</v>
      </c>
      <c r="B50" s="3426"/>
      <c r="C50" s="3426"/>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678</v>
      </c>
      <c r="H50" s="2537" t="s">
        <v>679</v>
      </c>
      <c r="I50" s="2529"/>
      <c r="J50" s="2579"/>
      <c r="K50" s="2577">
        <v>3</v>
      </c>
      <c r="L50" s="3524" t="s">
        <v>832</v>
      </c>
      <c r="M50" s="3524"/>
      <c r="N50" s="3526">
        <f>I104</f>
        <v>0</v>
      </c>
      <c r="O50" s="3526"/>
      <c r="P50" s="3526"/>
    </row>
    <row r="51" spans="1:17" ht="25.5" customHeight="1">
      <c r="A51" s="2534" t="s">
        <v>681</v>
      </c>
      <c r="B51" s="3446" t="s">
        <v>682</v>
      </c>
      <c r="C51" s="3446"/>
      <c r="D51" s="2538">
        <v>0</v>
      </c>
      <c r="E51" s="2202" t="s">
        <v>683</v>
      </c>
      <c r="F51" s="2539" t="s">
        <v>121</v>
      </c>
      <c r="G51" s="3487"/>
      <c r="H51" s="2540" t="s">
        <v>833</v>
      </c>
      <c r="I51" s="2580"/>
      <c r="J51" s="2581"/>
      <c r="K51" s="2577">
        <v>4</v>
      </c>
      <c r="L51" s="3524" t="str">
        <f>IF(项目基本情况!F5="房地产抵押价值","房地产抵押价值","抵押担保权已注销时的房地产抵押价值")</f>
        <v>抵押担保权已注销时的房地产抵押价值</v>
      </c>
      <c r="M51" s="3524"/>
      <c r="N51" s="3526" t="str">
        <f>IF(项目基本情况!F5="房地产抵押价值",I112,I114)</f>
        <v>——</v>
      </c>
      <c r="O51" s="3526"/>
      <c r="P51" s="3526"/>
    </row>
    <row r="52" spans="1:17" ht="25.5" customHeight="1">
      <c r="A52" s="2541"/>
      <c r="B52" s="3446" t="s">
        <v>685</v>
      </c>
      <c r="C52" s="3446"/>
      <c r="D52" s="2542"/>
      <c r="E52" s="2213"/>
      <c r="F52" s="2539"/>
      <c r="G52" s="3488"/>
      <c r="H52" s="2543" t="s">
        <v>686</v>
      </c>
      <c r="I52" s="2580"/>
      <c r="J52" s="2581"/>
      <c r="K52" s="3524" t="s">
        <v>834</v>
      </c>
      <c r="L52" s="3524"/>
      <c r="M52" s="3524"/>
      <c r="N52" s="3524"/>
      <c r="O52" s="3524"/>
      <c r="P52" s="3524"/>
    </row>
    <row r="53" spans="1:17" ht="20.45" customHeight="1">
      <c r="A53" s="2544"/>
      <c r="B53" s="3446" t="s">
        <v>688</v>
      </c>
      <c r="C53" s="3446"/>
      <c r="D53" s="2190"/>
      <c r="E53" s="430"/>
      <c r="F53" s="2539"/>
      <c r="G53" s="3489"/>
      <c r="H53" s="2543" t="s">
        <v>689</v>
      </c>
      <c r="I53" s="2580"/>
      <c r="J53" s="2581"/>
      <c r="K53" s="2578" t="s">
        <v>835</v>
      </c>
      <c r="L53" s="3524" t="s">
        <v>836</v>
      </c>
      <c r="M53" s="3524"/>
      <c r="N53" s="2578" t="s">
        <v>837</v>
      </c>
      <c r="O53" s="2578" t="s">
        <v>838</v>
      </c>
      <c r="P53" s="2578" t="s">
        <v>839</v>
      </c>
    </row>
    <row r="54" spans="1:17" ht="24" customHeight="1">
      <c r="A54" s="2545" t="s">
        <v>695</v>
      </c>
      <c r="B54" s="3446" t="s">
        <v>696</v>
      </c>
      <c r="C54" s="3446"/>
      <c r="D54" s="2190">
        <f>ROUND(D47*'数据-取费表'!E29/(1+'数据-取费表'!F30),0)</f>
        <v>0</v>
      </c>
      <c r="E54" s="2195" t="s">
        <v>697</v>
      </c>
      <c r="F54" s="2546">
        <f>'数据-取费表'!E29</f>
        <v>5.6000000000000001E-2</v>
      </c>
      <c r="G54" s="2547"/>
      <c r="H54" s="2292"/>
      <c r="I54" s="2582"/>
      <c r="J54" s="2581"/>
      <c r="K54" s="2577">
        <v>1</v>
      </c>
      <c r="L54" s="3503" t="s">
        <v>840</v>
      </c>
      <c r="M54" s="3503"/>
      <c r="N54" s="2583">
        <f>D50</f>
        <v>0</v>
      </c>
      <c r="O54" s="2577" t="str">
        <f>E50</f>
        <v>销售额×税（费）率</v>
      </c>
      <c r="P54" s="2584">
        <f>F50</f>
        <v>5.6000000000000001E-2</v>
      </c>
    </row>
    <row r="55" spans="1:17" ht="12" customHeight="1">
      <c r="A55" s="2545" t="s">
        <v>699</v>
      </c>
      <c r="B55" s="3433" t="s">
        <v>700</v>
      </c>
      <c r="C55" s="3447"/>
      <c r="D55" s="2190">
        <f>ROUND(D47*'数据-取费表'!E29/(1+'数据-取费表'!F30),0)</f>
        <v>0</v>
      </c>
      <c r="E55" s="2195" t="s">
        <v>697</v>
      </c>
      <c r="F55" s="2546">
        <f>'数据-取费表'!E29</f>
        <v>5.6000000000000001E-2</v>
      </c>
      <c r="G55" s="2547"/>
      <c r="H55" s="2292"/>
      <c r="I55" s="2582"/>
      <c r="J55" s="2581"/>
      <c r="K55" s="2577">
        <v>2</v>
      </c>
      <c r="L55" s="3503" t="s">
        <v>841</v>
      </c>
      <c r="M55" s="3503"/>
      <c r="N55" s="2583">
        <f t="shared" ref="N55:P56" si="1">D57</f>
        <v>0</v>
      </c>
      <c r="O55" s="2577" t="str">
        <f t="shared" si="1"/>
        <v>销售额×税（费）率</v>
      </c>
      <c r="P55" s="2584">
        <f t="shared" si="1"/>
        <v>5.0000000000000001E-4</v>
      </c>
    </row>
    <row r="56" spans="1:17" ht="12" customHeight="1">
      <c r="A56" s="2545" t="s">
        <v>702</v>
      </c>
      <c r="B56" s="3433" t="s">
        <v>703</v>
      </c>
      <c r="C56" s="3447"/>
      <c r="D56" s="2190">
        <f>C70</f>
        <v>0</v>
      </c>
      <c r="E56" s="430" t="s">
        <v>704</v>
      </c>
      <c r="F56" s="2546">
        <f>'数据-取费表'!E29</f>
        <v>5.6000000000000001E-2</v>
      </c>
      <c r="G56" s="2547"/>
      <c r="H56" s="2549"/>
      <c r="I56" s="2582"/>
      <c r="J56" s="2581"/>
      <c r="K56" s="2577">
        <v>3</v>
      </c>
      <c r="L56" s="3503" t="s">
        <v>842</v>
      </c>
      <c r="M56" s="3503"/>
      <c r="N56" s="2583">
        <f t="shared" si="1"/>
        <v>0</v>
      </c>
      <c r="O56" s="2577" t="str">
        <f t="shared" si="1"/>
        <v>增值额×税（费）率</v>
      </c>
      <c r="P56" s="2585" t="str">
        <f t="shared" si="1"/>
        <v>——</v>
      </c>
    </row>
    <row r="57" spans="1:17" ht="24" customHeight="1">
      <c r="A57" s="3419" t="s">
        <v>706</v>
      </c>
      <c r="B57" s="3426"/>
      <c r="C57" s="3426"/>
      <c r="D57" s="2254">
        <f>IF(H57="个人住宅",0,ROUND(D47*I57,0))</f>
        <v>0</v>
      </c>
      <c r="E57" s="2195" t="s">
        <v>707</v>
      </c>
      <c r="F57" s="2546">
        <f>IF(H57="正常",I57,"免征")</f>
        <v>5.0000000000000001E-4</v>
      </c>
      <c r="G57" s="2547"/>
      <c r="H57" s="2537" t="s">
        <v>843</v>
      </c>
      <c r="I57" s="2586">
        <f>'数据-取费表'!E37</f>
        <v>5.0000000000000001E-4</v>
      </c>
      <c r="J57" s="2581"/>
      <c r="K57" s="2577">
        <f>IF(H61="非个人房产","",4)</f>
        <v>4</v>
      </c>
      <c r="L57" s="3503" t="str">
        <f>IF(H61="非个人房产","——","个人所得税")</f>
        <v>个人所得税</v>
      </c>
      <c r="M57" s="3503"/>
      <c r="N57" s="2587">
        <f>D61</f>
        <v>0</v>
      </c>
      <c r="O57" s="2588" t="str">
        <f>E61</f>
        <v>销售额×税（费）率</v>
      </c>
      <c r="P57" s="2589">
        <f>F61</f>
        <v>0.01</v>
      </c>
    </row>
    <row r="58" spans="1:17" ht="24.75">
      <c r="A58" s="3419" t="s">
        <v>708</v>
      </c>
      <c r="B58" s="3426"/>
      <c r="C58" s="3426"/>
      <c r="D58" s="2254">
        <f>IF(H58="个人住宅",D59,D60)</f>
        <v>0</v>
      </c>
      <c r="E58" s="2195" t="s">
        <v>709</v>
      </c>
      <c r="F58" s="2546" t="str">
        <f>IF(H58="正常",F60,"免征")</f>
        <v>——</v>
      </c>
      <c r="G58" s="2550" t="s">
        <v>710</v>
      </c>
      <c r="H58" s="2551" t="s">
        <v>843</v>
      </c>
      <c r="I58" s="2552"/>
      <c r="J58" s="2581"/>
      <c r="K58" s="2577" t="str">
        <f>IF(项目基本情况!I6="上海银行",IF(K57="",4,K57+1),"")</f>
        <v/>
      </c>
      <c r="L58" s="3518" t="str">
        <f>IF(项目基本情况!I6="上海银行","其他处置费用","")</f>
        <v/>
      </c>
      <c r="M58" s="3519"/>
      <c r="N58" s="2583" t="str">
        <f>IF(项目基本情况!I6="上海银行",N71,"")</f>
        <v/>
      </c>
      <c r="O58" s="3518" t="str">
        <f>IF(项目基本情况!I6="上海银行","包含处置中涉及的律师、诉讼、拍卖、评估等费用","")</f>
        <v/>
      </c>
      <c r="P58" s="3520"/>
    </row>
    <row r="59" spans="1:17" ht="12.75">
      <c r="A59" s="2545" t="s">
        <v>681</v>
      </c>
      <c r="B59" s="3433" t="s">
        <v>711</v>
      </c>
      <c r="C59" s="3447"/>
      <c r="D59" s="2538">
        <v>0</v>
      </c>
      <c r="E59" s="2202" t="s">
        <v>683</v>
      </c>
      <c r="F59" s="2140"/>
      <c r="G59" s="2547"/>
      <c r="H59" s="2552"/>
      <c r="I59" s="2552"/>
      <c r="J59" s="2581"/>
      <c r="K59" s="3503">
        <f>IF(AND(K57="",K58=""),4,IF(项目基本情况!I6="上海银行",K58+1,K57+1))</f>
        <v>5</v>
      </c>
      <c r="L59" s="3503" t="s">
        <v>844</v>
      </c>
      <c r="M59" s="2590" t="s">
        <v>845</v>
      </c>
      <c r="N59" s="2591"/>
      <c r="O59" s="2592">
        <f>SUMIF(N54:N58,"&lt;9e307")</f>
        <v>0</v>
      </c>
      <c r="P59" s="2593"/>
      <c r="Q59" s="2604" t="e">
        <f>O59/N51</f>
        <v>#VALUE!</v>
      </c>
    </row>
    <row r="60" spans="1:17" ht="24.75">
      <c r="A60" s="2545" t="s">
        <v>695</v>
      </c>
      <c r="B60" s="3433" t="s">
        <v>713</v>
      </c>
      <c r="C60" s="3446"/>
      <c r="D60" s="2254">
        <f>IF(H60="转让取得",C83,C99)</f>
        <v>0</v>
      </c>
      <c r="E60" s="2195" t="s">
        <v>709</v>
      </c>
      <c r="F60" s="2140" t="s">
        <v>121</v>
      </c>
      <c r="G60" s="2547"/>
      <c r="H60" s="2551" t="s">
        <v>714</v>
      </c>
      <c r="I60" s="2552"/>
      <c r="J60" s="2581"/>
      <c r="K60" s="3503"/>
      <c r="L60" s="3503"/>
      <c r="M60" s="2590" t="s">
        <v>846</v>
      </c>
      <c r="N60" s="2594"/>
      <c r="O60" s="2595" t="str">
        <f>IF(H19="元",NUMBERSTRING(INT(O59),2)&amp;"元整",NUMBERSTRING(INT(O59*10000),2)&amp;"元整")</f>
        <v>零元整</v>
      </c>
      <c r="P60" s="2596"/>
    </row>
    <row r="61" spans="1:17" ht="25.5">
      <c r="A61" s="3436" t="s">
        <v>716</v>
      </c>
      <c r="B61" s="3437"/>
      <c r="C61" s="3437"/>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717</v>
      </c>
      <c r="H61" s="2558" t="s">
        <v>847</v>
      </c>
      <c r="I61" s="2597" t="s">
        <v>719</v>
      </c>
      <c r="J61" s="2581"/>
      <c r="K61" s="3522">
        <f>K59+1</f>
        <v>6</v>
      </c>
      <c r="L61" s="3503" t="s">
        <v>848</v>
      </c>
      <c r="M61" s="2577" t="s">
        <v>845</v>
      </c>
      <c r="N61" s="2598"/>
      <c r="O61" s="2599" t="e">
        <f>N51-O59</f>
        <v>#VALUE!</v>
      </c>
      <c r="P61" s="2600"/>
    </row>
    <row r="62" spans="1:17" ht="12" customHeight="1">
      <c r="A62" s="2559"/>
      <c r="B62" s="2456"/>
      <c r="C62" s="2456"/>
      <c r="D62" s="2456"/>
      <c r="E62" s="2559"/>
      <c r="F62" s="2552"/>
      <c r="G62" s="2552"/>
      <c r="H62" s="2560"/>
      <c r="I62" s="2292"/>
      <c r="J62" s="2581"/>
      <c r="K62" s="3523"/>
      <c r="L62" s="3503"/>
      <c r="M62" s="2590" t="s">
        <v>846</v>
      </c>
      <c r="N62" s="2594"/>
      <c r="O62" s="2595" t="e">
        <f>IF(H19="元",NUMBERSTRING(INT(O61),2)&amp;"元整",NUMBERSTRING(INT(O61*10000),2)&amp;"元整")</f>
        <v>#VALUE!</v>
      </c>
      <c r="P62" s="2596"/>
    </row>
    <row r="63" spans="1:17" ht="12.75">
      <c r="A63" s="3521" t="s">
        <v>720</v>
      </c>
      <c r="B63" s="3521"/>
      <c r="C63" s="3521"/>
      <c r="D63" s="3521"/>
      <c r="E63" s="3521"/>
      <c r="F63" s="2552"/>
      <c r="G63" s="2552"/>
      <c r="H63" s="2560"/>
      <c r="I63" s="2292"/>
      <c r="J63" s="2565"/>
      <c r="K63" s="2577">
        <f>K61+1</f>
        <v>7</v>
      </c>
      <c r="L63" s="3503" t="s">
        <v>849</v>
      </c>
      <c r="M63" s="3503"/>
      <c r="N63" s="2601"/>
      <c r="O63" s="2602" t="e">
        <f>IF(H19="元",ROUND(O61/项目基本情况!C12,0),ROUND(O61*10000/项目基本情况!C12,0))</f>
        <v>#VALUE!</v>
      </c>
      <c r="P63" s="2603"/>
    </row>
    <row r="64" spans="1:17" ht="12.75">
      <c r="A64" s="3474" t="s">
        <v>722</v>
      </c>
      <c r="B64" s="3475"/>
      <c r="C64" s="409"/>
      <c r="D64" s="409" t="s">
        <v>723</v>
      </c>
      <c r="E64" s="2561" t="s">
        <v>675</v>
      </c>
      <c r="F64" s="2552"/>
      <c r="G64" s="2552"/>
      <c r="H64" s="2560"/>
      <c r="I64" s="2292"/>
      <c r="J64" s="2565"/>
      <c r="K64" s="2446"/>
      <c r="L64" s="2446"/>
      <c r="M64" s="2446"/>
      <c r="N64" s="2446"/>
      <c r="O64" s="2446"/>
    </row>
    <row r="65" spans="1:36" ht="12.75">
      <c r="A65" s="2606">
        <v>1</v>
      </c>
      <c r="B65" s="2607" t="s">
        <v>724</v>
      </c>
      <c r="C65" s="2608">
        <f>ROUND((C66+C67)/(1+'数据-取费表'!F30),0)</f>
        <v>0</v>
      </c>
      <c r="D65" s="2607"/>
      <c r="E65" s="2609"/>
      <c r="F65" s="2552"/>
      <c r="G65" s="2552"/>
      <c r="H65" s="2560"/>
      <c r="I65" s="2292"/>
      <c r="J65" s="2565"/>
      <c r="K65" s="3502" t="s">
        <v>850</v>
      </c>
      <c r="L65" s="2661" t="s">
        <v>851</v>
      </c>
      <c r="M65" s="2661" t="e">
        <f>IF(N51&gt;10000,N51*0.5%,IF(AND(N51&gt;1000,N51&lt;=10000),N51*1%,IF(AND(N51&gt;100,N51&lt;=1000),N51*3%,IF(AND(N51&gt;10,N51&lt;=100),N51*5%,N51*8%))))</f>
        <v>#VALUE!</v>
      </c>
      <c r="N65" s="2140" t="e">
        <f>ROUND(M65,1)</f>
        <v>#VALUE!</v>
      </c>
      <c r="O65" s="2678"/>
    </row>
    <row r="66" spans="1:36" ht="12.75">
      <c r="A66" s="2610" t="s">
        <v>727</v>
      </c>
      <c r="B66" s="398" t="s">
        <v>728</v>
      </c>
      <c r="C66" s="2611">
        <f>D47</f>
        <v>0</v>
      </c>
      <c r="D66" s="398" t="s">
        <v>121</v>
      </c>
      <c r="E66" s="2612"/>
      <c r="F66" s="2552"/>
      <c r="G66" s="2552"/>
      <c r="H66" s="2560"/>
      <c r="I66" s="2292"/>
      <c r="J66" s="2565"/>
      <c r="K66" s="3502"/>
      <c r="L66" s="2661" t="s">
        <v>852</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853</v>
      </c>
    </row>
    <row r="67" spans="1:36" ht="12.75">
      <c r="A67" s="2610" t="s">
        <v>731</v>
      </c>
      <c r="B67" s="398" t="s">
        <v>732</v>
      </c>
      <c r="C67" s="2613"/>
      <c r="D67" s="398"/>
      <c r="E67" s="2612"/>
      <c r="F67" s="2552"/>
      <c r="G67" s="2552"/>
      <c r="H67" s="2560"/>
      <c r="I67" s="2292"/>
      <c r="J67" s="2565"/>
      <c r="K67" s="3502"/>
      <c r="L67" s="2661" t="s">
        <v>854</v>
      </c>
      <c r="M67" s="2661" t="e">
        <f>IF(N51&gt;1000,N51*0.1%,IF(AND(N51&gt;500,N51&lt;=1000),N51*0.5%,IF(AND(N51&gt;50,N51&lt;=500),N51*1%,IF(AND(N51&gt;1,N51&lt;=50),N51*1.5%))))</f>
        <v>#VALUE!</v>
      </c>
      <c r="N67" s="2140" t="e">
        <f t="shared" si="2"/>
        <v>#VALUE!</v>
      </c>
      <c r="O67" s="2678" t="s">
        <v>853</v>
      </c>
    </row>
    <row r="68" spans="1:36" ht="12.75">
      <c r="A68" s="2614" t="s">
        <v>734</v>
      </c>
      <c r="B68" s="495" t="s">
        <v>735</v>
      </c>
      <c r="C68" s="2615"/>
      <c r="D68" s="495" t="s">
        <v>121</v>
      </c>
      <c r="E68" s="2616" t="s">
        <v>736</v>
      </c>
      <c r="F68" s="2552"/>
      <c r="G68" s="2552"/>
      <c r="H68" s="2560"/>
      <c r="I68" s="2292"/>
      <c r="J68" s="2565"/>
      <c r="K68" s="3502"/>
      <c r="L68" s="2661" t="s">
        <v>855</v>
      </c>
      <c r="M68" s="2661" t="e">
        <f>N51*0.5%</f>
        <v>#VALUE!</v>
      </c>
      <c r="N68" s="2140" t="e">
        <f>IF(M68&gt;0.5,0.5,ROUND(M68,0))</f>
        <v>#VALUE!</v>
      </c>
      <c r="O68" s="2678" t="s">
        <v>856</v>
      </c>
    </row>
    <row r="69" spans="1:36" ht="12.75">
      <c r="A69" s="2614" t="s">
        <v>739</v>
      </c>
      <c r="B69" s="495" t="s">
        <v>740</v>
      </c>
      <c r="C69" s="2617">
        <f>C65-C68</f>
        <v>0</v>
      </c>
      <c r="D69" s="398" t="s">
        <v>121</v>
      </c>
      <c r="E69" s="2612"/>
      <c r="F69" s="2552"/>
      <c r="G69" s="2552"/>
      <c r="H69" s="2560"/>
      <c r="I69" s="2292"/>
      <c r="J69" s="2565"/>
      <c r="K69" s="3502"/>
      <c r="L69" s="2661" t="s">
        <v>857</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2.75">
      <c r="A70" s="2618" t="s">
        <v>742</v>
      </c>
      <c r="B70" s="513" t="s">
        <v>743</v>
      </c>
      <c r="C70" s="2619">
        <f>IF(C69&lt;=0,0,ROUND(C69*D70,0))</f>
        <v>0</v>
      </c>
      <c r="D70" s="606">
        <f>'数据-取费表'!E29</f>
        <v>5.6000000000000001E-2</v>
      </c>
      <c r="E70" s="2620"/>
      <c r="F70" s="2552"/>
      <c r="G70" s="2552"/>
      <c r="H70" s="2560"/>
      <c r="I70" s="2292"/>
      <c r="J70" s="2565"/>
      <c r="K70" s="3502"/>
      <c r="L70" s="2661" t="s">
        <v>858</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02"/>
      <c r="L71" s="2661" t="s">
        <v>859</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4.25">
      <c r="A72" s="3515" t="s">
        <v>745</v>
      </c>
      <c r="B72" s="3516"/>
      <c r="C72" s="3516"/>
      <c r="D72" s="3516"/>
      <c r="E72" s="3516"/>
      <c r="F72" s="3516"/>
      <c r="G72" s="3516"/>
      <c r="H72" s="3516"/>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3474" t="s">
        <v>722</v>
      </c>
      <c r="B73" s="3475"/>
      <c r="C73" s="409"/>
      <c r="D73" s="409" t="s">
        <v>723</v>
      </c>
      <c r="E73" s="2623" t="s">
        <v>675</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4.25">
      <c r="A74" s="2626">
        <v>1</v>
      </c>
      <c r="B74" s="495" t="s">
        <v>746</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28">
        <v>2</v>
      </c>
      <c r="B75" s="2351" t="s">
        <v>748</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14.25">
      <c r="A76" s="2610" t="s">
        <v>749</v>
      </c>
      <c r="B76" s="398" t="s">
        <v>750</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14.25">
      <c r="A77" s="2610" t="s">
        <v>751</v>
      </c>
      <c r="B77" s="398" t="s">
        <v>752</v>
      </c>
      <c r="C77" s="516"/>
      <c r="D77" s="398" t="s">
        <v>121</v>
      </c>
      <c r="E77" s="2629" t="s">
        <v>753</v>
      </c>
      <c r="F77" s="2630" t="s">
        <v>754</v>
      </c>
      <c r="G77" s="2629" t="s">
        <v>755</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756</v>
      </c>
      <c r="B78" s="416" t="s">
        <v>757</v>
      </c>
      <c r="C78" s="398">
        <f>IF(F77="购房发票",ROUND(C77*H77*D78,0),0)</f>
        <v>0</v>
      </c>
      <c r="D78" s="2632">
        <v>0.05</v>
      </c>
      <c r="E78" s="3433" t="s">
        <v>758</v>
      </c>
      <c r="F78" s="3446"/>
      <c r="G78" s="3446"/>
      <c r="H78" s="348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759</v>
      </c>
      <c r="B79" s="398" t="s">
        <v>760</v>
      </c>
      <c r="C79" s="398">
        <f>ROUND(IF(G79="个人住宅",0,IF(G79="2016年5月1日前购买",C77*D79,C77*D79/(1+'数据-取费表'!F30))),0)</f>
        <v>0</v>
      </c>
      <c r="D79" s="2634">
        <f>'数据-取费表'!E36+'数据-取费表'!E37</f>
        <v>3.0499999999999999E-2</v>
      </c>
      <c r="E79" s="2254" t="s">
        <v>761</v>
      </c>
      <c r="F79" s="1198"/>
      <c r="G79" s="2635" t="s">
        <v>762</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763</v>
      </c>
      <c r="B80" s="398" t="s">
        <v>764</v>
      </c>
      <c r="C80" s="2636">
        <f>ROUND(D47*D80/(1+'数据-取费表'!F30),0)</f>
        <v>0</v>
      </c>
      <c r="D80" s="2637">
        <f>'数据-取费表'!E31</f>
        <v>6.0000000000000001E-3</v>
      </c>
      <c r="E80" s="3396" t="s">
        <v>765</v>
      </c>
      <c r="F80" s="3397"/>
      <c r="G80" s="3397"/>
      <c r="H80" s="3398"/>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4.25">
      <c r="A81" s="2614" t="s">
        <v>739</v>
      </c>
      <c r="B81" s="495" t="s">
        <v>766</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14.25">
      <c r="A82" s="2614" t="s">
        <v>742</v>
      </c>
      <c r="B82" s="495" t="s">
        <v>767</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2618" t="s">
        <v>768</v>
      </c>
      <c r="B83" s="513" t="s">
        <v>769</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4.25">
      <c r="A85" s="3515" t="s">
        <v>770</v>
      </c>
      <c r="B85" s="3516"/>
      <c r="C85" s="3516"/>
      <c r="D85" s="3516"/>
      <c r="E85" s="3516"/>
      <c r="F85" s="3516"/>
      <c r="G85" s="3516"/>
      <c r="H85" s="3516"/>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3474" t="s">
        <v>722</v>
      </c>
      <c r="B86" s="3475"/>
      <c r="C86" s="409"/>
      <c r="D86" s="409" t="s">
        <v>723</v>
      </c>
      <c r="E86" s="2623" t="s">
        <v>675</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26">
        <v>1</v>
      </c>
      <c r="B87" s="495" t="s">
        <v>746</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28">
        <v>2</v>
      </c>
      <c r="B88" s="2351" t="s">
        <v>748</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749</v>
      </c>
      <c r="B89" s="398" t="s">
        <v>771</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25">
      <c r="A90" s="2610" t="s">
        <v>751</v>
      </c>
      <c r="B90" s="398" t="s">
        <v>772</v>
      </c>
      <c r="C90" s="2649"/>
      <c r="D90" s="2637"/>
      <c r="E90" s="2586" t="s">
        <v>773</v>
      </c>
      <c r="F90" s="2639"/>
      <c r="G90" s="2650" t="s">
        <v>774</v>
      </c>
      <c r="H90" s="2651"/>
      <c r="I90" s="520"/>
      <c r="J90" s="2684"/>
      <c r="K90" s="2686" t="s">
        <v>775</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4.25">
      <c r="A91" s="2610" t="s">
        <v>756</v>
      </c>
      <c r="B91" s="398" t="s">
        <v>760</v>
      </c>
      <c r="C91" s="2636">
        <f>ROUND(C90*D91,0)</f>
        <v>0</v>
      </c>
      <c r="D91" s="2637">
        <f>'数据-取费表'!E36+'数据-取费表'!E37</f>
        <v>3.0499999999999999E-2</v>
      </c>
      <c r="E91" s="2586" t="s">
        <v>776</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25">
      <c r="A92" s="2610" t="s">
        <v>763</v>
      </c>
      <c r="B92" s="398" t="s">
        <v>777</v>
      </c>
      <c r="C92" s="2649"/>
      <c r="D92" s="2637"/>
      <c r="E92" s="2586" t="str">
        <f>IF(H90="-","土地取得成本中已包含该笔费用"," ")</f>
        <v/>
      </c>
      <c r="F92" s="2639"/>
      <c r="G92" s="3476" t="s">
        <v>778</v>
      </c>
      <c r="H92" s="3517"/>
      <c r="I92" s="520"/>
      <c r="J92" s="2684"/>
      <c r="K92" s="2686" t="s">
        <v>779</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780</v>
      </c>
      <c r="B93" s="398" t="s">
        <v>781</v>
      </c>
      <c r="C93" s="2636">
        <f>IF(H93="——",成本法!C33,I93)</f>
        <v>0</v>
      </c>
      <c r="D93" s="2637"/>
      <c r="E93" s="3396" t="s">
        <v>782</v>
      </c>
      <c r="F93" s="3397"/>
      <c r="G93" s="3397"/>
      <c r="H93" s="2652" t="s">
        <v>783</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784</v>
      </c>
      <c r="B94" s="398" t="s">
        <v>785</v>
      </c>
      <c r="C94" s="2636">
        <f>ROUND((C89+C92+C93)*D94,0)</f>
        <v>0</v>
      </c>
      <c r="D94" s="2637">
        <v>0.1</v>
      </c>
      <c r="E94" s="3396" t="s">
        <v>786</v>
      </c>
      <c r="F94" s="3397"/>
      <c r="G94" s="3397"/>
      <c r="H94" s="3398"/>
      <c r="I94" s="520"/>
      <c r="J94" s="2684"/>
      <c r="K94" s="2690" t="s">
        <v>787</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788</v>
      </c>
      <c r="B95" s="398" t="s">
        <v>764</v>
      </c>
      <c r="C95" s="2636">
        <f>ROUND(D47*D95/(1+'数据-取费表'!F30),0)</f>
        <v>0</v>
      </c>
      <c r="D95" s="2637">
        <f>'数据-取费表'!E31</f>
        <v>6.0000000000000001E-3</v>
      </c>
      <c r="E95" s="3396" t="s">
        <v>765</v>
      </c>
      <c r="F95" s="3397"/>
      <c r="G95" s="3397"/>
      <c r="H95" s="3398"/>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789</v>
      </c>
      <c r="B96" s="398" t="s">
        <v>790</v>
      </c>
      <c r="C96" s="2636">
        <f>ROUND((C89+C92+C93)*D96,0)</f>
        <v>0</v>
      </c>
      <c r="D96" s="2637">
        <v>0.2</v>
      </c>
      <c r="E96" s="3396" t="s">
        <v>791</v>
      </c>
      <c r="F96" s="3397"/>
      <c r="G96" s="3397"/>
      <c r="H96" s="3398"/>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4.25">
      <c r="A97" s="2614" t="s">
        <v>739</v>
      </c>
      <c r="B97" s="495" t="s">
        <v>766</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14.25">
      <c r="A98" s="2614" t="s">
        <v>742</v>
      </c>
      <c r="B98" s="495" t="s">
        <v>767</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4.25">
      <c r="A99" s="2653" t="s">
        <v>768</v>
      </c>
      <c r="B99" s="513" t="s">
        <v>769</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792</v>
      </c>
      <c r="B100" s="2450"/>
      <c r="C100" s="2450"/>
      <c r="D100" s="2450"/>
      <c r="E100" s="2657"/>
      <c r="F100" s="2657"/>
      <c r="G100" s="2657"/>
      <c r="H100" s="2658"/>
      <c r="I100" s="2450"/>
    </row>
    <row r="101" spans="1:36" ht="15">
      <c r="A101" s="3399" t="s">
        <v>793</v>
      </c>
      <c r="B101" s="3400"/>
      <c r="C101" s="3400"/>
      <c r="D101" s="3401"/>
      <c r="E101" s="2450"/>
      <c r="F101" s="3505" t="s">
        <v>860</v>
      </c>
      <c r="G101" s="3506"/>
      <c r="H101" s="3506"/>
      <c r="I101" s="3507"/>
      <c r="J101" s="2693"/>
    </row>
    <row r="102" spans="1:36" ht="15">
      <c r="A102" s="3405" t="s">
        <v>795</v>
      </c>
      <c r="B102" s="3406"/>
      <c r="C102" s="2659">
        <f>C4</f>
        <v>0</v>
      </c>
      <c r="D102" s="2660">
        <f>D4</f>
        <v>0</v>
      </c>
      <c r="E102" s="2450"/>
      <c r="F102" s="3407" t="s">
        <v>796</v>
      </c>
      <c r="G102" s="3408"/>
      <c r="H102" s="3444" t="s">
        <v>797</v>
      </c>
      <c r="I102" s="3409"/>
      <c r="J102" s="2694"/>
    </row>
    <row r="103" spans="1:36" ht="12.75">
      <c r="A103" s="3508" t="s">
        <v>861</v>
      </c>
      <c r="B103" s="497" t="str">
        <f>IF(H19="元","总价（元）","总价（万元）")</f>
        <v>总价（万元）</v>
      </c>
      <c r="C103" s="2661" t="e">
        <f ca="1">C19</f>
        <v>#REF!</v>
      </c>
      <c r="D103" s="2662" t="e">
        <f ca="1">D19</f>
        <v>#REF!</v>
      </c>
      <c r="E103" s="2450"/>
      <c r="F103" s="3513"/>
      <c r="G103" s="3514"/>
      <c r="H103" s="3410">
        <f>典型户型修正!B25</f>
        <v>0</v>
      </c>
      <c r="I103" s="3409"/>
      <c r="J103" s="2694"/>
    </row>
    <row r="104" spans="1:36" ht="12.75">
      <c r="A104" s="3508"/>
      <c r="B104" s="497" t="s">
        <v>799</v>
      </c>
      <c r="C104" s="2663" t="e">
        <f ca="1">C20</f>
        <v>#REF!</v>
      </c>
      <c r="D104" s="2664" t="e">
        <f ca="1">D20</f>
        <v>#REF!</v>
      </c>
      <c r="E104" s="2450"/>
      <c r="F104" s="3392" t="s">
        <v>800</v>
      </c>
      <c r="G104" s="3393"/>
      <c r="H104" s="2665" t="str">
        <f>C110</f>
        <v>总价（万元）</v>
      </c>
      <c r="I104" s="2674">
        <f>H125</f>
        <v>0</v>
      </c>
      <c r="J104" s="2694"/>
    </row>
    <row r="105" spans="1:36" ht="12.75">
      <c r="A105" s="3508" t="s">
        <v>862</v>
      </c>
      <c r="B105" s="498" t="str">
        <f>B103</f>
        <v>总价（万元）</v>
      </c>
      <c r="C105" s="2254" t="e">
        <f ca="1">ROUND(IF('数据-取费表'!B4="总价",G19,IF(H19="元",G20*'数据-取费表'!E5,G20*'数据-取费表'!E5/10000)),0)</f>
        <v>#REF!</v>
      </c>
      <c r="D105" s="2666"/>
      <c r="E105" s="2450"/>
      <c r="F105" s="3392"/>
      <c r="G105" s="3393"/>
      <c r="H105" s="2665" t="s">
        <v>799</v>
      </c>
      <c r="I105" s="2612" t="e">
        <f>I125</f>
        <v>#DIV/0!</v>
      </c>
      <c r="J105" s="2564"/>
    </row>
    <row r="106" spans="1:36" ht="12.75">
      <c r="A106" s="3508"/>
      <c r="B106" s="497" t="s">
        <v>799</v>
      </c>
      <c r="C106" s="2522" t="e">
        <f ca="1">ROUND(IF('数据-取费表'!B4="楼面单价",G20,IF(H19="元",G19/'数据-取费表'!E5,G19*10000/'数据-取费表'!E5)),0)</f>
        <v>#REF!</v>
      </c>
      <c r="D106" s="2666"/>
      <c r="E106" s="2450"/>
      <c r="F106" s="3392"/>
      <c r="G106" s="3393"/>
      <c r="H106" s="3458"/>
      <c r="I106" s="3459"/>
      <c r="J106" s="2695"/>
    </row>
    <row r="107" spans="1:36" ht="12.75">
      <c r="A107" s="3509" t="s">
        <v>863</v>
      </c>
      <c r="B107" s="2667" t="str">
        <f>B103</f>
        <v>总价（万元）</v>
      </c>
      <c r="C107" s="2668">
        <f>H125</f>
        <v>0</v>
      </c>
      <c r="D107" s="2669"/>
      <c r="E107" s="2450"/>
      <c r="F107" s="3460" t="s">
        <v>803</v>
      </c>
      <c r="G107" s="3461"/>
      <c r="H107" s="2670" t="str">
        <f>C112</f>
        <v>总额（万元）</v>
      </c>
      <c r="I107" s="2674">
        <f>SUMIF(I108:I110,"&lt;9E307")</f>
        <v>0</v>
      </c>
      <c r="J107" s="2694"/>
    </row>
    <row r="108" spans="1:36" ht="14.25">
      <c r="A108" s="3418"/>
      <c r="B108" s="2671" t="s">
        <v>799</v>
      </c>
      <c r="C108" s="2672" t="e">
        <f>I125</f>
        <v>#DIV/0!</v>
      </c>
      <c r="D108" s="2673"/>
      <c r="E108" s="2450"/>
      <c r="F108" s="3394" t="s">
        <v>804</v>
      </c>
      <c r="G108" s="3395"/>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5">
      <c r="A109" s="3510" t="s">
        <v>802</v>
      </c>
      <c r="B109" s="3511"/>
      <c r="C109" s="3511"/>
      <c r="D109" s="3512"/>
      <c r="E109" s="2450"/>
      <c r="F109" s="3394" t="s">
        <v>805</v>
      </c>
      <c r="G109" s="3395"/>
      <c r="H109" s="2670" t="str">
        <f>C114</f>
        <v>总额（万元）</v>
      </c>
      <c r="I109" s="2612">
        <f>C39</f>
        <v>0</v>
      </c>
      <c r="J109" s="2564"/>
    </row>
    <row r="110" spans="1:36" ht="12.75">
      <c r="A110" s="3392" t="s">
        <v>864</v>
      </c>
      <c r="B110" s="3393"/>
      <c r="C110" s="2665" t="str">
        <f>B103</f>
        <v>总价（万元）</v>
      </c>
      <c r="D110" s="2674">
        <f>H125</f>
        <v>0</v>
      </c>
      <c r="E110" s="2450"/>
      <c r="F110" s="3394" t="s">
        <v>806</v>
      </c>
      <c r="G110" s="3395"/>
      <c r="H110" s="2670" t="str">
        <f>C115</f>
        <v>总额（万元）</v>
      </c>
      <c r="I110" s="2612">
        <f>C40</f>
        <v>0</v>
      </c>
      <c r="J110" s="2564"/>
    </row>
    <row r="111" spans="1:36" ht="12.75">
      <c r="A111" s="3392"/>
      <c r="B111" s="3393"/>
      <c r="C111" s="2665" t="s">
        <v>799</v>
      </c>
      <c r="D111" s="2612" t="e">
        <f>I125</f>
        <v>#DIV/0!</v>
      </c>
      <c r="E111" s="2450"/>
      <c r="F111" s="3392"/>
      <c r="G111" s="3393"/>
      <c r="H111" s="3464"/>
      <c r="I111" s="3465"/>
      <c r="J111" s="2698"/>
    </row>
    <row r="112" spans="1:36" ht="28.5" customHeight="1">
      <c r="A112" s="3462" t="s">
        <v>803</v>
      </c>
      <c r="B112" s="3463"/>
      <c r="C112" s="2670" t="str">
        <f>IF(H19="元","总额（元）","总额（万元）")</f>
        <v>总额（万元）</v>
      </c>
      <c r="D112" s="2674">
        <f>IF(D38="正常操作",I108+I109+I110,I109+I110)</f>
        <v>0</v>
      </c>
      <c r="E112" s="2450"/>
      <c r="F112" s="3466" t="str">
        <f>IF(项目基本情况!F5="已注销","——","3.房地产抵押价值")</f>
        <v>3.房地产抵押价值</v>
      </c>
      <c r="G112" s="3467"/>
      <c r="H112" s="2522" t="str">
        <f>C116</f>
        <v>总价（万元）</v>
      </c>
      <c r="I112" s="2674">
        <f>IF(F112="——","——",I104-I107)</f>
        <v>0</v>
      </c>
      <c r="J112" s="2694"/>
    </row>
    <row r="113" spans="1:27" ht="12.75">
      <c r="A113" s="3394" t="s">
        <v>804</v>
      </c>
      <c r="B113" s="3395"/>
      <c r="C113" s="2670" t="str">
        <f>C112</f>
        <v>总额（万元）</v>
      </c>
      <c r="D113" s="2612">
        <f>IF(D38="同一抵押权人同一抵押物续贷",C38&amp;"（未扣减，详见特别提示）",C38)</f>
        <v>0</v>
      </c>
      <c r="E113" s="2450"/>
      <c r="F113" s="3468"/>
      <c r="G113" s="3469"/>
      <c r="H113" s="2665" t="s">
        <v>799</v>
      </c>
      <c r="I113" s="2699" t="e">
        <f>D117</f>
        <v>#DIV/0!</v>
      </c>
      <c r="J113" s="2700"/>
    </row>
    <row r="114" spans="1:27" ht="12.75">
      <c r="A114" s="3394" t="s">
        <v>805</v>
      </c>
      <c r="B114" s="3395"/>
      <c r="C114" s="2670" t="str">
        <f>C112</f>
        <v>总额（万元）</v>
      </c>
      <c r="D114" s="2612">
        <f>C39</f>
        <v>0</v>
      </c>
      <c r="E114" s="2450"/>
      <c r="F114" s="3466" t="str">
        <f>IF(项目基本情况!F5="已注销及未注销","4.抵押担保权已注销时的房地产抵押价值",IF(项目基本情况!F5="已注销","3.抵押担保权已注销时的房地产抵押价值","——"))</f>
        <v>——</v>
      </c>
      <c r="G114" s="3467"/>
      <c r="H114" s="2522" t="str">
        <f>C118</f>
        <v>总价（万元）</v>
      </c>
      <c r="I114" s="2674" t="str">
        <f>IF(F114="——","——",I104-I109-I110)</f>
        <v>——</v>
      </c>
      <c r="J114" s="2694"/>
    </row>
    <row r="115" spans="1:27" ht="12.75">
      <c r="A115" s="3394" t="s">
        <v>806</v>
      </c>
      <c r="B115" s="3395"/>
      <c r="C115" s="2670" t="str">
        <f>C112</f>
        <v>总额（万元）</v>
      </c>
      <c r="D115" s="2612">
        <f>C40</f>
        <v>0</v>
      </c>
      <c r="E115" s="2450"/>
      <c r="F115" s="3468"/>
      <c r="G115" s="3469"/>
      <c r="H115" s="2665" t="s">
        <v>799</v>
      </c>
      <c r="I115" s="2612" t="str">
        <f>D119</f>
        <v>——</v>
      </c>
      <c r="J115" s="2564"/>
    </row>
    <row r="116" spans="1:27" ht="12.75">
      <c r="A116" s="3392" t="str">
        <f>IF(项目基本情况!F5="已注销","——","3.房地产抵押价值")</f>
        <v>3.房地产抵押价值</v>
      </c>
      <c r="B116" s="3393"/>
      <c r="C116" s="2665" t="str">
        <f>B103</f>
        <v>总价（万元）</v>
      </c>
      <c r="D116" s="2674">
        <f>IF(A116="——","——",D110-D112)</f>
        <v>0</v>
      </c>
      <c r="E116" s="2450"/>
      <c r="F116" s="3466" t="str">
        <f>IF(项目基本情况!G5="抵押净值",IF(OR(项目基本情况!F5="已注销",项目基本情况!F5="房地产抵押价值"),"4.抵押净值","5.抵押净值"),"——")</f>
        <v>——</v>
      </c>
      <c r="G116" s="3467"/>
      <c r="H116" s="2665" t="str">
        <f>C120</f>
        <v>总价（万元）</v>
      </c>
      <c r="I116" s="2674" t="str">
        <f>IF(F116="——","——",O61)</f>
        <v>——</v>
      </c>
      <c r="J116" s="2694"/>
    </row>
    <row r="117" spans="1:27" ht="12.75">
      <c r="A117" s="3392"/>
      <c r="B117" s="3393"/>
      <c r="C117" s="2665" t="s">
        <v>799</v>
      </c>
      <c r="D117" s="2612" t="e">
        <f>ROUND(IF(D116=D110,D111,IF(H19="元",D116/B125,D116*10000/B125)),0)</f>
        <v>#DIV/0!</v>
      </c>
      <c r="E117" s="2450"/>
      <c r="F117" s="3470"/>
      <c r="G117" s="3471"/>
      <c r="H117" s="2675" t="s">
        <v>799</v>
      </c>
      <c r="I117" s="2676" t="str">
        <f>D121</f>
        <v>——</v>
      </c>
      <c r="J117" s="2564"/>
    </row>
    <row r="118" spans="1:27" ht="15.75">
      <c r="A118" s="3392" t="str">
        <f>IF(项目基本情况!F5="已注销及未注销","4.抵押担保权已注销时的房地产抵押价值",IF(项目基本情况!F5="已注销","3.抵押担保权已注销时的房地产抵押价值","——"))</f>
        <v>——</v>
      </c>
      <c r="B118" s="3393"/>
      <c r="C118" s="2665" t="str">
        <f>B103</f>
        <v>总价（万元）</v>
      </c>
      <c r="D118" s="2674" t="str">
        <f>IF(A118="——","——",D110-D114-D115)</f>
        <v>——</v>
      </c>
      <c r="E118" s="2450"/>
      <c r="F118" s="3448"/>
      <c r="G118" s="3448"/>
      <c r="H118" s="3449"/>
      <c r="I118" s="3449"/>
      <c r="J118" s="2701"/>
      <c r="O118" s="1605"/>
      <c r="P118" s="1605"/>
    </row>
    <row r="119" spans="1:27" s="2446" customFormat="1" ht="12.75">
      <c r="A119" s="3392"/>
      <c r="B119" s="3393"/>
      <c r="C119" s="2665" t="s">
        <v>799</v>
      </c>
      <c r="D119" s="2612" t="str">
        <f>IF(A118="——","——",IF(H19="元",ROUND(D118/B125,0),ROUND(D118*10000/B125,0)))</f>
        <v>——</v>
      </c>
      <c r="E119" s="2450"/>
      <c r="F119" s="3504" t="str">
        <f>IF(B33="总价","（以上估价结果中楼面单价为总价除以建筑面积得出）","（以上估价结果中总价为楼面单价乘以建筑面积得出）")</f>
        <v>（以上估价结果中总价为楼面单价乘以建筑面积得出）</v>
      </c>
      <c r="G119" s="3504"/>
      <c r="H119" s="3504"/>
      <c r="I119" s="3504"/>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2.75">
      <c r="A120" s="3392" t="str">
        <f>IF(项目基本情况!G5="抵押净值",IF(OR(项目基本情况!F5="已注销",项目基本情况!F5="房地产抵押价值"),"4.抵押净值","5.抵押净值"),"——")</f>
        <v>——</v>
      </c>
      <c r="B120" s="3393"/>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2.75">
      <c r="A121" s="3456"/>
      <c r="B121" s="3457"/>
      <c r="C121" s="2675" t="s">
        <v>799</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5">
      <c r="A122" s="3451" t="s">
        <v>807</v>
      </c>
      <c r="B122" s="3452"/>
      <c r="C122" s="3452"/>
      <c r="D122" s="3452"/>
      <c r="E122" s="3452"/>
      <c r="F122" s="3452"/>
      <c r="G122" s="3452"/>
      <c r="H122" s="3452"/>
      <c r="I122" s="3452"/>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2.75">
      <c r="A123" s="3419" t="s">
        <v>808</v>
      </c>
      <c r="B123" s="3420" t="s">
        <v>359</v>
      </c>
      <c r="C123" s="3420" t="s">
        <v>809</v>
      </c>
      <c r="D123" s="3453" t="s">
        <v>810</v>
      </c>
      <c r="E123" s="3454"/>
      <c r="F123" s="3426" t="s">
        <v>653</v>
      </c>
      <c r="G123" s="3426"/>
      <c r="H123" s="3426" t="s">
        <v>811</v>
      </c>
      <c r="I123" s="3455"/>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2.75">
      <c r="A124" s="3419"/>
      <c r="B124" s="3421"/>
      <c r="C124" s="3421"/>
      <c r="D124" s="2195" t="s">
        <v>812</v>
      </c>
      <c r="E124" s="2195" t="s">
        <v>813</v>
      </c>
      <c r="F124" s="2195" t="s">
        <v>812</v>
      </c>
      <c r="G124" s="2195" t="s">
        <v>813</v>
      </c>
      <c r="H124" s="2195" t="s">
        <v>812</v>
      </c>
      <c r="I124" s="2612" t="s">
        <v>813</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2.75">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2.75">
      <c r="A126" s="3419" t="s">
        <v>814</v>
      </c>
      <c r="B126" s="3426"/>
      <c r="C126" s="342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2.75">
      <c r="A127" s="3407" t="str">
        <f>IF(项目基本情况!D5="房地产市场价值","——",MID(A112,3,LEN(A112)-2))</f>
        <v>——</v>
      </c>
      <c r="B127" s="3444"/>
      <c r="C127" s="3408"/>
      <c r="D127" s="3410">
        <f>I107</f>
        <v>0</v>
      </c>
      <c r="E127" s="3444"/>
      <c r="F127" s="3444"/>
      <c r="G127" s="3444"/>
      <c r="H127" s="3444"/>
      <c r="I127" s="3409"/>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2.75">
      <c r="A128" s="3445" t="s">
        <v>814</v>
      </c>
      <c r="B128" s="3446"/>
      <c r="C128" s="3447"/>
      <c r="D128" s="3427">
        <f>H111</f>
        <v>0</v>
      </c>
      <c r="E128" s="3428"/>
      <c r="F128" s="3428"/>
      <c r="G128" s="3428"/>
      <c r="H128" s="3428"/>
      <c r="I128" s="3429"/>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2.75">
      <c r="A129" s="3392" t="str">
        <f>IF(项目基本情况!D5="房地产市场价值","——",MID(A116,3,LEN(A116)-2))</f>
        <v>——</v>
      </c>
      <c r="B129" s="3393"/>
      <c r="C129" s="3393"/>
      <c r="D129" s="3410">
        <f>I112</f>
        <v>0</v>
      </c>
      <c r="E129" s="3444"/>
      <c r="F129" s="3444"/>
      <c r="G129" s="3444"/>
      <c r="H129" s="3444"/>
      <c r="I129" s="3409"/>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2.75">
      <c r="A130" s="3419" t="s">
        <v>814</v>
      </c>
      <c r="B130" s="3426"/>
      <c r="C130" s="3426"/>
      <c r="D130" s="3427" t="e">
        <f>I113</f>
        <v>#DIV/0!</v>
      </c>
      <c r="E130" s="3428"/>
      <c r="F130" s="3428"/>
      <c r="G130" s="3428"/>
      <c r="H130" s="3428"/>
      <c r="I130" s="3429"/>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2.75">
      <c r="A131" s="3392" t="str">
        <f>IF(项目基本情况!D5="房地产市场价值","——",MID(A118,3,LEN(A118)-2))</f>
        <v>——</v>
      </c>
      <c r="B131" s="3393"/>
      <c r="C131" s="3393"/>
      <c r="D131" s="3430" t="str">
        <f>I114</f>
        <v>——</v>
      </c>
      <c r="E131" s="3431"/>
      <c r="F131" s="3431"/>
      <c r="G131" s="3431"/>
      <c r="H131" s="3431"/>
      <c r="I131" s="3432"/>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2.75">
      <c r="A132" s="3419" t="s">
        <v>814</v>
      </c>
      <c r="B132" s="3426"/>
      <c r="C132" s="3433"/>
      <c r="D132" s="3434" t="str">
        <f>I115</f>
        <v>——</v>
      </c>
      <c r="E132" s="3434"/>
      <c r="F132" s="3434"/>
      <c r="G132" s="3434"/>
      <c r="H132" s="3434"/>
      <c r="I132" s="3434"/>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2.75">
      <c r="A133" s="3392" t="str">
        <f>IF(项目基本情况!D5="房地产市场价值","——",MID(F116,3,LEN(F116)-2))</f>
        <v>——</v>
      </c>
      <c r="B133" s="3393"/>
      <c r="C133" s="3410"/>
      <c r="D133" s="3435" t="str">
        <f>I116</f>
        <v>——</v>
      </c>
      <c r="E133" s="3435"/>
      <c r="F133" s="3435"/>
      <c r="G133" s="3435"/>
      <c r="H133" s="3435"/>
      <c r="I133" s="3435"/>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2.75">
      <c r="A134" s="3436" t="s">
        <v>814</v>
      </c>
      <c r="B134" s="3437"/>
      <c r="C134" s="3437"/>
      <c r="D134" s="3438">
        <f>H118</f>
        <v>0</v>
      </c>
      <c r="E134" s="3439"/>
      <c r="F134" s="3439"/>
      <c r="G134" s="3439"/>
      <c r="H134" s="3439"/>
      <c r="I134" s="3440"/>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2.75">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2.75">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815</v>
      </c>
      <c r="B137" s="2707"/>
      <c r="C137" s="2708" t="s">
        <v>816</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817</v>
      </c>
      <c r="G143" s="2718"/>
      <c r="H143" s="2718"/>
      <c r="I143" s="2728" t="s">
        <v>818</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819</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820</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821</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820</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70" zoomScaleSheetLayoutView="70" workbookViewId="0">
      <selection activeCell="M36" sqref="M36"/>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6.2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865</v>
      </c>
      <c r="B1" s="1479" t="s">
        <v>866</v>
      </c>
      <c r="C1" s="1480" t="s">
        <v>97</v>
      </c>
      <c r="D1" s="2358"/>
      <c r="E1" s="1481" t="s">
        <v>867</v>
      </c>
      <c r="F1" s="1482" t="s">
        <v>868</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869</v>
      </c>
      <c r="B2" s="1484">
        <f>IF(D2="——",IF(C2="元",ROUND(C49*D3,0),ROUND(C49*D3/10000,0)),IF(C2="元",ROUND(C49*D3,0),ROUND(C49*D3/10000,0))-E2)</f>
        <v>1130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870</v>
      </c>
      <c r="B3" s="1490">
        <f>ROUND(IF(D2="——",C49,IF(C2="万元",B2*10000/D3,B2/D3)),0)</f>
        <v>67551</v>
      </c>
      <c r="C3" s="1490" t="s">
        <v>871</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5">
      <c r="A4" s="1032" t="s">
        <v>872</v>
      </c>
      <c r="B4" s="1033"/>
      <c r="C4" s="3571" t="s">
        <v>873</v>
      </c>
      <c r="D4" s="3572"/>
      <c r="E4" s="3573" t="s">
        <v>874</v>
      </c>
      <c r="F4" s="3574"/>
      <c r="G4" s="3571" t="s">
        <v>875</v>
      </c>
      <c r="H4" s="3572"/>
      <c r="I4" s="3571" t="s">
        <v>876</v>
      </c>
      <c r="J4" s="3572"/>
      <c r="K4" s="2376" t="s">
        <v>877</v>
      </c>
      <c r="L4" s="1159"/>
      <c r="M4" s="1160"/>
      <c r="N4" s="1160"/>
      <c r="O4" s="1160"/>
      <c r="P4" s="3534" t="s">
        <v>878</v>
      </c>
      <c r="Q4" s="3535"/>
      <c r="R4" s="3540" t="s">
        <v>874</v>
      </c>
      <c r="S4" s="3541"/>
      <c r="T4" s="3540" t="s">
        <v>875</v>
      </c>
      <c r="U4" s="3541"/>
      <c r="V4" s="3546" t="s">
        <v>876</v>
      </c>
      <c r="W4" s="3546"/>
      <c r="X4" s="1197"/>
      <c r="Y4" s="3540" t="s">
        <v>878</v>
      </c>
      <c r="Z4" s="3541"/>
      <c r="AA4" s="3531" t="s">
        <v>874</v>
      </c>
      <c r="AB4" s="3531" t="s">
        <v>875</v>
      </c>
      <c r="AC4" s="3531" t="s">
        <v>876</v>
      </c>
    </row>
    <row r="5" spans="1:29" ht="15">
      <c r="A5" s="1034"/>
      <c r="B5" s="1035"/>
      <c r="C5" s="3575" t="s">
        <v>879</v>
      </c>
      <c r="D5" s="3576"/>
      <c r="E5" s="3577" t="s">
        <v>880</v>
      </c>
      <c r="F5" s="3578"/>
      <c r="G5" s="3579" t="s">
        <v>2474</v>
      </c>
      <c r="H5" s="3576"/>
      <c r="I5" s="3579" t="s">
        <v>2476</v>
      </c>
      <c r="J5" s="3576"/>
      <c r="K5" s="2377"/>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881</v>
      </c>
      <c r="D6" s="3567"/>
      <c r="E6" s="3568" t="s">
        <v>881</v>
      </c>
      <c r="F6" s="3569"/>
      <c r="G6" s="3566" t="s">
        <v>881</v>
      </c>
      <c r="H6" s="3567"/>
      <c r="I6" s="3566" t="s">
        <v>881</v>
      </c>
      <c r="J6" s="3567"/>
      <c r="K6" s="2377" t="s">
        <v>882</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883</v>
      </c>
      <c r="B7" s="1039"/>
      <c r="C7" s="1040">
        <f>'数据-取费表'!B2</f>
        <v>44620</v>
      </c>
      <c r="D7" s="1041">
        <v>100</v>
      </c>
      <c r="E7" s="1042">
        <v>44606</v>
      </c>
      <c r="F7" s="1043">
        <f>SUMIF(58:58,YEAR(E7)&amp;"-"&amp;MONTH(E7),59:59)</f>
        <v>100</v>
      </c>
      <c r="G7" s="1042">
        <v>44588</v>
      </c>
      <c r="H7" s="1041">
        <f>SUMIF(58:58,YEAR(G7)&amp;"-"&amp;MONTH(G7),59:59)</f>
        <v>100</v>
      </c>
      <c r="I7" s="1042">
        <v>44617</v>
      </c>
      <c r="J7" s="1041">
        <f>SUMIF(58:58,YEAR(I7)&amp;"-"&amp;MONTH(I7),59:59)</f>
        <v>100</v>
      </c>
      <c r="K7" s="2378"/>
      <c r="L7" s="1159"/>
      <c r="M7" s="1162"/>
      <c r="N7" s="1162"/>
      <c r="O7" s="1162"/>
      <c r="P7" s="3554" t="s">
        <v>884</v>
      </c>
      <c r="Q7" s="3570"/>
      <c r="R7" s="1199" t="s">
        <v>885</v>
      </c>
      <c r="S7" s="1200">
        <f t="shared" ref="S7:S15" si="0">F7</f>
        <v>100</v>
      </c>
      <c r="T7" s="1199" t="s">
        <v>885</v>
      </c>
      <c r="U7" s="1200">
        <f t="shared" ref="U7:U15" si="1">H7</f>
        <v>100</v>
      </c>
      <c r="V7" s="1199" t="s">
        <v>885</v>
      </c>
      <c r="W7" s="1200">
        <f t="shared" ref="W7:W15" si="2">J7</f>
        <v>100</v>
      </c>
      <c r="X7" s="1201"/>
      <c r="Y7" s="3554" t="s">
        <v>884</v>
      </c>
      <c r="Z7" s="3555"/>
      <c r="AA7" s="1214">
        <f>D7/F7</f>
        <v>1</v>
      </c>
      <c r="AB7" s="1214">
        <f>D7/H7</f>
        <v>1</v>
      </c>
      <c r="AC7" s="1214">
        <f>D7/J7</f>
        <v>1</v>
      </c>
    </row>
    <row r="8" spans="1:29" s="1014" customFormat="1" ht="15">
      <c r="A8" s="1038" t="s">
        <v>886</v>
      </c>
      <c r="B8" s="1039"/>
      <c r="C8" s="1045" t="s">
        <v>887</v>
      </c>
      <c r="D8" s="1041">
        <v>100</v>
      </c>
      <c r="E8" s="2362" t="s">
        <v>888</v>
      </c>
      <c r="F8" s="1043">
        <f>SUMIF(61:61,E8,62:62)-SUMIF(61:61,C8,62:62)+100</f>
        <v>100</v>
      </c>
      <c r="G8" s="2362" t="s">
        <v>888</v>
      </c>
      <c r="H8" s="1041">
        <f>SUMIF(61:61,G8,62:62)-SUMIF(61:61,C8,62:62)+100</f>
        <v>100</v>
      </c>
      <c r="I8" s="2362" t="s">
        <v>888</v>
      </c>
      <c r="J8" s="1041">
        <f>SUMIF(61:61,I8,62:62)-SUMIF(61:61,C8,62:62)+100</f>
        <v>100</v>
      </c>
      <c r="K8" s="2378"/>
      <c r="L8" s="1159"/>
      <c r="M8" s="1162"/>
      <c r="N8" s="1162"/>
      <c r="O8" s="1162"/>
      <c r="P8" s="3554" t="s">
        <v>889</v>
      </c>
      <c r="Q8" s="3555"/>
      <c r="R8" s="1199" t="s">
        <v>885</v>
      </c>
      <c r="S8" s="1200">
        <f t="shared" si="0"/>
        <v>100</v>
      </c>
      <c r="T8" s="1199" t="s">
        <v>885</v>
      </c>
      <c r="U8" s="1200">
        <f t="shared" si="1"/>
        <v>100</v>
      </c>
      <c r="V8" s="1199" t="s">
        <v>885</v>
      </c>
      <c r="W8" s="1200">
        <f t="shared" si="2"/>
        <v>100</v>
      </c>
      <c r="X8" s="1201"/>
      <c r="Y8" s="3554" t="s">
        <v>889</v>
      </c>
      <c r="Z8" s="3555"/>
      <c r="AA8" s="1214">
        <f t="shared" ref="AA8:AA46" si="3">D8/F8</f>
        <v>1</v>
      </c>
      <c r="AB8" s="1214">
        <f t="shared" ref="AB8:AB46" si="4">D8/H8</f>
        <v>1</v>
      </c>
      <c r="AC8" s="1214">
        <f t="shared" ref="AC8:AC46" si="5">D8/J8</f>
        <v>1</v>
      </c>
    </row>
    <row r="9" spans="1:29" s="1014" customFormat="1">
      <c r="A9" s="1046" t="s">
        <v>890</v>
      </c>
      <c r="B9" s="1047" t="s">
        <v>891</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56" t="s">
        <v>892</v>
      </c>
      <c r="Q9" s="1203" t="str">
        <f t="shared" ref="Q9:Q15" si="6">B9</f>
        <v>用途</v>
      </c>
      <c r="R9" s="1199" t="s">
        <v>885</v>
      </c>
      <c r="S9" s="1200">
        <f t="shared" si="0"/>
        <v>100</v>
      </c>
      <c r="T9" s="1199" t="s">
        <v>885</v>
      </c>
      <c r="U9" s="1200">
        <f t="shared" si="1"/>
        <v>100</v>
      </c>
      <c r="V9" s="1199" t="s">
        <v>885</v>
      </c>
      <c r="W9" s="1200">
        <f t="shared" si="2"/>
        <v>100</v>
      </c>
      <c r="X9" s="1201"/>
      <c r="Y9" s="3412" t="s">
        <v>893</v>
      </c>
      <c r="Z9" s="1215" t="str">
        <f t="shared" ref="Z9:Z15" si="7">Q9</f>
        <v>用途</v>
      </c>
      <c r="AA9" s="1214">
        <f t="shared" si="3"/>
        <v>1</v>
      </c>
      <c r="AB9" s="1214">
        <f t="shared" si="4"/>
        <v>1</v>
      </c>
      <c r="AC9" s="1214">
        <f t="shared" si="5"/>
        <v>1</v>
      </c>
    </row>
    <row r="10" spans="1:29" s="1015" customFormat="1" ht="27">
      <c r="A10" s="1050"/>
      <c r="B10" s="1051" t="s">
        <v>894</v>
      </c>
      <c r="C10" s="1494" t="s">
        <v>895</v>
      </c>
      <c r="D10" s="1053">
        <v>100</v>
      </c>
      <c r="E10" s="1494" t="s">
        <v>895</v>
      </c>
      <c r="F10" s="1513">
        <f>SUMIF(65:65,E10,66:66)-SUMIF(65:65,C10,66:66)+100</f>
        <v>100</v>
      </c>
      <c r="G10" s="1494" t="s">
        <v>895</v>
      </c>
      <c r="H10" s="1053">
        <f>SUMIF(65:65,G10,66:66)-SUMIF(65:65,C10,66:66)+100</f>
        <v>100</v>
      </c>
      <c r="I10" s="1494" t="s">
        <v>895</v>
      </c>
      <c r="J10" s="1053">
        <f>SUMIF(65:65,I10,66:66)-SUMIF(65:65,C10,66:66)+100</f>
        <v>100</v>
      </c>
      <c r="K10" s="2379">
        <v>2</v>
      </c>
      <c r="L10" s="1166"/>
      <c r="M10" s="1167"/>
      <c r="N10" s="1167"/>
      <c r="O10" s="1167"/>
      <c r="P10" s="3556"/>
      <c r="Q10" s="1203" t="str">
        <f t="shared" si="6"/>
        <v>土地使用年限（年）</v>
      </c>
      <c r="R10" s="1199" t="s">
        <v>885</v>
      </c>
      <c r="S10" s="1200">
        <f t="shared" si="0"/>
        <v>100</v>
      </c>
      <c r="T10" s="1199" t="s">
        <v>885</v>
      </c>
      <c r="U10" s="1200">
        <f t="shared" si="1"/>
        <v>100</v>
      </c>
      <c r="V10" s="1199" t="s">
        <v>885</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896</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56"/>
      <c r="Q11" s="1203" t="str">
        <f t="shared" si="6"/>
        <v>容积率</v>
      </c>
      <c r="R11" s="1199" t="s">
        <v>885</v>
      </c>
      <c r="S11" s="1200">
        <f t="shared" si="0"/>
        <v>100</v>
      </c>
      <c r="T11" s="1199" t="s">
        <v>885</v>
      </c>
      <c r="U11" s="1200">
        <f t="shared" si="1"/>
        <v>100</v>
      </c>
      <c r="V11" s="1199" t="s">
        <v>885</v>
      </c>
      <c r="W11" s="1200">
        <f t="shared" si="2"/>
        <v>100</v>
      </c>
      <c r="X11" s="1201"/>
      <c r="Y11" s="3412"/>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56"/>
      <c r="Q12" s="1203">
        <f t="shared" si="6"/>
        <v>111</v>
      </c>
      <c r="R12" s="1199" t="s">
        <v>885</v>
      </c>
      <c r="S12" s="1200">
        <f t="shared" si="0"/>
        <v>100</v>
      </c>
      <c r="T12" s="1199" t="s">
        <v>885</v>
      </c>
      <c r="U12" s="1200">
        <f t="shared" si="1"/>
        <v>100</v>
      </c>
      <c r="V12" s="1199" t="s">
        <v>885</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56"/>
      <c r="Q13" s="1203">
        <f t="shared" si="6"/>
        <v>111</v>
      </c>
      <c r="R13" s="1199" t="s">
        <v>885</v>
      </c>
      <c r="S13" s="1200">
        <f t="shared" si="0"/>
        <v>100</v>
      </c>
      <c r="T13" s="1199" t="s">
        <v>885</v>
      </c>
      <c r="U13" s="1200">
        <f t="shared" si="1"/>
        <v>100</v>
      </c>
      <c r="V13" s="1199" t="s">
        <v>885</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56"/>
      <c r="Q14" s="1203">
        <f t="shared" si="6"/>
        <v>111</v>
      </c>
      <c r="R14" s="1199" t="s">
        <v>885</v>
      </c>
      <c r="S14" s="1200">
        <f t="shared" si="0"/>
        <v>100</v>
      </c>
      <c r="T14" s="1199" t="s">
        <v>885</v>
      </c>
      <c r="U14" s="1200">
        <f t="shared" si="1"/>
        <v>100</v>
      </c>
      <c r="V14" s="1199" t="s">
        <v>885</v>
      </c>
      <c r="W14" s="1200">
        <f t="shared" si="2"/>
        <v>100</v>
      </c>
      <c r="X14" s="1201"/>
      <c r="Y14" s="3412"/>
      <c r="Z14" s="1215">
        <f t="shared" si="7"/>
        <v>111</v>
      </c>
      <c r="AA14" s="1214">
        <f t="shared" si="3"/>
        <v>1</v>
      </c>
      <c r="AB14" s="1214">
        <f t="shared" si="4"/>
        <v>1</v>
      </c>
      <c r="AC14" s="1214">
        <f t="shared" si="5"/>
        <v>1</v>
      </c>
    </row>
    <row r="15" spans="1:29" ht="99.75">
      <c r="A15" s="459" t="s">
        <v>897</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7" t="s">
        <v>898</v>
      </c>
      <c r="Q15" s="470" t="str">
        <f t="shared" si="6"/>
        <v>居住社区成熟度</v>
      </c>
      <c r="R15" s="1204" t="s">
        <v>885</v>
      </c>
      <c r="S15" s="1205">
        <f t="shared" si="0"/>
        <v>100</v>
      </c>
      <c r="T15" s="1204" t="s">
        <v>885</v>
      </c>
      <c r="U15" s="1205">
        <f t="shared" si="1"/>
        <v>100</v>
      </c>
      <c r="V15" s="1204" t="s">
        <v>885</v>
      </c>
      <c r="W15" s="1205">
        <f t="shared" si="2"/>
        <v>100</v>
      </c>
      <c r="X15" s="1197"/>
      <c r="Y15" s="3562" t="s">
        <v>898</v>
      </c>
      <c r="Z15" s="1196" t="str">
        <f t="shared" si="7"/>
        <v>居住社区成熟度</v>
      </c>
      <c r="AA15" s="1216">
        <f t="shared" si="3"/>
        <v>1</v>
      </c>
      <c r="AB15" s="1216">
        <f t="shared" si="4"/>
        <v>1</v>
      </c>
      <c r="AC15" s="1216">
        <f t="shared" si="5"/>
        <v>1</v>
      </c>
    </row>
    <row r="16" spans="1:29" ht="15">
      <c r="A16" s="483"/>
      <c r="B16" s="1570"/>
      <c r="C16" s="1177" t="s">
        <v>899</v>
      </c>
      <c r="D16" s="1075"/>
      <c r="E16" s="1076" t="s">
        <v>899</v>
      </c>
      <c r="F16" s="1571"/>
      <c r="G16" s="1093" t="s">
        <v>899</v>
      </c>
      <c r="H16" s="1077"/>
      <c r="I16" s="1076" t="s">
        <v>899</v>
      </c>
      <c r="J16" s="1075"/>
      <c r="K16" s="2382"/>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8"/>
      <c r="Q17" s="470" t="str">
        <f>B17</f>
        <v>交通便捷度</v>
      </c>
      <c r="R17" s="1204" t="s">
        <v>885</v>
      </c>
      <c r="S17" s="1205">
        <f>F17</f>
        <v>100</v>
      </c>
      <c r="T17" s="1204" t="s">
        <v>885</v>
      </c>
      <c r="U17" s="1205">
        <f>H17</f>
        <v>100</v>
      </c>
      <c r="V17" s="1204" t="s">
        <v>885</v>
      </c>
      <c r="W17" s="1205">
        <f>J17</f>
        <v>100</v>
      </c>
      <c r="X17" s="1197"/>
      <c r="Y17" s="3563"/>
      <c r="Z17" s="1196" t="str">
        <f>Q17</f>
        <v>交通便捷度</v>
      </c>
      <c r="AA17" s="1216">
        <f t="shared" si="3"/>
        <v>1</v>
      </c>
      <c r="AB17" s="1216">
        <f t="shared" si="4"/>
        <v>1</v>
      </c>
      <c r="AC17" s="1216">
        <f t="shared" si="5"/>
        <v>1</v>
      </c>
    </row>
    <row r="18" spans="1:29" ht="15">
      <c r="A18" s="483"/>
      <c r="B18" s="1106"/>
      <c r="C18" s="1575" t="s">
        <v>899</v>
      </c>
      <c r="D18" s="1077"/>
      <c r="E18" s="1084" t="s">
        <v>899</v>
      </c>
      <c r="F18" s="1574"/>
      <c r="G18" s="1174" t="s">
        <v>899</v>
      </c>
      <c r="H18" s="1075"/>
      <c r="I18" s="1084" t="s">
        <v>899</v>
      </c>
      <c r="J18" s="1075"/>
      <c r="K18" s="2382"/>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8"/>
      <c r="Q19" s="470" t="str">
        <f>B19</f>
        <v>公共配套设施</v>
      </c>
      <c r="R19" s="1204" t="s">
        <v>885</v>
      </c>
      <c r="S19" s="1205">
        <f>F19</f>
        <v>100</v>
      </c>
      <c r="T19" s="1204" t="s">
        <v>885</v>
      </c>
      <c r="U19" s="1205">
        <f>H19</f>
        <v>100</v>
      </c>
      <c r="V19" s="1204" t="s">
        <v>885</v>
      </c>
      <c r="W19" s="1205">
        <f>J19</f>
        <v>100</v>
      </c>
      <c r="X19" s="1197"/>
      <c r="Y19" s="3563"/>
      <c r="Z19" s="1196" t="str">
        <f>Q19</f>
        <v>公共配套设施</v>
      </c>
      <c r="AA19" s="1216">
        <f t="shared" si="3"/>
        <v>1</v>
      </c>
      <c r="AB19" s="1216">
        <f t="shared" si="4"/>
        <v>1</v>
      </c>
      <c r="AC19" s="1216">
        <f t="shared" si="5"/>
        <v>1</v>
      </c>
    </row>
    <row r="20" spans="1:29" ht="15">
      <c r="A20" s="483"/>
      <c r="B20" s="1106"/>
      <c r="C20" s="1177" t="s">
        <v>899</v>
      </c>
      <c r="D20" s="1075"/>
      <c r="E20" s="1076" t="s">
        <v>899</v>
      </c>
      <c r="F20" s="1571"/>
      <c r="G20" s="1093" t="s">
        <v>899</v>
      </c>
      <c r="H20" s="1075"/>
      <c r="I20" s="1076" t="s">
        <v>899</v>
      </c>
      <c r="J20" s="1075"/>
      <c r="K20" s="2382"/>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8"/>
      <c r="Q21" s="470" t="str">
        <f>B21</f>
        <v>基础设施水平</v>
      </c>
      <c r="R21" s="1204" t="s">
        <v>885</v>
      </c>
      <c r="S21" s="1205">
        <f>F21</f>
        <v>100</v>
      </c>
      <c r="T21" s="1204" t="s">
        <v>885</v>
      </c>
      <c r="U21" s="1205">
        <f>H21</f>
        <v>100</v>
      </c>
      <c r="V21" s="1204" t="s">
        <v>885</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t="s">
        <v>900</v>
      </c>
      <c r="D22" s="1075"/>
      <c r="E22" s="1575" t="s">
        <v>900</v>
      </c>
      <c r="F22" s="1571"/>
      <c r="G22" s="1575" t="s">
        <v>900</v>
      </c>
      <c r="H22" s="1075"/>
      <c r="I22" s="1575" t="s">
        <v>900</v>
      </c>
      <c r="J22" s="1075"/>
      <c r="K22" s="2383"/>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901</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8"/>
      <c r="Q23" s="470" t="str">
        <f>B23</f>
        <v>自然及人文环境</v>
      </c>
      <c r="R23" s="1204" t="s">
        <v>885</v>
      </c>
      <c r="S23" s="1205">
        <f>F23</f>
        <v>100</v>
      </c>
      <c r="T23" s="1204" t="s">
        <v>885</v>
      </c>
      <c r="U23" s="1205">
        <f>H23</f>
        <v>100</v>
      </c>
      <c r="V23" s="1204" t="s">
        <v>885</v>
      </c>
      <c r="W23" s="1205">
        <f>J23</f>
        <v>100</v>
      </c>
      <c r="X23" s="1197"/>
      <c r="Y23" s="3563"/>
      <c r="Z23" s="1196" t="str">
        <f>Q23</f>
        <v>自然及人文环境</v>
      </c>
      <c r="AA23" s="1216">
        <f t="shared" si="3"/>
        <v>1</v>
      </c>
      <c r="AB23" s="1216">
        <f t="shared" si="4"/>
        <v>1</v>
      </c>
      <c r="AC23" s="1216">
        <f t="shared" si="5"/>
        <v>1</v>
      </c>
    </row>
    <row r="24" spans="1:29" ht="15">
      <c r="A24" s="483"/>
      <c r="B24" s="1106"/>
      <c r="C24" s="1177" t="s">
        <v>899</v>
      </c>
      <c r="D24" s="1075"/>
      <c r="E24" s="1076" t="s">
        <v>899</v>
      </c>
      <c r="F24" s="1571"/>
      <c r="G24" s="1093" t="s">
        <v>899</v>
      </c>
      <c r="H24" s="1075"/>
      <c r="I24" s="1076" t="s">
        <v>899</v>
      </c>
      <c r="J24" s="1075"/>
      <c r="K24" s="2382"/>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902</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8"/>
      <c r="Q25" s="470" t="str">
        <f t="shared" ref="Q25:Q46" si="11">B25</f>
        <v>楼层-1</v>
      </c>
      <c r="R25" s="1204" t="s">
        <v>885</v>
      </c>
      <c r="S25" s="1205">
        <f>F25</f>
        <v>100</v>
      </c>
      <c r="T25" s="1204" t="s">
        <v>885</v>
      </c>
      <c r="U25" s="1205">
        <f>H25</f>
        <v>100</v>
      </c>
      <c r="V25" s="1204" t="s">
        <v>885</v>
      </c>
      <c r="W25" s="1205">
        <f>J25</f>
        <v>100</v>
      </c>
      <c r="X25" s="1197"/>
      <c r="Y25" s="3563"/>
      <c r="Z25" s="1196" t="str">
        <f>Q25</f>
        <v>楼层-1</v>
      </c>
      <c r="AA25" s="1216">
        <f t="shared" si="3"/>
        <v>1</v>
      </c>
      <c r="AB25" s="1216">
        <f t="shared" si="4"/>
        <v>1</v>
      </c>
      <c r="AC25" s="1216">
        <f t="shared" si="5"/>
        <v>1</v>
      </c>
    </row>
    <row r="26" spans="1:29" ht="15">
      <c r="A26" s="483"/>
      <c r="B26" s="1051" t="s">
        <v>903</v>
      </c>
      <c r="C26" s="1514" t="s">
        <v>904</v>
      </c>
      <c r="D26" s="1062">
        <v>100</v>
      </c>
      <c r="E26" s="2364" t="s">
        <v>905</v>
      </c>
      <c r="F26" s="1511">
        <f>SUMIF(88:88,E26,89:89)-SUMIF(88:88,C26,89:89)+100</f>
        <v>99</v>
      </c>
      <c r="G26" s="1110" t="s">
        <v>906</v>
      </c>
      <c r="H26" s="1062">
        <f>SUMIF(88:88,G26,89:89)-SUMIF(88:88,C26,89:89)+100</f>
        <v>98</v>
      </c>
      <c r="I26" s="2364" t="s">
        <v>905</v>
      </c>
      <c r="J26" s="1062">
        <f>SUMIF(88:88,I26,89:89)-SUMIF(88:88,C26,89:89)+100</f>
        <v>99</v>
      </c>
      <c r="K26" s="2379">
        <v>1</v>
      </c>
      <c r="L26" s="1172"/>
      <c r="M26" s="1160"/>
      <c r="N26" s="1160"/>
      <c r="O26" s="1160"/>
      <c r="P26" s="3558"/>
      <c r="Q26" s="470" t="str">
        <f t="shared" si="11"/>
        <v>朝向</v>
      </c>
      <c r="R26" s="1204" t="s">
        <v>885</v>
      </c>
      <c r="S26" s="1205">
        <f>F26</f>
        <v>99</v>
      </c>
      <c r="T26" s="1204" t="s">
        <v>885</v>
      </c>
      <c r="U26" s="1205">
        <f>H26</f>
        <v>98</v>
      </c>
      <c r="V26" s="1204" t="s">
        <v>885</v>
      </c>
      <c r="W26" s="1205">
        <f>J26</f>
        <v>99</v>
      </c>
      <c r="X26" s="1197"/>
      <c r="Y26" s="3563"/>
      <c r="Z26" s="1196" t="str">
        <f>Q26</f>
        <v>朝向</v>
      </c>
      <c r="AA26" s="1216">
        <f t="shared" si="3"/>
        <v>1.0101010101010099</v>
      </c>
      <c r="AB26" s="1216">
        <f t="shared" si="4"/>
        <v>1.0204081632653099</v>
      </c>
      <c r="AC26" s="1216">
        <f t="shared" si="5"/>
        <v>1.0101010101010102</v>
      </c>
    </row>
    <row r="27" spans="1:29" s="1014" customFormat="1" ht="15">
      <c r="A27" s="1058"/>
      <c r="B27" s="1059" t="s">
        <v>907</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8"/>
      <c r="Q27" s="1203" t="str">
        <f t="shared" si="11"/>
        <v>道路级别</v>
      </c>
      <c r="R27" s="1199" t="s">
        <v>885</v>
      </c>
      <c r="S27" s="1200">
        <f>F27</f>
        <v>100</v>
      </c>
      <c r="T27" s="1199" t="s">
        <v>885</v>
      </c>
      <c r="U27" s="1200">
        <f>H27</f>
        <v>100</v>
      </c>
      <c r="V27" s="1199" t="s">
        <v>885</v>
      </c>
      <c r="W27" s="1200">
        <f>J27</f>
        <v>100</v>
      </c>
      <c r="X27" s="1201"/>
      <c r="Y27" s="3563"/>
      <c r="Z27" s="1215" t="str">
        <f>Q27</f>
        <v>道路级别</v>
      </c>
      <c r="AA27" s="1216">
        <f t="shared" si="3"/>
        <v>1</v>
      </c>
      <c r="AB27" s="1216">
        <f t="shared" si="4"/>
        <v>1</v>
      </c>
      <c r="AC27" s="1216">
        <f t="shared" si="5"/>
        <v>1</v>
      </c>
    </row>
    <row r="28" spans="1:29" ht="15">
      <c r="A28" s="483"/>
      <c r="B28" s="2365" t="s">
        <v>908</v>
      </c>
      <c r="C28" s="2366" t="s">
        <v>909</v>
      </c>
      <c r="D28" s="1062">
        <v>100</v>
      </c>
      <c r="E28" s="2366" t="s">
        <v>910</v>
      </c>
      <c r="F28" s="1511">
        <f>SUMIF(92:92,E28,93:93)-SUMIF(92:92,C28,93:93)+100</f>
        <v>95</v>
      </c>
      <c r="G28" s="2366" t="s">
        <v>909</v>
      </c>
      <c r="H28" s="1062">
        <f>SUMIF(92:92,G28,93:93)-SUMIF(92:92,C28,93:93)+100</f>
        <v>100</v>
      </c>
      <c r="I28" s="2366" t="s">
        <v>2477</v>
      </c>
      <c r="J28" s="1062">
        <f>SUMIF(92:92,I28,93:93)-SUMIF(92:92,C28,93:93)+100</f>
        <v>95</v>
      </c>
      <c r="K28" s="2380"/>
      <c r="L28" s="1172"/>
      <c r="M28" s="1160"/>
      <c r="N28" s="1160"/>
      <c r="O28" s="1160"/>
      <c r="P28" s="3558"/>
      <c r="Q28" s="470" t="str">
        <f t="shared" si="11"/>
        <v>楼层</v>
      </c>
      <c r="R28" s="1204" t="s">
        <v>885</v>
      </c>
      <c r="S28" s="1205">
        <f t="shared" ref="S28:S46" si="12">F28</f>
        <v>95</v>
      </c>
      <c r="T28" s="1204" t="s">
        <v>885</v>
      </c>
      <c r="U28" s="1205">
        <f t="shared" ref="U28:U46" si="13">H28</f>
        <v>100</v>
      </c>
      <c r="V28" s="1204" t="s">
        <v>885</v>
      </c>
      <c r="W28" s="1205">
        <f t="shared" ref="W28:W46" si="14">J28</f>
        <v>95</v>
      </c>
      <c r="X28" s="1197"/>
      <c r="Y28" s="3563"/>
      <c r="Z28" s="1196" t="str">
        <f t="shared" ref="Z28:Z46" si="15">Q28</f>
        <v>楼层</v>
      </c>
      <c r="AA28" s="1216">
        <f t="shared" si="3"/>
        <v>1.0526315789473699</v>
      </c>
      <c r="AB28" s="1216">
        <f t="shared" si="4"/>
        <v>1</v>
      </c>
      <c r="AC28" s="1216">
        <f t="shared" si="5"/>
        <v>1.0526315789473684</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8"/>
      <c r="Q29" s="470">
        <f t="shared" si="11"/>
        <v>111</v>
      </c>
      <c r="R29" s="1204" t="s">
        <v>885</v>
      </c>
      <c r="S29" s="1205">
        <f t="shared" si="12"/>
        <v>100</v>
      </c>
      <c r="T29" s="1204" t="s">
        <v>885</v>
      </c>
      <c r="U29" s="1205">
        <f t="shared" si="13"/>
        <v>100</v>
      </c>
      <c r="V29" s="1204" t="s">
        <v>885</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8"/>
      <c r="Q30" s="470">
        <f t="shared" si="11"/>
        <v>111</v>
      </c>
      <c r="R30" s="1204" t="s">
        <v>885</v>
      </c>
      <c r="S30" s="1205">
        <f t="shared" si="12"/>
        <v>100</v>
      </c>
      <c r="T30" s="1204" t="s">
        <v>885</v>
      </c>
      <c r="U30" s="1205">
        <f t="shared" si="13"/>
        <v>100</v>
      </c>
      <c r="V30" s="1204" t="s">
        <v>885</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8"/>
      <c r="Q31" s="470">
        <f t="shared" si="11"/>
        <v>111</v>
      </c>
      <c r="R31" s="1204" t="s">
        <v>885</v>
      </c>
      <c r="S31" s="1205">
        <f t="shared" si="12"/>
        <v>100</v>
      </c>
      <c r="T31" s="1204" t="s">
        <v>885</v>
      </c>
      <c r="U31" s="1205">
        <f t="shared" si="13"/>
        <v>100</v>
      </c>
      <c r="V31" s="1204" t="s">
        <v>885</v>
      </c>
      <c r="W31" s="1205">
        <f t="shared" si="14"/>
        <v>100</v>
      </c>
      <c r="X31" s="1197"/>
      <c r="Y31" s="3563"/>
      <c r="Z31" s="1196">
        <f t="shared" si="15"/>
        <v>111</v>
      </c>
      <c r="AA31" s="1216">
        <f t="shared" si="3"/>
        <v>1</v>
      </c>
      <c r="AB31" s="1216">
        <f t="shared" si="4"/>
        <v>1</v>
      </c>
      <c r="AC31" s="1216">
        <f t="shared" si="5"/>
        <v>1</v>
      </c>
    </row>
    <row r="32" spans="1:29" ht="15">
      <c r="A32" s="459" t="s">
        <v>912</v>
      </c>
      <c r="B32" s="1047" t="s">
        <v>913</v>
      </c>
      <c r="C32" s="1580" t="s">
        <v>914</v>
      </c>
      <c r="D32" s="1108">
        <v>100</v>
      </c>
      <c r="E32" s="2367" t="s">
        <v>914</v>
      </c>
      <c r="F32" s="1511">
        <f>SUMIF(100:100,E32,101:101)-SUMIF(100:100,C32,101:101)+100</f>
        <v>100</v>
      </c>
      <c r="G32" s="1580" t="s">
        <v>914</v>
      </c>
      <c r="H32" s="1108">
        <f>SUMIF(100:100,G32,101:101)-SUMIF(100:100,C32,101:101)+100</f>
        <v>100</v>
      </c>
      <c r="I32" s="2367" t="s">
        <v>914</v>
      </c>
      <c r="J32" s="1062">
        <f>SUMIF(100:100,I32,101:101)-SUMIF(100:100,C32,101:101)+100</f>
        <v>100</v>
      </c>
      <c r="K32" s="2379">
        <v>2</v>
      </c>
      <c r="L32" s="1172"/>
      <c r="M32" s="1160"/>
      <c r="N32" s="1160"/>
      <c r="O32" s="1160"/>
      <c r="P32" s="3559" t="s">
        <v>915</v>
      </c>
      <c r="Q32" s="470" t="str">
        <f t="shared" si="11"/>
        <v>建筑类型</v>
      </c>
      <c r="R32" s="1204" t="s">
        <v>885</v>
      </c>
      <c r="S32" s="1205">
        <f t="shared" si="12"/>
        <v>100</v>
      </c>
      <c r="T32" s="1204" t="s">
        <v>885</v>
      </c>
      <c r="U32" s="1205">
        <f t="shared" si="13"/>
        <v>100</v>
      </c>
      <c r="V32" s="1204" t="s">
        <v>885</v>
      </c>
      <c r="W32" s="1205">
        <f t="shared" si="14"/>
        <v>100</v>
      </c>
      <c r="X32" s="1197"/>
      <c r="Y32" s="3564" t="s">
        <v>915</v>
      </c>
      <c r="Z32" s="1196" t="str">
        <f t="shared" si="15"/>
        <v>建筑类型</v>
      </c>
      <c r="AA32" s="1216">
        <f t="shared" si="3"/>
        <v>1</v>
      </c>
      <c r="AB32" s="1216">
        <f t="shared" si="4"/>
        <v>1</v>
      </c>
      <c r="AC32" s="1216">
        <f t="shared" si="5"/>
        <v>1</v>
      </c>
    </row>
    <row r="33" spans="1:29" s="1016" customFormat="1" ht="15">
      <c r="A33" s="1114"/>
      <c r="B33" s="1051" t="s">
        <v>916</v>
      </c>
      <c r="C33" s="1512">
        <f>'数据-取费表'!B5</f>
        <v>167.24</v>
      </c>
      <c r="D33" s="1053">
        <v>100</v>
      </c>
      <c r="E33" s="1057">
        <v>167</v>
      </c>
      <c r="F33" s="1513">
        <f>LOOKUP(E33,103:103,104:104)-LOOKUP(C33,103:103,104:104)+100</f>
        <v>100</v>
      </c>
      <c r="G33" s="1056">
        <v>166</v>
      </c>
      <c r="H33" s="1053">
        <f>LOOKUP(G33,103:103,104:104)-LOOKUP(C33,103:103,104:104)+100</f>
        <v>100</v>
      </c>
      <c r="I33" s="1057">
        <v>171.43</v>
      </c>
      <c r="J33" s="1053">
        <f>LOOKUP(I33,103:103,104:104)-LOOKUP(C33,103:103,104:104)+100</f>
        <v>100</v>
      </c>
      <c r="K33" s="2380"/>
      <c r="L33" s="1170"/>
      <c r="M33" s="1183"/>
      <c r="N33" s="1183"/>
      <c r="O33" s="1183"/>
      <c r="P33" s="3560"/>
      <c r="Q33" s="1548" t="str">
        <f t="shared" si="11"/>
        <v>项目建筑规模</v>
      </c>
      <c r="R33" s="1206" t="s">
        <v>885</v>
      </c>
      <c r="S33" s="1207">
        <f t="shared" si="12"/>
        <v>100</v>
      </c>
      <c r="T33" s="1206" t="s">
        <v>885</v>
      </c>
      <c r="U33" s="1207">
        <f t="shared" si="13"/>
        <v>100</v>
      </c>
      <c r="V33" s="1206" t="s">
        <v>885</v>
      </c>
      <c r="W33" s="1207">
        <f t="shared" si="14"/>
        <v>100</v>
      </c>
      <c r="X33" s="1208"/>
      <c r="Y33" s="3564"/>
      <c r="Z33" s="1217" t="str">
        <f t="shared" si="15"/>
        <v>项目建筑规模</v>
      </c>
      <c r="AA33" s="1216">
        <f t="shared" si="3"/>
        <v>1</v>
      </c>
      <c r="AB33" s="1216">
        <f t="shared" si="4"/>
        <v>1</v>
      </c>
      <c r="AC33" s="1216">
        <f t="shared" si="5"/>
        <v>1</v>
      </c>
    </row>
    <row r="34" spans="1:29" ht="15">
      <c r="A34" s="1109"/>
      <c r="B34" s="1051" t="s">
        <v>917</v>
      </c>
      <c r="C34" s="1581" t="s">
        <v>918</v>
      </c>
      <c r="D34" s="1062">
        <v>100</v>
      </c>
      <c r="E34" s="1582" t="s">
        <v>918</v>
      </c>
      <c r="F34" s="1511">
        <f>SUMIF(105:105,E34,106:106)-SUMIF(105:105,C34,106:106)+100</f>
        <v>100</v>
      </c>
      <c r="G34" s="1581" t="s">
        <v>918</v>
      </c>
      <c r="H34" s="1062">
        <f>SUMIF(105:105,G34,106:106)-SUMIF(105:105,C34,106:106)+100</f>
        <v>100</v>
      </c>
      <c r="I34" s="1582" t="s">
        <v>918</v>
      </c>
      <c r="J34" s="1062">
        <f>SUMIF(105:105,I34,106:106)-SUMIF(105:105,C34,106:106)+100</f>
        <v>100</v>
      </c>
      <c r="K34" s="2379">
        <v>2</v>
      </c>
      <c r="L34" s="1172"/>
      <c r="M34" s="1160"/>
      <c r="N34" s="1160"/>
      <c r="O34" s="1160"/>
      <c r="P34" s="3560"/>
      <c r="Q34" s="470" t="str">
        <f t="shared" si="11"/>
        <v>建筑结构</v>
      </c>
      <c r="R34" s="1204" t="s">
        <v>885</v>
      </c>
      <c r="S34" s="1205">
        <f t="shared" si="12"/>
        <v>100</v>
      </c>
      <c r="T34" s="1204" t="s">
        <v>885</v>
      </c>
      <c r="U34" s="1205">
        <f t="shared" si="13"/>
        <v>100</v>
      </c>
      <c r="V34" s="1204" t="s">
        <v>885</v>
      </c>
      <c r="W34" s="1205">
        <f t="shared" si="14"/>
        <v>100</v>
      </c>
      <c r="X34" s="1197"/>
      <c r="Y34" s="3564"/>
      <c r="Z34" s="1196" t="str">
        <f t="shared" si="15"/>
        <v>建筑结构</v>
      </c>
      <c r="AA34" s="1216">
        <f t="shared" si="3"/>
        <v>1</v>
      </c>
      <c r="AB34" s="1216">
        <f t="shared" si="4"/>
        <v>1</v>
      </c>
      <c r="AC34" s="1216">
        <f t="shared" si="5"/>
        <v>1</v>
      </c>
    </row>
    <row r="35" spans="1:29" ht="15">
      <c r="A35" s="1109"/>
      <c r="B35" s="1051" t="s">
        <v>919</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60"/>
      <c r="Q35" s="470" t="str">
        <f t="shared" si="11"/>
        <v>建筑品质</v>
      </c>
      <c r="R35" s="1204" t="s">
        <v>885</v>
      </c>
      <c r="S35" s="1205">
        <f t="shared" si="12"/>
        <v>100</v>
      </c>
      <c r="T35" s="1204" t="s">
        <v>885</v>
      </c>
      <c r="U35" s="1205">
        <f t="shared" si="13"/>
        <v>100</v>
      </c>
      <c r="V35" s="1204" t="s">
        <v>885</v>
      </c>
      <c r="W35" s="1205">
        <f t="shared" si="14"/>
        <v>100</v>
      </c>
      <c r="X35" s="1197"/>
      <c r="Y35" s="3564"/>
      <c r="Z35" s="1196" t="str">
        <f t="shared" si="15"/>
        <v>建筑品质</v>
      </c>
      <c r="AA35" s="1216">
        <f t="shared" si="3"/>
        <v>1</v>
      </c>
      <c r="AB35" s="1216">
        <f t="shared" si="4"/>
        <v>1</v>
      </c>
      <c r="AC35" s="1216">
        <f t="shared" si="5"/>
        <v>1</v>
      </c>
    </row>
    <row r="36" spans="1:29" ht="15">
      <c r="A36" s="1109"/>
      <c r="B36" s="1051" t="s">
        <v>920</v>
      </c>
      <c r="C36" s="1110" t="s">
        <v>921</v>
      </c>
      <c r="D36" s="1062">
        <v>100</v>
      </c>
      <c r="E36" s="2364" t="s">
        <v>921</v>
      </c>
      <c r="F36" s="1511">
        <f>SUMIF(109:109,E36,110:110)-SUMIF(109:109,C36,110:110)+100</f>
        <v>100</v>
      </c>
      <c r="G36" s="1110" t="s">
        <v>921</v>
      </c>
      <c r="H36" s="1062">
        <f>SUMIF(109:109,G36,110:110)-SUMIF(109:109,C36,110:110)+100</f>
        <v>100</v>
      </c>
      <c r="I36" s="2364" t="s">
        <v>921</v>
      </c>
      <c r="J36" s="1062">
        <f>SUMIF(109:109,I36,110:110)-SUMIF(109:109,C36,110:110)+100</f>
        <v>100</v>
      </c>
      <c r="K36" s="2379">
        <v>2</v>
      </c>
      <c r="L36" s="1172"/>
      <c r="M36" s="1160"/>
      <c r="N36" s="1160"/>
      <c r="O36" s="1160"/>
      <c r="P36" s="3560"/>
      <c r="Q36" s="470" t="str">
        <f t="shared" si="11"/>
        <v>公共部分装修</v>
      </c>
      <c r="R36" s="1204" t="s">
        <v>885</v>
      </c>
      <c r="S36" s="1205">
        <f t="shared" si="12"/>
        <v>100</v>
      </c>
      <c r="T36" s="1204" t="s">
        <v>885</v>
      </c>
      <c r="U36" s="1205">
        <f t="shared" si="13"/>
        <v>100</v>
      </c>
      <c r="V36" s="1204" t="s">
        <v>885</v>
      </c>
      <c r="W36" s="1205">
        <f t="shared" si="14"/>
        <v>100</v>
      </c>
      <c r="X36" s="1197"/>
      <c r="Y36" s="3564"/>
      <c r="Z36" s="1196" t="str">
        <f t="shared" si="15"/>
        <v>公共部分装修</v>
      </c>
      <c r="AA36" s="1216">
        <f t="shared" si="3"/>
        <v>1</v>
      </c>
      <c r="AB36" s="1216">
        <f t="shared" si="4"/>
        <v>1</v>
      </c>
      <c r="AC36" s="1216">
        <f t="shared" si="5"/>
        <v>1</v>
      </c>
    </row>
    <row r="37" spans="1:29" s="1014" customFormat="1" ht="15">
      <c r="A37" s="1111"/>
      <c r="B37" s="1051" t="s">
        <v>922</v>
      </c>
      <c r="C37" s="1515">
        <f>'数据-取费表'!E20</f>
        <v>0.64</v>
      </c>
      <c r="D37" s="1053">
        <v>100</v>
      </c>
      <c r="E37" s="2368">
        <v>0.64</v>
      </c>
      <c r="F37" s="1513">
        <f>LOOKUP(E37,112:112,113:113)-LOOKUP(C37,112:112,113:113)+100</f>
        <v>100</v>
      </c>
      <c r="G37" s="2369">
        <v>0.6</v>
      </c>
      <c r="H37" s="1053">
        <f>LOOKUP(G37,112:112,113:113)-LOOKUP(C37,112:112,113:113)+100</f>
        <v>100</v>
      </c>
      <c r="I37" s="2368">
        <v>0.64</v>
      </c>
      <c r="J37" s="1053">
        <f>LOOKUP(I37,112:112,113:113)-LOOKUP(C37,112:112,113:113)+100</f>
        <v>100</v>
      </c>
      <c r="K37" s="2379">
        <v>2</v>
      </c>
      <c r="L37" s="1159"/>
      <c r="M37" s="1162"/>
      <c r="N37" s="1162"/>
      <c r="O37" s="1162"/>
      <c r="P37" s="3560"/>
      <c r="Q37" s="1203" t="str">
        <f t="shared" si="11"/>
        <v>成新度</v>
      </c>
      <c r="R37" s="1199" t="s">
        <v>885</v>
      </c>
      <c r="S37" s="1200">
        <f t="shared" si="12"/>
        <v>100</v>
      </c>
      <c r="T37" s="1199" t="s">
        <v>885</v>
      </c>
      <c r="U37" s="1200">
        <f t="shared" si="13"/>
        <v>100</v>
      </c>
      <c r="V37" s="1199" t="s">
        <v>885</v>
      </c>
      <c r="W37" s="1200">
        <f t="shared" si="14"/>
        <v>100</v>
      </c>
      <c r="X37" s="1201"/>
      <c r="Y37" s="3564"/>
      <c r="Z37" s="1215" t="str">
        <f t="shared" si="15"/>
        <v>成新度</v>
      </c>
      <c r="AA37" s="1214">
        <f t="shared" si="3"/>
        <v>1</v>
      </c>
      <c r="AB37" s="1214">
        <f t="shared" si="4"/>
        <v>1</v>
      </c>
      <c r="AC37" s="1214">
        <f t="shared" si="5"/>
        <v>1</v>
      </c>
    </row>
    <row r="38" spans="1:29" ht="15">
      <c r="A38" s="1109"/>
      <c r="B38" s="1051" t="s">
        <v>923</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60" t="s">
        <v>915</v>
      </c>
      <c r="Q38" s="470" t="str">
        <f t="shared" si="11"/>
        <v>物业管理</v>
      </c>
      <c r="R38" s="1204" t="s">
        <v>885</v>
      </c>
      <c r="S38" s="1205">
        <f t="shared" si="12"/>
        <v>100</v>
      </c>
      <c r="T38" s="1204" t="s">
        <v>885</v>
      </c>
      <c r="U38" s="1205">
        <f t="shared" si="13"/>
        <v>100</v>
      </c>
      <c r="V38" s="1204" t="s">
        <v>885</v>
      </c>
      <c r="W38" s="1205">
        <f t="shared" si="14"/>
        <v>100</v>
      </c>
      <c r="X38" s="1197"/>
      <c r="Y38" s="3564" t="s">
        <v>915</v>
      </c>
      <c r="Z38" s="1196" t="str">
        <f t="shared" si="15"/>
        <v>物业管理</v>
      </c>
      <c r="AA38" s="1216">
        <f t="shared" si="3"/>
        <v>1</v>
      </c>
      <c r="AB38" s="1216">
        <f t="shared" si="4"/>
        <v>1</v>
      </c>
      <c r="AC38" s="1216">
        <f t="shared" si="5"/>
        <v>1</v>
      </c>
    </row>
    <row r="39" spans="1:29" ht="15">
      <c r="A39" s="1109"/>
      <c r="B39" s="1051" t="s">
        <v>924</v>
      </c>
      <c r="C39" s="1110" t="s">
        <v>900</v>
      </c>
      <c r="D39" s="1062">
        <v>100</v>
      </c>
      <c r="E39" s="1110" t="s">
        <v>900</v>
      </c>
      <c r="F39" s="1511">
        <f>SUMIF(116:116,E39,117:117)-SUMIF(116:116,C39,117:117)+100</f>
        <v>100</v>
      </c>
      <c r="G39" s="1110" t="s">
        <v>900</v>
      </c>
      <c r="H39" s="1062">
        <f>SUMIF(116:116,G39,117:117)-SUMIF(116:116,C39,117:117)+100</f>
        <v>100</v>
      </c>
      <c r="I39" s="1110" t="s">
        <v>900</v>
      </c>
      <c r="J39" s="1062">
        <f>SUMIF(116:116,I39,117:117)-SUMIF(116:116,C39,117:117)+100</f>
        <v>100</v>
      </c>
      <c r="K39" s="2379">
        <v>1</v>
      </c>
      <c r="L39" s="1172"/>
      <c r="M39" s="1160"/>
      <c r="N39" s="1160"/>
      <c r="O39" s="1160"/>
      <c r="P39" s="3560"/>
      <c r="Q39" s="470" t="str">
        <f t="shared" si="11"/>
        <v>市政基础设施</v>
      </c>
      <c r="R39" s="1204" t="s">
        <v>885</v>
      </c>
      <c r="S39" s="1205">
        <f t="shared" si="12"/>
        <v>100</v>
      </c>
      <c r="T39" s="1204" t="s">
        <v>885</v>
      </c>
      <c r="U39" s="1205">
        <f t="shared" si="13"/>
        <v>100</v>
      </c>
      <c r="V39" s="1204" t="s">
        <v>885</v>
      </c>
      <c r="W39" s="1205">
        <f t="shared" si="14"/>
        <v>100</v>
      </c>
      <c r="X39" s="1197"/>
      <c r="Y39" s="3564"/>
      <c r="Z39" s="1196" t="str">
        <f t="shared" si="15"/>
        <v>市政基础设施</v>
      </c>
      <c r="AA39" s="1216">
        <f t="shared" si="3"/>
        <v>1</v>
      </c>
      <c r="AB39" s="1216">
        <f t="shared" si="4"/>
        <v>1</v>
      </c>
      <c r="AC39" s="1216">
        <f t="shared" si="5"/>
        <v>1</v>
      </c>
    </row>
    <row r="40" spans="1:29" ht="15">
      <c r="A40" s="1109"/>
      <c r="B40" s="1051" t="s">
        <v>925</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60"/>
      <c r="Q40" s="470" t="str">
        <f t="shared" si="11"/>
        <v>房型</v>
      </c>
      <c r="R40" s="1204" t="s">
        <v>885</v>
      </c>
      <c r="S40" s="1205">
        <f t="shared" si="12"/>
        <v>100</v>
      </c>
      <c r="T40" s="1204" t="s">
        <v>885</v>
      </c>
      <c r="U40" s="1205">
        <f t="shared" si="13"/>
        <v>100</v>
      </c>
      <c r="V40" s="1204" t="s">
        <v>885</v>
      </c>
      <c r="W40" s="1205">
        <f t="shared" si="14"/>
        <v>100</v>
      </c>
      <c r="X40" s="1197"/>
      <c r="Y40" s="3564"/>
      <c r="Z40" s="1196" t="str">
        <f t="shared" si="15"/>
        <v>房型</v>
      </c>
      <c r="AA40" s="1216">
        <f t="shared" si="3"/>
        <v>1</v>
      </c>
      <c r="AB40" s="1216">
        <f t="shared" si="4"/>
        <v>1</v>
      </c>
      <c r="AC40" s="1216">
        <f t="shared" si="5"/>
        <v>1</v>
      </c>
    </row>
    <row r="41" spans="1:29" s="1016" customFormat="1" ht="28.5">
      <c r="A41" s="1114"/>
      <c r="B41" s="1051" t="s">
        <v>926</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60"/>
      <c r="Q41" s="1548" t="str">
        <f t="shared" si="11"/>
        <v>单套/主力户型建筑面积</v>
      </c>
      <c r="R41" s="1206" t="s">
        <v>885</v>
      </c>
      <c r="S41" s="1207">
        <f t="shared" si="12"/>
        <v>100</v>
      </c>
      <c r="T41" s="1206" t="s">
        <v>885</v>
      </c>
      <c r="U41" s="1207">
        <f t="shared" si="13"/>
        <v>100</v>
      </c>
      <c r="V41" s="1206" t="s">
        <v>885</v>
      </c>
      <c r="W41" s="1207">
        <f t="shared" si="14"/>
        <v>100</v>
      </c>
      <c r="X41" s="1208"/>
      <c r="Y41" s="3564"/>
      <c r="Z41" s="1217" t="str">
        <f t="shared" si="15"/>
        <v>单套/主力户型建筑面积</v>
      </c>
      <c r="AA41" s="1216">
        <f t="shared" si="3"/>
        <v>1</v>
      </c>
      <c r="AB41" s="1216">
        <f t="shared" si="4"/>
        <v>1</v>
      </c>
      <c r="AC41" s="1216">
        <f t="shared" si="5"/>
        <v>1</v>
      </c>
    </row>
    <row r="42" spans="1:29" ht="15">
      <c r="A42" s="1109"/>
      <c r="B42" s="1051" t="s">
        <v>927</v>
      </c>
      <c r="C42" s="1110" t="s">
        <v>928</v>
      </c>
      <c r="D42" s="1062">
        <v>100</v>
      </c>
      <c r="E42" s="2364" t="s">
        <v>928</v>
      </c>
      <c r="F42" s="1511">
        <f>SUMIF(122:122,E42,123:123)-SUMIF(122:122,C42,123:123)+100</f>
        <v>100</v>
      </c>
      <c r="G42" s="1110" t="s">
        <v>929</v>
      </c>
      <c r="H42" s="1062">
        <f>SUMIF(122:122,G42,123:123)-SUMIF(122:122,C42,123:123)+100</f>
        <v>102</v>
      </c>
      <c r="I42" s="2364" t="s">
        <v>929</v>
      </c>
      <c r="J42" s="1062">
        <f>SUMIF(122:122,I42,123:123)-SUMIF(122:122,C42,123:123)+100</f>
        <v>102</v>
      </c>
      <c r="K42" s="2379">
        <v>2</v>
      </c>
      <c r="L42" s="1172"/>
      <c r="M42" s="1160"/>
      <c r="N42" s="1160"/>
      <c r="O42" s="1160"/>
      <c r="P42" s="3560"/>
      <c r="Q42" s="470" t="str">
        <f t="shared" si="11"/>
        <v>内部装修</v>
      </c>
      <c r="R42" s="1204" t="s">
        <v>885</v>
      </c>
      <c r="S42" s="1205">
        <f t="shared" si="12"/>
        <v>100</v>
      </c>
      <c r="T42" s="1204" t="s">
        <v>885</v>
      </c>
      <c r="U42" s="1205">
        <f t="shared" si="13"/>
        <v>102</v>
      </c>
      <c r="V42" s="1204" t="s">
        <v>885</v>
      </c>
      <c r="W42" s="1205">
        <f t="shared" si="14"/>
        <v>102</v>
      </c>
      <c r="X42" s="1197"/>
      <c r="Y42" s="3564"/>
      <c r="Z42" s="1196" t="str">
        <f t="shared" si="15"/>
        <v>内部装修</v>
      </c>
      <c r="AA42" s="1216">
        <f t="shared" si="3"/>
        <v>1</v>
      </c>
      <c r="AB42" s="1216">
        <f t="shared" si="4"/>
        <v>0.98039215686274495</v>
      </c>
      <c r="AC42" s="1216">
        <f t="shared" si="5"/>
        <v>0.98039215686274495</v>
      </c>
    </row>
    <row r="43" spans="1:29" ht="15">
      <c r="A43" s="1109"/>
      <c r="B43" s="1051" t="s">
        <v>215</v>
      </c>
      <c r="C43" s="1110" t="s">
        <v>930</v>
      </c>
      <c r="D43" s="1062">
        <v>100</v>
      </c>
      <c r="E43" s="1110" t="s">
        <v>899</v>
      </c>
      <c r="F43" s="1511">
        <f>SUMIF(124:124,E43,125:125)-SUMIF(124:124,C43,125:125)+100</f>
        <v>104</v>
      </c>
      <c r="G43" s="1110" t="s">
        <v>899</v>
      </c>
      <c r="H43" s="1062">
        <f>SUMIF(124:124,G43,125:125)-SUMIF(124:124,C43,125:125)+100</f>
        <v>104</v>
      </c>
      <c r="I43" s="1110" t="s">
        <v>899</v>
      </c>
      <c r="J43" s="1062">
        <f>SUMIF(124:124,I43,125:125)-SUMIF(124:124,C43,125:125)+100</f>
        <v>104</v>
      </c>
      <c r="K43" s="2379">
        <v>2</v>
      </c>
      <c r="L43" s="1172"/>
      <c r="M43" s="1160"/>
      <c r="N43" s="1160"/>
      <c r="O43" s="1160"/>
      <c r="P43" s="3560"/>
      <c r="Q43" s="470" t="str">
        <f t="shared" si="11"/>
        <v>内部装修维护情况</v>
      </c>
      <c r="R43" s="1204" t="s">
        <v>885</v>
      </c>
      <c r="S43" s="1205">
        <f t="shared" si="12"/>
        <v>104</v>
      </c>
      <c r="T43" s="1204" t="s">
        <v>885</v>
      </c>
      <c r="U43" s="1205">
        <f t="shared" si="13"/>
        <v>104</v>
      </c>
      <c r="V43" s="1204" t="s">
        <v>885</v>
      </c>
      <c r="W43" s="1205">
        <f t="shared" si="14"/>
        <v>104</v>
      </c>
      <c r="X43" s="1197"/>
      <c r="Y43" s="3564"/>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931</v>
      </c>
      <c r="C44" s="2370" t="s">
        <v>932</v>
      </c>
      <c r="D44" s="1053">
        <v>100</v>
      </c>
      <c r="E44" s="2370" t="s">
        <v>932</v>
      </c>
      <c r="F44" s="1513">
        <f>SUMIF(126:126,E44,127:127)-SUMIF(126:126,C44,127:127)+100</f>
        <v>100</v>
      </c>
      <c r="G44" s="2370" t="s">
        <v>933</v>
      </c>
      <c r="H44" s="1053">
        <f>SUMIF(126:126,G44,127:127)-SUMIF(126:126,C44,127:127)+100</f>
        <v>110</v>
      </c>
      <c r="I44" s="2370" t="s">
        <v>932</v>
      </c>
      <c r="J44" s="1053">
        <f>SUMIF(126:126,I44,127:127)-SUMIF(126:126,C44,127:127)+100</f>
        <v>100</v>
      </c>
      <c r="K44" s="2380"/>
      <c r="L44" s="1159"/>
      <c r="M44" s="1162"/>
      <c r="N44" s="1162"/>
      <c r="O44" s="1162"/>
      <c r="P44" s="3560"/>
      <c r="Q44" s="1203" t="str">
        <f t="shared" si="11"/>
        <v>学区</v>
      </c>
      <c r="R44" s="1199" t="s">
        <v>885</v>
      </c>
      <c r="S44" s="1200">
        <f t="shared" si="12"/>
        <v>100</v>
      </c>
      <c r="T44" s="1199" t="s">
        <v>885</v>
      </c>
      <c r="U44" s="1200">
        <f t="shared" si="13"/>
        <v>110</v>
      </c>
      <c r="V44" s="1199" t="s">
        <v>885</v>
      </c>
      <c r="W44" s="1200">
        <f t="shared" si="14"/>
        <v>100</v>
      </c>
      <c r="X44" s="1201"/>
      <c r="Y44" s="3564"/>
      <c r="Z44" s="1215" t="str">
        <f t="shared" si="15"/>
        <v>学区</v>
      </c>
      <c r="AA44" s="1214">
        <f t="shared" si="3"/>
        <v>1</v>
      </c>
      <c r="AB44" s="1214">
        <f t="shared" si="4"/>
        <v>0.90909090909090895</v>
      </c>
      <c r="AC44" s="1214">
        <f t="shared" si="5"/>
        <v>1</v>
      </c>
    </row>
    <row r="45" spans="1:29" ht="15">
      <c r="A45" s="1109"/>
      <c r="B45" s="2365" t="s">
        <v>2475</v>
      </c>
      <c r="C45" s="1061">
        <v>1997</v>
      </c>
      <c r="D45" s="1062">
        <v>100</v>
      </c>
      <c r="E45" s="1061">
        <v>1997</v>
      </c>
      <c r="F45" s="1511">
        <f>SUMIF(128:128,E45,129:129)-SUMIF(128:128,C45,129:129)+100</f>
        <v>100</v>
      </c>
      <c r="G45" s="1061">
        <v>1997</v>
      </c>
      <c r="H45" s="1062">
        <f>SUMIF(128:128,G45,129:129)-SUMIF(128:128,C45,129:129)+100</f>
        <v>100</v>
      </c>
      <c r="I45" s="1061">
        <v>1997</v>
      </c>
      <c r="J45" s="1062">
        <f>SUMIF(128:128,I45,129:129)-SUMIF(128:128,C45,129:129)+100</f>
        <v>100</v>
      </c>
      <c r="K45" s="2380"/>
      <c r="L45" s="1172"/>
      <c r="M45" s="1160"/>
      <c r="N45" s="1160"/>
      <c r="O45" s="1160"/>
      <c r="P45" s="3560"/>
      <c r="Q45" s="470" t="str">
        <f t="shared" si="11"/>
        <v>建成年代</v>
      </c>
      <c r="R45" s="1204" t="s">
        <v>885</v>
      </c>
      <c r="S45" s="1205">
        <f t="shared" si="12"/>
        <v>100</v>
      </c>
      <c r="T45" s="1204" t="s">
        <v>885</v>
      </c>
      <c r="U45" s="1205">
        <f t="shared" si="13"/>
        <v>100</v>
      </c>
      <c r="V45" s="1204" t="s">
        <v>885</v>
      </c>
      <c r="W45" s="1205">
        <f t="shared" si="14"/>
        <v>100</v>
      </c>
      <c r="X45" s="1197"/>
      <c r="Y45" s="3564"/>
      <c r="Z45" s="1196" t="str">
        <f t="shared" si="15"/>
        <v>建成年代</v>
      </c>
      <c r="AA45" s="1216">
        <f t="shared" si="3"/>
        <v>1</v>
      </c>
      <c r="AB45" s="1216">
        <f t="shared" si="4"/>
        <v>1</v>
      </c>
      <c r="AC45" s="1216">
        <f t="shared" si="5"/>
        <v>1</v>
      </c>
    </row>
    <row r="46" spans="1:29" ht="15">
      <c r="A46" s="1517"/>
      <c r="B46" s="1066">
        <v>111</v>
      </c>
      <c r="C46" s="1067">
        <v>0.9</v>
      </c>
      <c r="D46" s="1068">
        <v>100</v>
      </c>
      <c r="E46" s="1067"/>
      <c r="F46" s="1518">
        <f>SUMIF(130:130,E46,131:131)-SUMIF(130:130,C46,131:131)+100</f>
        <v>100</v>
      </c>
      <c r="G46" s="1067"/>
      <c r="H46" s="1068">
        <f>SUMIF(130:130,G46,131:131)-SUMIF(130:130,C46,131:131)+100</f>
        <v>100</v>
      </c>
      <c r="I46" s="1067">
        <v>75833</v>
      </c>
      <c r="J46" s="1068">
        <f>SUMIF(130:130,I46,131:131)-SUMIF(130:130,C46,131:131)+100</f>
        <v>100</v>
      </c>
      <c r="K46" s="2380"/>
      <c r="L46" s="1172"/>
      <c r="M46" s="1160"/>
      <c r="N46" s="1160"/>
      <c r="O46" s="1160"/>
      <c r="P46" s="3561"/>
      <c r="Q46" s="470">
        <f t="shared" si="11"/>
        <v>111</v>
      </c>
      <c r="R46" s="1204" t="s">
        <v>885</v>
      </c>
      <c r="S46" s="1205">
        <f t="shared" si="12"/>
        <v>100</v>
      </c>
      <c r="T46" s="1204" t="s">
        <v>885</v>
      </c>
      <c r="U46" s="1205">
        <f t="shared" si="13"/>
        <v>100</v>
      </c>
      <c r="V46" s="1204" t="s">
        <v>885</v>
      </c>
      <c r="W46" s="1205">
        <f t="shared" si="14"/>
        <v>100</v>
      </c>
      <c r="X46" s="1197"/>
      <c r="Y46" s="3565"/>
      <c r="Z46" s="1196">
        <f t="shared" si="15"/>
        <v>111</v>
      </c>
      <c r="AA46" s="1216">
        <f t="shared" si="3"/>
        <v>1</v>
      </c>
      <c r="AB46" s="1216">
        <f t="shared" si="4"/>
        <v>1</v>
      </c>
      <c r="AC46" s="1216">
        <f t="shared" si="5"/>
        <v>1</v>
      </c>
    </row>
    <row r="47" spans="1:29" ht="15">
      <c r="A47" s="1117" t="s">
        <v>934</v>
      </c>
      <c r="B47" s="1519"/>
      <c r="C47" s="1520" t="s">
        <v>121</v>
      </c>
      <c r="D47" s="1521"/>
      <c r="E47" s="1522">
        <v>65868</v>
      </c>
      <c r="F47" s="1523"/>
      <c r="G47" s="1524">
        <v>76506</v>
      </c>
      <c r="H47" s="1525"/>
      <c r="I47" s="1522">
        <f>ROUND(I46*C46,0)</f>
        <v>68250</v>
      </c>
      <c r="J47" s="1525"/>
      <c r="K47" s="2384"/>
      <c r="L47" s="1188"/>
      <c r="N47" s="1160"/>
      <c r="P47" s="3547" t="str">
        <f>A47</f>
        <v>成交单价（元/平方米）</v>
      </c>
      <c r="Q47" s="3547"/>
      <c r="R47" s="3548">
        <f>E47</f>
        <v>65868</v>
      </c>
      <c r="S47" s="3548"/>
      <c r="T47" s="3548">
        <f>G47</f>
        <v>76506</v>
      </c>
      <c r="U47" s="3548"/>
      <c r="V47" s="3548">
        <f>I47</f>
        <v>68250</v>
      </c>
      <c r="W47" s="3548"/>
      <c r="X47" s="1209"/>
      <c r="Y47" s="1218"/>
      <c r="Z47" s="1209"/>
      <c r="AA47" s="1209"/>
      <c r="AB47" s="1209"/>
      <c r="AC47" s="1209"/>
    </row>
    <row r="48" spans="1:29" ht="15">
      <c r="A48" s="1125" t="s">
        <v>935</v>
      </c>
      <c r="B48" s="1526"/>
      <c r="C48" s="1527">
        <f>R49</f>
        <v>67551</v>
      </c>
      <c r="D48" s="790" t="s">
        <v>936</v>
      </c>
      <c r="E48" s="1528">
        <f>R48</f>
        <v>67341</v>
      </c>
      <c r="F48" s="791"/>
      <c r="G48" s="1527">
        <f>T48</f>
        <v>66903</v>
      </c>
      <c r="H48" s="791"/>
      <c r="I48" s="1528">
        <f>V48</f>
        <v>68409</v>
      </c>
      <c r="J48" s="791"/>
      <c r="K48" s="2385">
        <f>F48+H48+J48</f>
        <v>0</v>
      </c>
      <c r="L48" s="1188"/>
      <c r="P48" s="3547" t="str">
        <f>A48</f>
        <v>比较价值（元/平方米）</v>
      </c>
      <c r="Q48" s="3547"/>
      <c r="R48" s="3548">
        <f>IF(E1="售价",ROUND(PRODUCT(R47,AA7:AA46),0),ROUND(PRODUCT(R47,AA7:AA46),1))</f>
        <v>67341</v>
      </c>
      <c r="S48" s="3548"/>
      <c r="T48" s="3549">
        <f>IF(E1="售价",ROUND(PRODUCT(T47,AB7:AB46),0),ROUND(PRODUCT(T47,AB7:AB46),1))</f>
        <v>66903</v>
      </c>
      <c r="U48" s="3550"/>
      <c r="V48" s="3548">
        <f>IF(E1="售价",ROUND(PRODUCT(V47,AC7:AC46),0),ROUND(PRODUCT(V47,AC7:AC46),1))</f>
        <v>68409</v>
      </c>
      <c r="W48" s="3548"/>
      <c r="X48" s="1209"/>
      <c r="Y48" s="1209"/>
      <c r="Z48" s="1209"/>
      <c r="AA48" s="1209"/>
      <c r="AB48" s="1209"/>
      <c r="AC48" s="1209"/>
    </row>
    <row r="49" spans="1:29" ht="15">
      <c r="A49" s="1129" t="s">
        <v>937</v>
      </c>
      <c r="B49" s="1130"/>
      <c r="C49" s="2371">
        <f>R49</f>
        <v>67551</v>
      </c>
      <c r="D49" s="1529"/>
      <c r="E49" s="1529"/>
      <c r="F49" s="1529"/>
      <c r="G49" s="1529"/>
      <c r="H49" s="1529"/>
      <c r="I49" s="1529"/>
      <c r="J49" s="1529"/>
      <c r="K49" s="2386"/>
      <c r="L49" s="1188"/>
      <c r="P49" s="3551" t="str">
        <f>A49</f>
        <v>估价对象XX用房的比较价值（楼面单价，元/平方米）</v>
      </c>
      <c r="Q49" s="3552"/>
      <c r="R49" s="3553">
        <f>IF(E1="售价",ROUND(IF(D48="简单平均",AVERAGE(R48:V48),R48*F48+T48*H48+V48*J48),0),ROUND(IF(D48="简单平均",AVERAGE(R48:V48),R48*F48+T48*H48+V48*J48),1))</f>
        <v>67551</v>
      </c>
      <c r="S49" s="3553"/>
      <c r="T49" s="3553"/>
      <c r="U49" s="3553"/>
      <c r="V49" s="3553"/>
      <c r="W49" s="3553"/>
      <c r="X49" s="1209"/>
      <c r="Y49" s="1209"/>
      <c r="Z49" s="1209"/>
      <c r="AA49" s="1209"/>
      <c r="AB49" s="1209"/>
      <c r="AC49" s="1209"/>
    </row>
    <row r="52" spans="1:29" ht="13.5" customHeight="1">
      <c r="C52" s="797" t="s">
        <v>938</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2.3296703296702415E-3</v>
      </c>
      <c r="J52" s="1134" t="str">
        <f>IF(OR(I52&gt;=0.3,I52&lt;=-0.3),"超过30%","")</f>
        <v/>
      </c>
    </row>
    <row r="53" spans="1:29" ht="13.5" customHeight="1">
      <c r="C53" s="797" t="s">
        <v>939</v>
      </c>
      <c r="D53" s="508"/>
      <c r="E53" s="1133">
        <f>IF(E48&lt;G48,G48/E48-1,E48/G48-1)</f>
        <v>6.5467916236940926E-3</v>
      </c>
      <c r="F53" s="1134" t="str">
        <f>IF(OR(E53&gt;=0.2,E53&lt;=-0.2),"超过20%","")</f>
        <v/>
      </c>
      <c r="G53" s="1133">
        <f>IF(G48&lt;I48,I48/G48-1,G48/I48-1)</f>
        <v>2.2510201336263025E-2</v>
      </c>
      <c r="H53" s="1134" t="str">
        <f>IF(OR(G53&gt;=0.2,G53&lt;=-0.2),"超过20%","")</f>
        <v/>
      </c>
      <c r="I53" s="1133">
        <f>IF(I48&lt;E48,E48/I48-1,I48/E48-1)</f>
        <v>1.5859580344812274E-2</v>
      </c>
      <c r="J53" s="1134" t="str">
        <f>IF(OR(I53&gt;=0.2,I53&lt;=-0.2),"超过20%","")</f>
        <v/>
      </c>
    </row>
    <row r="54" spans="1:29" s="1017" customFormat="1" ht="13.5" customHeight="1">
      <c r="C54" s="797" t="s">
        <v>940</v>
      </c>
      <c r="D54" s="508"/>
      <c r="E54" s="1133">
        <f>IF(E47&lt;G47,G47/E47-1,E47/G47-1)</f>
        <v>0.16150482783749301</v>
      </c>
      <c r="F54" s="1134" t="str">
        <f>IF(OR(E54&gt;=0.3,E54&lt;=-0.3),"超过30%","")</f>
        <v/>
      </c>
      <c r="G54" s="1133">
        <f>IF(G47&lt;I47,I47/G47-1,G47/I47-1)</f>
        <v>0.12096703296703293</v>
      </c>
      <c r="H54" s="1134" t="str">
        <f>IF(OR(G54&gt;=0.3,G54&lt;=-0.3),"超过30%","")</f>
        <v/>
      </c>
      <c r="I54" s="1133">
        <f>IF(I47&lt;E47,E47/I47-1,I47/E47-1)</f>
        <v>3.6163235562033158E-2</v>
      </c>
      <c r="J54" s="1134" t="str">
        <f>IF(OR(I54&gt;=0.3,I54&lt;=-0.3),"超过30%","")</f>
        <v/>
      </c>
      <c r="K54" s="1191"/>
      <c r="L54" s="1192"/>
      <c r="P54" s="2387"/>
    </row>
    <row r="55" spans="1:29" s="1017" customFormat="1">
      <c r="B55" s="1135"/>
      <c r="C55" s="1136"/>
      <c r="K55" s="1191"/>
      <c r="L55" s="1192"/>
      <c r="P55" s="2387"/>
    </row>
    <row r="56" spans="1:29">
      <c r="B56" s="1135"/>
      <c r="C56" s="1136"/>
    </row>
    <row r="57" spans="1:29" ht="21">
      <c r="A57" s="1227" t="s">
        <v>941</v>
      </c>
      <c r="B57" s="1209"/>
      <c r="C57" s="1228"/>
      <c r="D57" s="1228"/>
      <c r="E57" s="1228"/>
      <c r="F57" s="1228"/>
      <c r="G57" s="1228"/>
      <c r="H57" s="1228"/>
      <c r="I57" s="1228"/>
      <c r="J57" s="1228"/>
      <c r="K57" s="1542"/>
      <c r="L57" s="2388"/>
      <c r="M57" s="1544"/>
      <c r="N57" s="1544"/>
      <c r="O57" s="1544"/>
      <c r="P57" s="2389"/>
      <c r="Q57" s="1286"/>
    </row>
    <row r="58" spans="1:29" s="1477" customFormat="1" ht="15">
      <c r="A58" s="1530" t="s">
        <v>883</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5">
      <c r="A60" s="1235" t="s">
        <v>942</v>
      </c>
      <c r="B60" s="1236"/>
      <c r="C60" s="1237">
        <v>0</v>
      </c>
      <c r="D60" s="1238"/>
      <c r="E60" s="1238"/>
      <c r="F60" s="1238"/>
      <c r="G60" s="1238"/>
      <c r="H60" s="1238"/>
      <c r="I60" s="1238"/>
      <c r="J60" s="1238"/>
      <c r="K60" s="1238"/>
      <c r="L60" s="1238"/>
      <c r="M60" s="1287"/>
      <c r="N60" s="1238"/>
      <c r="O60" s="1287"/>
      <c r="P60" s="1591"/>
      <c r="Q60" s="1286"/>
    </row>
    <row r="61" spans="1:29" s="1014" customFormat="1" ht="15">
      <c r="A61" s="1239" t="s">
        <v>886</v>
      </c>
      <c r="B61" s="1240"/>
      <c r="C61" s="1241" t="s">
        <v>887</v>
      </c>
      <c r="D61" s="960"/>
      <c r="E61" s="960"/>
      <c r="F61" s="960"/>
      <c r="G61" s="960"/>
      <c r="H61" s="960"/>
      <c r="I61" s="960"/>
      <c r="J61" s="960"/>
      <c r="K61" s="960"/>
      <c r="L61" s="960"/>
      <c r="M61" s="1289"/>
      <c r="N61" s="2390"/>
      <c r="O61" s="2390"/>
      <c r="P61" s="1592"/>
      <c r="Q61" s="1286"/>
    </row>
    <row r="62" spans="1:29" s="1014" customFormat="1" ht="15">
      <c r="A62" s="1239"/>
      <c r="B62" s="1240"/>
      <c r="C62" s="1535">
        <v>100</v>
      </c>
      <c r="D62" s="1243"/>
      <c r="E62" s="1243"/>
      <c r="F62" s="1243"/>
      <c r="G62" s="1243"/>
      <c r="H62" s="1243"/>
      <c r="I62" s="1243"/>
      <c r="J62" s="1243"/>
      <c r="K62" s="1243"/>
      <c r="L62" s="1243"/>
      <c r="M62" s="1292"/>
      <c r="N62" s="2390"/>
      <c r="O62" s="2390"/>
      <c r="P62" s="1591"/>
      <c r="Q62" s="1286"/>
    </row>
    <row r="63" spans="1:29">
      <c r="A63" s="1244" t="s">
        <v>943</v>
      </c>
      <c r="B63" s="1245" t="s">
        <v>891</v>
      </c>
      <c r="C63" s="1265" t="str">
        <f>C9</f>
        <v>住宅</v>
      </c>
      <c r="D63" s="1185"/>
      <c r="E63" s="1185"/>
      <c r="F63" s="1185"/>
      <c r="G63" s="1185"/>
      <c r="H63" s="1185"/>
      <c r="I63" s="1185"/>
      <c r="J63" s="1185"/>
      <c r="K63" s="966"/>
      <c r="L63" s="966"/>
      <c r="M63" s="1293"/>
      <c r="N63" s="2391"/>
      <c r="O63" s="2391"/>
      <c r="P63" s="1593"/>
      <c r="Q63" s="1286"/>
    </row>
    <row r="64" spans="1:29" ht="15">
      <c r="A64" s="1246"/>
      <c r="B64" s="1247"/>
      <c r="C64" s="1248">
        <v>100</v>
      </c>
      <c r="D64" s="1248"/>
      <c r="E64" s="1248"/>
      <c r="F64" s="1248"/>
      <c r="G64" s="1248"/>
      <c r="H64" s="1248"/>
      <c r="I64" s="1248"/>
      <c r="J64" s="1248"/>
      <c r="K64" s="1248"/>
      <c r="L64" s="1248"/>
      <c r="M64" s="1296"/>
      <c r="N64" s="2392"/>
      <c r="O64" s="2392"/>
      <c r="P64" s="1593"/>
      <c r="Q64" s="1286"/>
    </row>
    <row r="65" spans="1:17" ht="27">
      <c r="A65" s="1246"/>
      <c r="B65" s="1249" t="s">
        <v>894</v>
      </c>
      <c r="C65" s="1250" t="s">
        <v>944</v>
      </c>
      <c r="D65" s="1250" t="s">
        <v>945</v>
      </c>
      <c r="E65" s="1250" t="s">
        <v>946</v>
      </c>
      <c r="F65" s="1250" t="s">
        <v>947</v>
      </c>
      <c r="G65" s="1250" t="s">
        <v>948</v>
      </c>
      <c r="H65" s="1250" t="s">
        <v>949</v>
      </c>
      <c r="I65" s="1250" t="s">
        <v>950</v>
      </c>
      <c r="J65" s="1250"/>
      <c r="K65" s="973"/>
      <c r="L65" s="973"/>
      <c r="M65" s="1298"/>
      <c r="N65" s="2391"/>
      <c r="O65" s="2391"/>
      <c r="P65" s="1593"/>
      <c r="Q65" s="1286"/>
    </row>
    <row r="66" spans="1:17" ht="15">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5">
      <c r="A67" s="1246"/>
      <c r="B67" s="1253" t="s">
        <v>896</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ht="15">
      <c r="A68" s="1246"/>
      <c r="B68" s="1255"/>
      <c r="C68" s="1063">
        <v>0</v>
      </c>
      <c r="D68" s="1063"/>
      <c r="E68" s="1063"/>
      <c r="F68" s="1063"/>
      <c r="G68" s="1063"/>
      <c r="H68" s="1063"/>
      <c r="I68" s="1063"/>
      <c r="J68" s="1063"/>
      <c r="K68" s="977"/>
      <c r="L68" s="977"/>
      <c r="M68" s="1300"/>
      <c r="N68" s="2391"/>
      <c r="O68" s="2391"/>
      <c r="P68" s="1593"/>
      <c r="Q68" s="1286"/>
    </row>
    <row r="69" spans="1:17" ht="15">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ht="15">
      <c r="A70" s="1256"/>
      <c r="B70" s="1249">
        <f>B12</f>
        <v>111</v>
      </c>
      <c r="C70" s="1257"/>
      <c r="D70" s="1257"/>
      <c r="E70" s="1257"/>
      <c r="F70" s="1257"/>
      <c r="G70" s="1257"/>
      <c r="H70" s="979"/>
      <c r="I70" s="979"/>
      <c r="J70" s="979"/>
      <c r="K70" s="979"/>
      <c r="L70" s="979"/>
      <c r="M70" s="1301"/>
      <c r="N70" s="2399"/>
      <c r="O70" s="2399"/>
      <c r="P70" s="1598"/>
      <c r="Q70" s="1318"/>
    </row>
    <row r="71" spans="1:17" s="1016" customFormat="1" ht="15">
      <c r="A71" s="1256"/>
      <c r="B71" s="1251"/>
      <c r="C71" s="1258"/>
      <c r="D71" s="1248"/>
      <c r="E71" s="1248"/>
      <c r="F71" s="1248"/>
      <c r="G71" s="1248"/>
      <c r="H71" s="1248"/>
      <c r="I71" s="1248"/>
      <c r="J71" s="1248"/>
      <c r="K71" s="1248"/>
      <c r="L71" s="1248"/>
      <c r="M71" s="1296"/>
      <c r="N71" s="2392"/>
      <c r="O71" s="2392"/>
      <c r="P71" s="1598"/>
      <c r="Q71" s="1318"/>
    </row>
    <row r="72" spans="1:17" s="1016" customFormat="1" ht="15">
      <c r="A72" s="1256"/>
      <c r="B72" s="1249">
        <f>B13</f>
        <v>111</v>
      </c>
      <c r="C72" s="1257"/>
      <c r="D72" s="1257"/>
      <c r="E72" s="1257"/>
      <c r="F72" s="1257"/>
      <c r="G72" s="1257"/>
      <c r="H72" s="979"/>
      <c r="I72" s="979"/>
      <c r="J72" s="979"/>
      <c r="K72" s="979"/>
      <c r="L72" s="979"/>
      <c r="M72" s="1301"/>
      <c r="N72" s="2399"/>
      <c r="O72" s="2399"/>
      <c r="P72" s="1599"/>
      <c r="Q72" s="1319"/>
    </row>
    <row r="73" spans="1:17" s="1016" customFormat="1" ht="15">
      <c r="A73" s="1256"/>
      <c r="B73" s="1251"/>
      <c r="C73" s="1258"/>
      <c r="D73" s="1258"/>
      <c r="E73" s="1258"/>
      <c r="F73" s="1258"/>
      <c r="G73" s="1258"/>
      <c r="H73" s="1259"/>
      <c r="I73" s="1259"/>
      <c r="J73" s="1259"/>
      <c r="K73" s="1259"/>
      <c r="L73" s="1259"/>
      <c r="M73" s="1304"/>
      <c r="N73" s="2399"/>
      <c r="O73" s="2399"/>
      <c r="P73" s="1598"/>
      <c r="Q73" s="1318"/>
    </row>
    <row r="74" spans="1:17" s="1016" customFormat="1" ht="15">
      <c r="A74" s="1256"/>
      <c r="B74" s="1253">
        <f>B14</f>
        <v>111</v>
      </c>
      <c r="C74" s="1257"/>
      <c r="D74" s="1257"/>
      <c r="E74" s="1257"/>
      <c r="F74" s="1257"/>
      <c r="G74" s="960"/>
      <c r="H74" s="984"/>
      <c r="I74" s="984"/>
      <c r="J74" s="984"/>
      <c r="K74" s="984"/>
      <c r="L74" s="984"/>
      <c r="M74" s="1305"/>
      <c r="N74" s="2399"/>
      <c r="O74" s="2399"/>
      <c r="P74" s="1598"/>
      <c r="Q74" s="1318"/>
    </row>
    <row r="75" spans="1:17" s="1016" customFormat="1" ht="15">
      <c r="A75" s="1260"/>
      <c r="B75" s="1261"/>
      <c r="C75" s="1262"/>
      <c r="D75" s="1262"/>
      <c r="E75" s="1262"/>
      <c r="F75" s="1262"/>
      <c r="G75" s="1262"/>
      <c r="H75" s="1263"/>
      <c r="I75" s="1263"/>
      <c r="J75" s="1263"/>
      <c r="K75" s="1263"/>
      <c r="L75" s="1263"/>
      <c r="M75" s="1306"/>
      <c r="N75" s="2399"/>
      <c r="O75" s="2399"/>
      <c r="P75" s="1598"/>
      <c r="Q75" s="1318"/>
    </row>
    <row r="76" spans="1:17">
      <c r="A76" s="1244" t="s">
        <v>897</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ht="15">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5">
      <c r="A82" s="1246"/>
      <c r="B82" s="1253" t="s">
        <v>212</v>
      </c>
      <c r="C82" s="1250" t="s">
        <v>951</v>
      </c>
      <c r="D82" s="1250" t="s">
        <v>952</v>
      </c>
      <c r="E82" s="1250" t="s">
        <v>953</v>
      </c>
      <c r="F82" s="1250" t="s">
        <v>954</v>
      </c>
      <c r="G82" s="1250" t="s">
        <v>955</v>
      </c>
      <c r="H82" s="1250"/>
      <c r="I82" s="1250"/>
      <c r="J82" s="1250"/>
      <c r="K82" s="1250"/>
      <c r="L82" s="1250"/>
      <c r="M82" s="1309"/>
      <c r="N82" s="2392"/>
      <c r="O82" s="2392"/>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5">
      <c r="A84" s="1246"/>
      <c r="B84" s="1249" t="s">
        <v>901</v>
      </c>
      <c r="C84" s="992" t="s">
        <v>226</v>
      </c>
      <c r="D84" s="992" t="s">
        <v>238</v>
      </c>
      <c r="E84" s="992" t="s">
        <v>249</v>
      </c>
      <c r="F84" s="992" t="s">
        <v>259</v>
      </c>
      <c r="G84" s="992" t="s">
        <v>266</v>
      </c>
      <c r="H84" s="1250"/>
      <c r="I84" s="1250"/>
      <c r="J84" s="1250"/>
      <c r="K84" s="973"/>
      <c r="L84" s="973"/>
      <c r="M84" s="1298"/>
      <c r="N84" s="2391"/>
      <c r="O84" s="2391"/>
      <c r="P84" s="1593"/>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5">
      <c r="A86" s="1266"/>
      <c r="B86" s="1249" t="s">
        <v>902</v>
      </c>
      <c r="C86" s="2395"/>
      <c r="D86" s="2395"/>
      <c r="E86" s="2395"/>
      <c r="F86" s="1257"/>
      <c r="G86" s="1257"/>
      <c r="H86" s="1257"/>
      <c r="I86" s="1257"/>
      <c r="J86" s="1257"/>
      <c r="K86" s="1257"/>
      <c r="L86" s="1257"/>
      <c r="M86" s="1556"/>
      <c r="N86" s="2390"/>
      <c r="O86" s="2390"/>
      <c r="P86" s="1593"/>
      <c r="Q86" s="1286"/>
    </row>
    <row r="87" spans="1:17" s="1014" customFormat="1" ht="15">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5">
      <c r="A88" s="1266"/>
      <c r="B88" s="1249" t="s">
        <v>903</v>
      </c>
      <c r="C88" s="2395" t="s">
        <v>956</v>
      </c>
      <c r="D88" s="2395" t="s">
        <v>904</v>
      </c>
      <c r="E88" s="2395" t="s">
        <v>905</v>
      </c>
      <c r="F88" s="2396" t="s">
        <v>906</v>
      </c>
      <c r="G88" s="1257"/>
      <c r="H88" s="1257"/>
      <c r="I88" s="1257"/>
      <c r="J88" s="1257"/>
      <c r="K88" s="1257"/>
      <c r="L88" s="1257"/>
      <c r="M88" s="1556"/>
      <c r="N88" s="2390"/>
      <c r="O88" s="2390"/>
      <c r="P88" s="1593"/>
      <c r="Q88" s="1286"/>
    </row>
    <row r="89" spans="1:17" s="1014" customFormat="1" ht="15">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5">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ht="15">
      <c r="A91" s="1256"/>
      <c r="B91" s="1251"/>
      <c r="C91" s="1258"/>
      <c r="D91" s="1258"/>
      <c r="E91" s="1258"/>
      <c r="F91" s="1258"/>
      <c r="G91" s="1258"/>
      <c r="H91" s="1259"/>
      <c r="I91" s="1259"/>
      <c r="J91" s="1259"/>
      <c r="K91" s="1259"/>
      <c r="L91" s="1259"/>
      <c r="M91" s="1304"/>
      <c r="N91" s="2399"/>
      <c r="O91" s="2399"/>
      <c r="P91" s="1598"/>
      <c r="Q91" s="1318"/>
    </row>
    <row r="92" spans="1:17" ht="15">
      <c r="A92" s="1246"/>
      <c r="B92" s="1249" t="str">
        <f>B28</f>
        <v>楼层</v>
      </c>
      <c r="C92" s="2395" t="s">
        <v>911</v>
      </c>
      <c r="D92" s="2395" t="s">
        <v>909</v>
      </c>
      <c r="E92" s="2395" t="s">
        <v>910</v>
      </c>
      <c r="F92" s="1257"/>
      <c r="G92" s="1270"/>
      <c r="H92" s="1270"/>
      <c r="I92" s="1270"/>
      <c r="J92" s="1270"/>
      <c r="K92" s="999"/>
      <c r="L92" s="999"/>
      <c r="M92" s="1312"/>
      <c r="N92" s="2391"/>
      <c r="O92" s="2391"/>
      <c r="P92" s="1593"/>
      <c r="Q92" s="1286"/>
    </row>
    <row r="93" spans="1:17" ht="15">
      <c r="A93" s="1246"/>
      <c r="B93" s="1251"/>
      <c r="C93" s="1258">
        <v>100</v>
      </c>
      <c r="D93" s="1248">
        <v>95</v>
      </c>
      <c r="E93" s="1248">
        <v>90</v>
      </c>
      <c r="F93" s="1248"/>
      <c r="G93" s="1248"/>
      <c r="H93" s="1248"/>
      <c r="I93" s="1248"/>
      <c r="J93" s="1248"/>
      <c r="K93" s="1248"/>
      <c r="L93" s="1248"/>
      <c r="M93" s="1296"/>
      <c r="N93" s="2392"/>
      <c r="O93" s="2392"/>
      <c r="P93" s="1593"/>
      <c r="Q93" s="1286"/>
    </row>
    <row r="94" spans="1:17" ht="15">
      <c r="A94" s="1246"/>
      <c r="B94" s="1249">
        <f>B29</f>
        <v>111</v>
      </c>
      <c r="C94" s="1257"/>
      <c r="D94" s="1257"/>
      <c r="E94" s="1257"/>
      <c r="F94" s="1257"/>
      <c r="G94" s="1270"/>
      <c r="H94" s="1270"/>
      <c r="I94" s="1270"/>
      <c r="J94" s="1270"/>
      <c r="K94" s="999"/>
      <c r="L94" s="999"/>
      <c r="M94" s="1312"/>
      <c r="N94" s="2391"/>
      <c r="O94" s="2391"/>
      <c r="P94" s="1593"/>
      <c r="Q94" s="1286"/>
    </row>
    <row r="95" spans="1:17" ht="15">
      <c r="A95" s="1246"/>
      <c r="B95" s="1251"/>
      <c r="C95" s="1258"/>
      <c r="D95" s="1258"/>
      <c r="E95" s="1258"/>
      <c r="F95" s="1258"/>
      <c r="G95" s="1248"/>
      <c r="H95" s="1248"/>
      <c r="I95" s="1248"/>
      <c r="J95" s="1248"/>
      <c r="K95" s="1248"/>
      <c r="L95" s="1248"/>
      <c r="M95" s="1296"/>
      <c r="N95" s="2392"/>
      <c r="O95" s="2392"/>
      <c r="P95" s="1593"/>
      <c r="Q95" s="1286"/>
    </row>
    <row r="96" spans="1:17" ht="15">
      <c r="A96" s="1246"/>
      <c r="B96" s="1249">
        <f>B30</f>
        <v>111</v>
      </c>
      <c r="C96" s="1257"/>
      <c r="D96" s="1257"/>
      <c r="E96" s="1257"/>
      <c r="F96" s="1257"/>
      <c r="G96" s="1270"/>
      <c r="H96" s="1270"/>
      <c r="I96" s="1270"/>
      <c r="J96" s="1270"/>
      <c r="K96" s="999"/>
      <c r="L96" s="999"/>
      <c r="M96" s="1312"/>
      <c r="N96" s="2391"/>
      <c r="O96" s="2391"/>
      <c r="P96" s="1593"/>
      <c r="Q96" s="1286"/>
    </row>
    <row r="97" spans="1:17" ht="15">
      <c r="A97" s="1246"/>
      <c r="B97" s="1251"/>
      <c r="C97" s="1262"/>
      <c r="D97" s="1262"/>
      <c r="E97" s="1262"/>
      <c r="F97" s="1262"/>
      <c r="G97" s="1248"/>
      <c r="H97" s="1248"/>
      <c r="I97" s="1248"/>
      <c r="J97" s="1248"/>
      <c r="K97" s="1248"/>
      <c r="L97" s="1248"/>
      <c r="M97" s="1296"/>
      <c r="N97" s="2392"/>
      <c r="O97" s="2392"/>
      <c r="P97" s="1593"/>
      <c r="Q97" s="1286"/>
    </row>
    <row r="98" spans="1:17" ht="15">
      <c r="A98" s="1246"/>
      <c r="B98" s="1253">
        <f>B31</f>
        <v>111</v>
      </c>
      <c r="C98" s="1271"/>
      <c r="D98" s="1271"/>
      <c r="E98" s="1271"/>
      <c r="F98" s="1271"/>
      <c r="G98" s="1271"/>
      <c r="H98" s="1271"/>
      <c r="I98" s="1271"/>
      <c r="J98" s="1271"/>
      <c r="K98" s="1002"/>
      <c r="L98" s="1002"/>
      <c r="M98" s="1313"/>
      <c r="N98" s="2391"/>
      <c r="O98" s="2391"/>
      <c r="P98" s="1593"/>
      <c r="Q98" s="1286"/>
    </row>
    <row r="99" spans="1:17" ht="15">
      <c r="A99" s="1554"/>
      <c r="B99" s="1261"/>
      <c r="C99" s="1272"/>
      <c r="D99" s="1272"/>
      <c r="E99" s="1272"/>
      <c r="F99" s="1272"/>
      <c r="G99" s="1272"/>
      <c r="H99" s="1272"/>
      <c r="I99" s="1272"/>
      <c r="J99" s="1272"/>
      <c r="K99" s="1272"/>
      <c r="L99" s="1272"/>
      <c r="M99" s="1314"/>
      <c r="N99" s="2392"/>
      <c r="O99" s="2392"/>
      <c r="P99" s="1593"/>
      <c r="Q99" s="1286"/>
    </row>
    <row r="100" spans="1:17">
      <c r="A100" s="1244" t="s">
        <v>912</v>
      </c>
      <c r="B100" s="1245" t="s">
        <v>913</v>
      </c>
      <c r="C100" s="2397" t="s">
        <v>957</v>
      </c>
      <c r="D100" s="2397" t="s">
        <v>914</v>
      </c>
      <c r="E100" s="1185"/>
      <c r="F100" s="1185"/>
      <c r="G100" s="1185"/>
      <c r="H100" s="1185"/>
      <c r="I100" s="1185"/>
      <c r="J100" s="1185"/>
      <c r="K100" s="966"/>
      <c r="L100" s="966"/>
      <c r="M100" s="1293"/>
      <c r="N100" s="2391"/>
      <c r="O100" s="2391"/>
      <c r="P100" s="1593"/>
      <c r="Q100" s="1286"/>
    </row>
    <row r="101" spans="1:17" ht="15">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5">
      <c r="A102" s="1246"/>
      <c r="B102" s="1249" t="s">
        <v>916</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c r="A105" s="1276"/>
      <c r="B105" s="1249" t="s">
        <v>917</v>
      </c>
      <c r="C105" s="2395" t="s">
        <v>918</v>
      </c>
      <c r="D105" s="1257"/>
      <c r="E105" s="1270"/>
      <c r="F105" s="1270"/>
      <c r="G105" s="1270"/>
      <c r="H105" s="1270"/>
      <c r="I105" s="1270"/>
      <c r="J105" s="1270"/>
      <c r="K105" s="999"/>
      <c r="L105" s="999"/>
      <c r="M105" s="1312"/>
      <c r="N105" s="2391"/>
      <c r="O105" s="2391"/>
      <c r="P105" s="1593"/>
      <c r="Q105" s="1286"/>
    </row>
    <row r="106" spans="1:17" ht="15">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c r="A107" s="1276"/>
      <c r="B107" s="1249" t="s">
        <v>919</v>
      </c>
      <c r="C107" s="1270"/>
      <c r="D107" s="1270"/>
      <c r="E107" s="1270"/>
      <c r="F107" s="1270"/>
      <c r="G107" s="1270"/>
      <c r="H107" s="1270"/>
      <c r="I107" s="1270"/>
      <c r="J107" s="1270"/>
      <c r="K107" s="999"/>
      <c r="L107" s="999"/>
      <c r="M107" s="1312"/>
      <c r="N107" s="2391"/>
      <c r="O107" s="2391"/>
      <c r="P107" s="1593"/>
      <c r="Q107" s="1286"/>
    </row>
    <row r="108" spans="1:17" ht="15">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c r="A109" s="1276"/>
      <c r="B109" s="1249" t="s">
        <v>920</v>
      </c>
      <c r="C109" s="2395" t="s">
        <v>921</v>
      </c>
      <c r="D109" s="1257"/>
      <c r="E109" s="1257"/>
      <c r="F109" s="1270"/>
      <c r="G109" s="1270"/>
      <c r="H109" s="1270"/>
      <c r="I109" s="1270"/>
      <c r="J109" s="1270"/>
      <c r="K109" s="999"/>
      <c r="L109" s="999"/>
      <c r="M109" s="1312"/>
      <c r="N109" s="2391"/>
      <c r="O109" s="2391"/>
      <c r="P109" s="1593"/>
      <c r="Q109" s="1286"/>
    </row>
    <row r="110" spans="1:17" ht="15">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c r="A111" s="1273"/>
      <c r="B111" s="1249" t="s">
        <v>922</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c r="A114" s="1276"/>
      <c r="B114" s="1249" t="s">
        <v>923</v>
      </c>
      <c r="C114" s="1257"/>
      <c r="D114" s="1257"/>
      <c r="E114" s="1270"/>
      <c r="F114" s="1270"/>
      <c r="G114" s="1270"/>
      <c r="H114" s="1270"/>
      <c r="I114" s="1270"/>
      <c r="J114" s="1270"/>
      <c r="K114" s="999"/>
      <c r="L114" s="999"/>
      <c r="M114" s="1312"/>
      <c r="N114" s="2391"/>
      <c r="O114" s="2391"/>
      <c r="P114" s="1593"/>
      <c r="Q114" s="1286"/>
    </row>
    <row r="115" spans="1:17" ht="15">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c r="A116" s="1276"/>
      <c r="B116" s="1249" t="s">
        <v>924</v>
      </c>
      <c r="C116" s="2395" t="s">
        <v>900</v>
      </c>
      <c r="D116" s="1257"/>
      <c r="E116" s="1257"/>
      <c r="F116" s="1257"/>
      <c r="G116" s="1257"/>
      <c r="H116" s="1270"/>
      <c r="I116" s="1270"/>
      <c r="J116" s="1270"/>
      <c r="K116" s="999"/>
      <c r="L116" s="999"/>
      <c r="M116" s="1312"/>
      <c r="N116" s="2391"/>
      <c r="O116" s="2391"/>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c r="A118" s="1276"/>
      <c r="B118" s="1249" t="s">
        <v>925</v>
      </c>
      <c r="C118" s="1270"/>
      <c r="D118" s="1270"/>
      <c r="E118" s="1270"/>
      <c r="F118" s="1270"/>
      <c r="G118" s="1270"/>
      <c r="H118" s="1270"/>
      <c r="I118" s="1270"/>
      <c r="J118" s="1270"/>
      <c r="K118" s="999"/>
      <c r="L118" s="999"/>
      <c r="M118" s="1312"/>
      <c r="N118" s="2391"/>
      <c r="O118" s="2391"/>
      <c r="P118" s="1593"/>
      <c r="Q118" s="1286"/>
    </row>
    <row r="119" spans="1:17" ht="15">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7.75">
      <c r="A120" s="1273"/>
      <c r="B120" s="1249" t="s">
        <v>926</v>
      </c>
      <c r="C120" s="1257"/>
      <c r="D120" s="1257"/>
      <c r="E120" s="1257"/>
      <c r="F120" s="1257"/>
      <c r="G120" s="1257"/>
      <c r="H120" s="1257"/>
      <c r="I120" s="1257"/>
      <c r="J120" s="1257"/>
      <c r="K120" s="1257"/>
      <c r="L120" s="1257"/>
      <c r="M120" s="1556"/>
      <c r="N120" s="2399"/>
      <c r="O120" s="2399"/>
      <c r="P120" s="1598"/>
      <c r="Q120" s="1318"/>
    </row>
    <row r="121" spans="1:17" s="1016" customFormat="1" ht="15">
      <c r="A121" s="1256"/>
      <c r="B121" s="1247"/>
      <c r="C121" s="1258"/>
      <c r="D121" s="1248"/>
      <c r="E121" s="1248"/>
      <c r="F121" s="1248"/>
      <c r="G121" s="1248"/>
      <c r="H121" s="1248"/>
      <c r="I121" s="1248"/>
      <c r="J121" s="1248"/>
      <c r="K121" s="1248"/>
      <c r="L121" s="1248"/>
      <c r="M121" s="1248"/>
      <c r="N121" s="2399"/>
      <c r="O121" s="2399"/>
      <c r="P121" s="1598"/>
      <c r="Q121" s="1318"/>
    </row>
    <row r="122" spans="1:17">
      <c r="A122" s="1276"/>
      <c r="B122" s="1249" t="s">
        <v>927</v>
      </c>
      <c r="C122" s="2395" t="s">
        <v>958</v>
      </c>
      <c r="D122" s="2395" t="s">
        <v>929</v>
      </c>
      <c r="E122" s="2395" t="s">
        <v>928</v>
      </c>
      <c r="F122" s="2398" t="s">
        <v>959</v>
      </c>
      <c r="G122" s="1270"/>
      <c r="H122" s="1270"/>
      <c r="I122" s="1270"/>
      <c r="J122" s="1270"/>
      <c r="K122" s="999"/>
      <c r="L122" s="999"/>
      <c r="M122" s="1312"/>
      <c r="N122" s="2391"/>
      <c r="O122" s="2391"/>
      <c r="P122" s="1593"/>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c r="A126" s="1273"/>
      <c r="B126" s="1249" t="str">
        <f>B44</f>
        <v>学区</v>
      </c>
      <c r="C126" s="2395" t="s">
        <v>933</v>
      </c>
      <c r="D126" s="2395" t="s">
        <v>932</v>
      </c>
      <c r="E126" s="1257"/>
      <c r="F126" s="1257"/>
      <c r="G126" s="1257"/>
      <c r="H126" s="979"/>
      <c r="I126" s="979"/>
      <c r="J126" s="979"/>
      <c r="K126" s="979"/>
      <c r="L126" s="979"/>
      <c r="M126" s="1301"/>
      <c r="N126" s="2399"/>
      <c r="O126" s="2399"/>
      <c r="P126" s="1598"/>
      <c r="Q126" s="1318"/>
    </row>
    <row r="127" spans="1:17" s="1016" customFormat="1" ht="15">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t="str">
        <f>B45</f>
        <v>建成年代</v>
      </c>
      <c r="C128" s="1257">
        <v>1997</v>
      </c>
      <c r="D128" s="1257">
        <v>1999</v>
      </c>
      <c r="E128" s="1257">
        <v>2000</v>
      </c>
      <c r="F128" s="1257"/>
      <c r="G128" s="1270"/>
      <c r="H128" s="1270"/>
      <c r="I128" s="1270"/>
      <c r="J128" s="1270"/>
      <c r="K128" s="999"/>
      <c r="L128" s="999"/>
      <c r="M128" s="1312"/>
      <c r="N128" s="2391"/>
      <c r="O128" s="2391"/>
      <c r="P128" s="1593"/>
      <c r="Q128" s="1286"/>
    </row>
    <row r="129" spans="1:17" ht="15">
      <c r="A129" s="1246"/>
      <c r="B129" s="1251"/>
      <c r="C129" s="1258">
        <v>100</v>
      </c>
      <c r="D129" s="1258">
        <v>100</v>
      </c>
      <c r="E129" s="1258">
        <v>100.5</v>
      </c>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ht="15">
      <c r="A131" s="1554"/>
      <c r="B131" s="1261"/>
      <c r="C131" s="1262"/>
      <c r="D131" s="1262"/>
      <c r="E131" s="1262"/>
      <c r="F131" s="1262"/>
      <c r="G131" s="1272"/>
      <c r="H131" s="1272"/>
      <c r="I131" s="1272"/>
      <c r="J131" s="1272"/>
      <c r="K131" s="1272"/>
      <c r="L131" s="1272"/>
      <c r="M131" s="1314"/>
      <c r="N131" s="2392"/>
      <c r="O131" s="2392"/>
      <c r="P131" s="1593"/>
      <c r="Q131" s="1286"/>
    </row>
    <row r="136" spans="1:17">
      <c r="B136" s="2402" t="s">
        <v>960</v>
      </c>
    </row>
    <row r="137" spans="1:17" ht="15">
      <c r="B137" s="2403" t="s">
        <v>961</v>
      </c>
      <c r="C137" s="2404"/>
      <c r="D137" s="2404"/>
      <c r="E137" s="2404"/>
      <c r="F137" s="2404"/>
      <c r="G137" s="2405"/>
      <c r="H137" s="2406"/>
      <c r="I137" s="2430" t="s">
        <v>962</v>
      </c>
      <c r="J137" s="2404"/>
      <c r="K137" s="2431"/>
    </row>
    <row r="138" spans="1:17" ht="15">
      <c r="B138" s="2407"/>
      <c r="C138" s="1142" t="s">
        <v>963</v>
      </c>
      <c r="D138" s="1142" t="s">
        <v>964</v>
      </c>
      <c r="E138" s="2408" t="s">
        <v>965</v>
      </c>
      <c r="F138" s="2409" t="s">
        <v>966</v>
      </c>
      <c r="G138" s="1142" t="s">
        <v>964</v>
      </c>
      <c r="H138" s="2410" t="s">
        <v>965</v>
      </c>
      <c r="I138" s="2432"/>
      <c r="J138" s="1142" t="s">
        <v>967</v>
      </c>
      <c r="K138" s="2410" t="s">
        <v>968</v>
      </c>
    </row>
    <row r="139" spans="1:17" ht="15">
      <c r="B139" s="2411">
        <v>6</v>
      </c>
      <c r="C139" s="2412">
        <v>96</v>
      </c>
      <c r="D139" s="2413" t="s">
        <v>969</v>
      </c>
      <c r="E139" s="2414">
        <v>100</v>
      </c>
      <c r="F139" s="2415">
        <v>102.5</v>
      </c>
      <c r="G139" s="2413" t="s">
        <v>969</v>
      </c>
      <c r="H139" s="2416">
        <v>105</v>
      </c>
      <c r="I139" s="2433" t="s">
        <v>970</v>
      </c>
      <c r="J139" s="2412">
        <v>20</v>
      </c>
      <c r="K139" s="2434">
        <f>C145/(J139-2)</f>
        <v>4.0555555555555596E-3</v>
      </c>
    </row>
    <row r="140" spans="1:17" ht="15">
      <c r="B140" s="2417">
        <v>5</v>
      </c>
      <c r="C140" s="2418">
        <v>100</v>
      </c>
      <c r="D140" s="2418"/>
      <c r="E140" s="2419"/>
      <c r="F140" s="2420">
        <v>102</v>
      </c>
      <c r="G140" s="2418"/>
      <c r="H140" s="2421"/>
      <c r="I140" s="2435" t="s">
        <v>971</v>
      </c>
      <c r="J140" s="2436">
        <f>ROUNDUP((J139-1)/2,0)</f>
        <v>10</v>
      </c>
      <c r="K140" s="2437">
        <v>100</v>
      </c>
    </row>
    <row r="141" spans="1:17" ht="15">
      <c r="B141" s="2417">
        <v>4</v>
      </c>
      <c r="C141" s="2418">
        <v>102</v>
      </c>
      <c r="D141" s="2418"/>
      <c r="E141" s="2419"/>
      <c r="F141" s="2420">
        <v>101.5</v>
      </c>
      <c r="G141" s="2418"/>
      <c r="H141" s="2421"/>
      <c r="I141" s="2435" t="s">
        <v>972</v>
      </c>
      <c r="J141" s="2436">
        <v>1</v>
      </c>
      <c r="K141" s="2438">
        <f>ROUND(100+(J141-J140)*K139*100,1)</f>
        <v>96.4</v>
      </c>
    </row>
    <row r="142" spans="1:17" ht="15">
      <c r="B142" s="2417">
        <v>3</v>
      </c>
      <c r="C142" s="2418">
        <v>103</v>
      </c>
      <c r="D142" s="2418"/>
      <c r="E142" s="2419"/>
      <c r="F142" s="2420">
        <v>101</v>
      </c>
      <c r="G142" s="2418"/>
      <c r="H142" s="2421"/>
      <c r="I142" s="2435" t="s">
        <v>973</v>
      </c>
      <c r="J142" s="2436">
        <f>J139</f>
        <v>20</v>
      </c>
      <c r="K142" s="2439">
        <v>95</v>
      </c>
    </row>
    <row r="143" spans="1:17" ht="15">
      <c r="B143" s="2417">
        <v>2</v>
      </c>
      <c r="C143" s="2418">
        <v>100</v>
      </c>
      <c r="D143" s="2418"/>
      <c r="E143" s="2419"/>
      <c r="F143" s="2420">
        <v>100.5</v>
      </c>
      <c r="G143" s="2418"/>
      <c r="H143" s="2421"/>
      <c r="I143" s="2435" t="s">
        <v>974</v>
      </c>
      <c r="J143" s="2418">
        <v>15</v>
      </c>
      <c r="K143" s="2438">
        <f>ROUND(100+(J143-J140)*K139*100,1)</f>
        <v>102</v>
      </c>
    </row>
    <row r="144" spans="1:17" ht="15">
      <c r="B144" s="2417">
        <v>1</v>
      </c>
      <c r="C144" s="2418">
        <v>98</v>
      </c>
      <c r="D144" s="2422" t="s">
        <v>975</v>
      </c>
      <c r="E144" s="2419">
        <v>102</v>
      </c>
      <c r="F144" s="2423">
        <v>100</v>
      </c>
      <c r="G144" s="2422" t="s">
        <v>975</v>
      </c>
      <c r="H144" s="2421">
        <v>105</v>
      </c>
      <c r="I144" s="2435" t="s">
        <v>974</v>
      </c>
      <c r="J144" s="2418">
        <v>18</v>
      </c>
      <c r="K144" s="2438">
        <f>ROUND(100+(J144-J140)*K139*100,1)</f>
        <v>103.2</v>
      </c>
    </row>
    <row r="145" spans="2:11" ht="15">
      <c r="B145" s="2424" t="s">
        <v>976</v>
      </c>
      <c r="C145" s="2425">
        <f>ROUND(MAX(C139:C144)/MIN(C139:C144)-1,3)</f>
        <v>7.2999999999999995E-2</v>
      </c>
      <c r="D145" s="2426"/>
      <c r="E145" s="2426"/>
      <c r="F145" s="2427" t="s">
        <v>977</v>
      </c>
      <c r="G145" s="2428"/>
      <c r="H145" s="2429"/>
      <c r="I145" s="2440" t="s">
        <v>974</v>
      </c>
      <c r="J145" s="2441">
        <v>8</v>
      </c>
      <c r="K145" s="2442">
        <f>ROUND(100+(J145-J140)*K139*100,1)</f>
        <v>99.2</v>
      </c>
    </row>
    <row r="147" spans="2:11">
      <c r="B147" s="2402" t="s">
        <v>978</v>
      </c>
    </row>
    <row r="148" spans="2:11">
      <c r="B148" s="2402" t="s">
        <v>979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
  <sheetViews>
    <sheetView workbookViewId="0">
      <selection activeCell="M2" sqref="M2"/>
    </sheetView>
  </sheetViews>
  <sheetFormatPr defaultColWidth="9" defaultRowHeight="13.5"/>
  <cols>
    <col min="13" max="13" width="12.75" bestFit="1" customWidth="1"/>
  </cols>
  <sheetData>
    <row r="2" spans="1:13">
      <c r="A2" s="2357" t="s">
        <v>980</v>
      </c>
      <c r="B2" s="2357" t="s">
        <v>981</v>
      </c>
      <c r="L2" s="2357" t="s">
        <v>2481</v>
      </c>
      <c r="M2">
        <v>13262832555</v>
      </c>
    </row>
    <row r="3" spans="1:13">
      <c r="A3" s="2357" t="s">
        <v>2479</v>
      </c>
      <c r="B3" s="2357" t="s">
        <v>2480</v>
      </c>
    </row>
    <row r="4" spans="1:13">
      <c r="B4" s="2357" t="s">
        <v>2482</v>
      </c>
    </row>
  </sheetData>
  <phoneticPr fontId="212" type="noConversion"/>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C38" sqref="C38"/>
    </sheetView>
  </sheetViews>
  <sheetFormatPr defaultColWidth="9" defaultRowHeight="15"/>
  <cols>
    <col min="1" max="1" width="9" style="2031" customWidth="1"/>
    <col min="2" max="2" width="20.625" style="2108" customWidth="1"/>
    <col min="3" max="3" width="11.875" style="2108"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09" customWidth="1"/>
    <col min="12" max="12" width="18.375" style="2031" customWidth="1"/>
    <col min="13" max="13" width="13" style="2031" customWidth="1"/>
    <col min="14" max="14" width="13.125" style="2107" customWidth="1"/>
    <col min="15" max="15" width="5.25" style="2107" customWidth="1"/>
    <col min="16" max="16" width="24.875" style="2107" customWidth="1"/>
    <col min="17" max="17" width="13.75" style="2110" customWidth="1"/>
    <col min="18" max="18" width="26.125" style="2107" customWidth="1"/>
    <col min="19" max="19" width="1.5" style="2107" customWidth="1"/>
    <col min="20" max="37" width="9" style="2107"/>
    <col min="38" max="16384" width="9" style="2031"/>
  </cols>
  <sheetData>
    <row r="1" spans="1:37" s="2105" customFormat="1" ht="21">
      <c r="A1" s="2111" t="s">
        <v>982</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869</v>
      </c>
      <c r="B2" s="2119">
        <f ca="1">IF(C2="元",IF('数据-取费表'!B29="租赁期内按合同租金",C40+L47+J29,C40+L47),ROUND(IF('数据-取费表'!B29="租赁期内按合同租金",(C40+L47+J29)/10000,(C40+L47)/10000),0))</f>
        <v>319</v>
      </c>
      <c r="C2" s="2120" t="str">
        <f>'数据-取费表'!B3</f>
        <v>万元</v>
      </c>
      <c r="D2" s="1409"/>
      <c r="E2" s="2121"/>
      <c r="F2" s="2121"/>
      <c r="G2" s="2122"/>
      <c r="H2" s="2123"/>
      <c r="I2" s="2123"/>
      <c r="J2" s="2123"/>
      <c r="K2" s="2258"/>
      <c r="L2" s="2123"/>
      <c r="M2" s="2123"/>
    </row>
    <row r="3" spans="1:37" ht="18" customHeight="1">
      <c r="A3" s="2124" t="s">
        <v>870</v>
      </c>
      <c r="B3" s="2125">
        <f ca="1">ROUND(IF('数据-取费表'!B29="租赁期内按合同租金",(C40+L47+J29)/F43,(C40+L47)/F43),0)</f>
        <v>19098</v>
      </c>
      <c r="C3" s="2120" t="s">
        <v>983</v>
      </c>
      <c r="D3" s="1409"/>
      <c r="E3" s="2121"/>
      <c r="F3" s="2121"/>
      <c r="G3" s="2122"/>
      <c r="H3" s="2126" t="s">
        <v>984</v>
      </c>
      <c r="I3" s="2123"/>
      <c r="J3" s="2123"/>
      <c r="K3" s="2258"/>
      <c r="L3" s="2123"/>
      <c r="M3" s="2123"/>
    </row>
    <row r="4" spans="1:37" ht="18" customHeight="1">
      <c r="A4" s="2127" t="s">
        <v>985</v>
      </c>
      <c r="B4" s="2128" t="s">
        <v>986</v>
      </c>
      <c r="C4" s="2128" t="s">
        <v>987</v>
      </c>
      <c r="D4" s="2128" t="s">
        <v>988</v>
      </c>
      <c r="E4" s="2129" t="s">
        <v>989</v>
      </c>
      <c r="F4" s="2130"/>
      <c r="G4" s="2131"/>
      <c r="H4" s="2127" t="s">
        <v>985</v>
      </c>
      <c r="I4" s="2128" t="s">
        <v>986</v>
      </c>
      <c r="J4" s="2128" t="s">
        <v>987</v>
      </c>
      <c r="K4" s="2128" t="s">
        <v>988</v>
      </c>
      <c r="L4" s="2129" t="s">
        <v>989</v>
      </c>
      <c r="M4" s="2130"/>
    </row>
    <row r="5" spans="1:37" ht="18" customHeight="1">
      <c r="A5" s="2132">
        <v>1</v>
      </c>
      <c r="B5" s="2133" t="s">
        <v>990</v>
      </c>
      <c r="C5" s="2134">
        <f ca="1">C6+C10+C12</f>
        <v>135169</v>
      </c>
      <c r="D5" s="2135" t="s">
        <v>991</v>
      </c>
      <c r="E5" s="1409"/>
      <c r="F5" s="2136"/>
      <c r="G5" s="2131"/>
      <c r="H5" s="2132">
        <v>1</v>
      </c>
      <c r="I5" s="2133" t="s">
        <v>990</v>
      </c>
      <c r="J5" s="2134">
        <f ca="1">J6+J10+J12</f>
        <v>0</v>
      </c>
      <c r="K5" s="2259" t="s">
        <v>992</v>
      </c>
      <c r="L5" s="1409"/>
      <c r="M5" s="2136"/>
    </row>
    <row r="6" spans="1:37" ht="18" customHeight="1">
      <c r="A6" s="2137" t="s">
        <v>993</v>
      </c>
      <c r="B6" s="2138" t="s">
        <v>994</v>
      </c>
      <c r="C6" s="2134">
        <f>ROUND(F6*F8*F7*(1-F9),0)</f>
        <v>135000</v>
      </c>
      <c r="D6" s="2139" t="s">
        <v>995</v>
      </c>
      <c r="E6" s="2140" t="s">
        <v>996</v>
      </c>
      <c r="F6" s="2141">
        <f>'数据-取费表'!B30</f>
        <v>12500</v>
      </c>
      <c r="G6" s="2131"/>
      <c r="H6" s="2137" t="s">
        <v>993</v>
      </c>
      <c r="I6" s="2138" t="s">
        <v>994</v>
      </c>
      <c r="J6" s="2134">
        <f>ROUND(M6*M8*M7*(1-M9),0)</f>
        <v>0</v>
      </c>
      <c r="K6" s="2139" t="s">
        <v>995</v>
      </c>
      <c r="L6" s="2140" t="s">
        <v>996</v>
      </c>
      <c r="M6" s="2141">
        <f>'数据-取费表'!B37</f>
        <v>0</v>
      </c>
    </row>
    <row r="7" spans="1:37" ht="18" customHeight="1">
      <c r="A7" s="2142"/>
      <c r="B7" s="2143"/>
      <c r="C7" s="2144"/>
      <c r="D7" s="2145"/>
      <c r="E7" s="2140" t="s">
        <v>997</v>
      </c>
      <c r="F7" s="2141">
        <f>IF('数据-取费表'!B42="",IF(D1="仅计算典型户型",'数据-取费表'!E5,'数据-取费表'!B5),'数据-取费表'!B42)</f>
        <v>1</v>
      </c>
      <c r="G7" s="2131"/>
      <c r="H7" s="2146"/>
      <c r="I7" s="2143"/>
      <c r="J7" s="2144"/>
      <c r="K7" s="2145"/>
      <c r="L7" s="2140" t="s">
        <v>997</v>
      </c>
      <c r="M7" s="2141">
        <f>IF('数据-取费表'!B42="",IF(D1="仅计算典型户型",'数据-取费表'!E5,'数据-取费表'!B5),'数据-取费表'!B42)</f>
        <v>1</v>
      </c>
    </row>
    <row r="8" spans="1:37" ht="18" customHeight="1">
      <c r="A8" s="2142"/>
      <c r="B8" s="2143"/>
      <c r="C8" s="2144"/>
      <c r="D8" s="2145"/>
      <c r="E8" s="2140" t="s">
        <v>998</v>
      </c>
      <c r="F8" s="2141">
        <f>'数据-取费表'!B43</f>
        <v>12</v>
      </c>
      <c r="G8" s="2131"/>
      <c r="H8" s="2146"/>
      <c r="I8" s="2143"/>
      <c r="J8" s="2144"/>
      <c r="K8" s="2145"/>
      <c r="L8" s="2140" t="s">
        <v>999</v>
      </c>
      <c r="M8" s="2141">
        <f>'数据-取费表'!B43</f>
        <v>12</v>
      </c>
    </row>
    <row r="9" spans="1:37" ht="18" customHeight="1">
      <c r="A9" s="2142"/>
      <c r="B9" s="2143"/>
      <c r="C9" s="2144"/>
      <c r="D9" s="2147"/>
      <c r="E9" s="2140" t="s">
        <v>1000</v>
      </c>
      <c r="F9" s="2148">
        <f>'数据-取费表'!B33</f>
        <v>0.1</v>
      </c>
      <c r="G9" s="2131"/>
      <c r="H9" s="2146"/>
      <c r="I9" s="2143"/>
      <c r="J9" s="2260"/>
      <c r="K9" s="2261"/>
      <c r="L9" s="2152" t="s">
        <v>1000</v>
      </c>
      <c r="M9" s="2148">
        <f>'数据-取费表'!B39</f>
        <v>0</v>
      </c>
    </row>
    <row r="10" spans="1:37" ht="18" customHeight="1">
      <c r="A10" s="2137" t="s">
        <v>1001</v>
      </c>
      <c r="B10" s="2149" t="s">
        <v>1002</v>
      </c>
      <c r="C10" s="2150">
        <f ca="1">ROUND(IF(F10="押一",C6/12*F11,IF(F10="押二",C6/12*2*F11,IF(F10="押三",C6/12*3*F11,C11*F11))),0)</f>
        <v>169</v>
      </c>
      <c r="D10" s="2151" t="s">
        <v>1003</v>
      </c>
      <c r="E10" s="2152" t="s">
        <v>1004</v>
      </c>
      <c r="F10" s="2153" t="s">
        <v>1005</v>
      </c>
      <c r="G10" s="2131"/>
      <c r="H10" s="2137" t="s">
        <v>1001</v>
      </c>
      <c r="I10" s="2149" t="s">
        <v>1002</v>
      </c>
      <c r="J10" s="2150">
        <f ca="1">ROUND(IF(M10="押一",J6/12*M11,IF(M10="押二",J6/12*2*M11,IF(M10="押三",J6/12*3*M11,J11*M11))),0)</f>
        <v>0</v>
      </c>
      <c r="K10" s="2139" t="s">
        <v>1003</v>
      </c>
      <c r="L10" s="2152" t="s">
        <v>1004</v>
      </c>
      <c r="M10" s="2153"/>
    </row>
    <row r="11" spans="1:37" s="2106" customFormat="1" ht="18" customHeight="1">
      <c r="A11" s="2154"/>
      <c r="B11" s="2155" t="s">
        <v>1006</v>
      </c>
      <c r="C11" s="2156"/>
      <c r="D11" s="2145"/>
      <c r="E11" s="2152" t="s">
        <v>1007</v>
      </c>
      <c r="F11" s="2157">
        <f ca="1">'数据-取费表'!B31</f>
        <v>1.4999999999999999E-2</v>
      </c>
      <c r="G11" s="2158"/>
      <c r="H11" s="2159"/>
      <c r="I11" s="2155" t="s">
        <v>1008</v>
      </c>
      <c r="J11" s="2156"/>
      <c r="K11" s="2145"/>
      <c r="L11" s="2152" t="s">
        <v>1007</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1009</v>
      </c>
      <c r="B12" s="2161" t="s">
        <v>1010</v>
      </c>
      <c r="C12" s="2162"/>
      <c r="D12" s="2163"/>
      <c r="E12" s="2164"/>
      <c r="F12" s="2165"/>
      <c r="G12" s="2131"/>
      <c r="H12" s="2160" t="s">
        <v>1009</v>
      </c>
      <c r="I12" s="2161" t="s">
        <v>1010</v>
      </c>
      <c r="J12" s="2162"/>
      <c r="K12" s="2244"/>
      <c r="L12" s="2164"/>
      <c r="M12" s="2263"/>
    </row>
    <row r="13" spans="1:37" s="2106" customFormat="1" ht="18" customHeight="1">
      <c r="A13" s="2166">
        <v>2</v>
      </c>
      <c r="B13" s="2167" t="s">
        <v>1011</v>
      </c>
      <c r="C13" s="2168">
        <f ca="1">ROUND(C29*F13,0)</f>
        <v>568612</v>
      </c>
      <c r="D13" s="2169" t="s">
        <v>1012</v>
      </c>
      <c r="E13" s="2169" t="s">
        <v>1013</v>
      </c>
      <c r="F13" s="2170">
        <f>'数据-取费表'!E20</f>
        <v>0.64</v>
      </c>
      <c r="G13" s="2158"/>
      <c r="H13" s="2166">
        <v>2</v>
      </c>
      <c r="I13" s="2167" t="s">
        <v>1011</v>
      </c>
      <c r="J13" s="2260">
        <f ca="1">ROUND(J14*J15,0)</f>
        <v>0</v>
      </c>
      <c r="K13" s="2190" t="s">
        <v>1012</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1014</v>
      </c>
      <c r="B14" s="2140" t="s">
        <v>1015</v>
      </c>
      <c r="C14" s="2172">
        <f>IF(D1="仅计算典型户型",'数据-取费表'!F18,'数据-取费表'!E18)</f>
        <v>585340</v>
      </c>
      <c r="D14" s="2173" t="s">
        <v>1016</v>
      </c>
      <c r="E14" s="2174"/>
      <c r="F14" s="2175"/>
      <c r="G14" s="2158"/>
      <c r="H14" s="2171" t="s">
        <v>993</v>
      </c>
      <c r="I14" s="2140" t="s">
        <v>1017</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1018</v>
      </c>
      <c r="B15" s="2140" t="s">
        <v>1019</v>
      </c>
      <c r="C15" s="1657">
        <f>ROUND(C14*F15,0)</f>
        <v>17560</v>
      </c>
      <c r="D15" s="2176" t="s">
        <v>1020</v>
      </c>
      <c r="E15" s="2176" t="s">
        <v>1021</v>
      </c>
      <c r="F15" s="2177">
        <f>'数据-取费表'!E21</f>
        <v>0.03</v>
      </c>
      <c r="G15" s="2131"/>
      <c r="H15" s="2178" t="s">
        <v>1001</v>
      </c>
      <c r="I15" s="2164" t="s">
        <v>1013</v>
      </c>
      <c r="J15" s="2268">
        <f>'数据-取费表'!B40</f>
        <v>0</v>
      </c>
      <c r="K15" s="2269"/>
      <c r="L15" s="2270"/>
      <c r="M15" s="2271"/>
    </row>
    <row r="16" spans="1:37" s="2106" customFormat="1" ht="18" customHeight="1">
      <c r="A16" s="2171" t="s">
        <v>1022</v>
      </c>
      <c r="B16" s="2140" t="s">
        <v>1023</v>
      </c>
      <c r="C16" s="1657">
        <f>ROUND(C14*F16,0)</f>
        <v>29267</v>
      </c>
      <c r="D16" s="2140" t="s">
        <v>1020</v>
      </c>
      <c r="E16" s="2140" t="s">
        <v>1021</v>
      </c>
      <c r="F16" s="2179">
        <f>IF('数据-取费表'!B10="住宅",'数据-取费表'!E22,0)</f>
        <v>0.05</v>
      </c>
      <c r="G16" s="2158"/>
      <c r="H16" s="2166" t="s">
        <v>739</v>
      </c>
      <c r="I16" s="2167" t="s">
        <v>1024</v>
      </c>
      <c r="J16" s="2168">
        <f ca="1">ROUND(J17+J22+J23+J24,0)</f>
        <v>12260</v>
      </c>
      <c r="K16" s="2190" t="s">
        <v>1025</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1026</v>
      </c>
      <c r="B17" s="2140" t="s">
        <v>1027</v>
      </c>
      <c r="C17" s="1657">
        <f>ROUND(F17*IF(D1="仅计算典型户型",'数据-取费表'!E5,'数据-取费表'!B5),0)</f>
        <v>33448</v>
      </c>
      <c r="D17" s="2140" t="s">
        <v>1028</v>
      </c>
      <c r="E17" s="2140" t="s">
        <v>1029</v>
      </c>
      <c r="F17" s="2180">
        <f>'数据-取费表'!E23</f>
        <v>200</v>
      </c>
      <c r="G17" s="2158"/>
      <c r="H17" s="2171" t="s">
        <v>993</v>
      </c>
      <c r="I17" s="2140" t="s">
        <v>1030</v>
      </c>
      <c r="J17" s="2194">
        <f ca="1">ROUND(IF(AND(项目基本情况!B7="自然人",项目基本情况!B6="北京市"),J6*M17/(1+'数据-取费表'!F30),J18+J19+J20),0)</f>
        <v>7818</v>
      </c>
      <c r="K17" s="2173" t="s">
        <v>1031</v>
      </c>
      <c r="L17" s="2195" t="s">
        <v>1032</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1033</v>
      </c>
      <c r="B18" s="2140" t="s">
        <v>1034</v>
      </c>
      <c r="C18" s="1657">
        <f>ROUND(C14*F18,0)</f>
        <v>8780</v>
      </c>
      <c r="D18" s="2140" t="s">
        <v>1020</v>
      </c>
      <c r="E18" s="2140" t="s">
        <v>1021</v>
      </c>
      <c r="F18" s="2179">
        <f>'数据-取费表'!E24</f>
        <v>1.4999999999999999E-2</v>
      </c>
      <c r="G18" s="2131"/>
      <c r="H18" s="2171" t="s">
        <v>1014</v>
      </c>
      <c r="I18" s="2140" t="s">
        <v>1035</v>
      </c>
      <c r="J18" s="1657">
        <f>IF(项目基本情况!B7="自然人","——",ROUND(J6*M18/(1+'数据-取费表'!F30),0))</f>
        <v>0</v>
      </c>
      <c r="K18" s="2195" t="s">
        <v>1036</v>
      </c>
      <c r="L18" s="2140" t="s">
        <v>1021</v>
      </c>
      <c r="M18" s="2179">
        <f>'数据-取费表'!E29</f>
        <v>5.6000000000000001E-2</v>
      </c>
    </row>
    <row r="19" spans="1:37" s="2106" customFormat="1" ht="18" customHeight="1">
      <c r="A19" s="2171" t="s">
        <v>993</v>
      </c>
      <c r="B19" s="2140" t="s">
        <v>1037</v>
      </c>
      <c r="C19" s="1657">
        <f>SUM(C14:C18)</f>
        <v>674395</v>
      </c>
      <c r="D19" s="2181" t="s">
        <v>1038</v>
      </c>
      <c r="E19" s="1659"/>
      <c r="F19" s="2180"/>
      <c r="G19" s="2158"/>
      <c r="H19" s="2171" t="s">
        <v>1018</v>
      </c>
      <c r="I19" s="2140" t="s">
        <v>1039</v>
      </c>
      <c r="J19" s="1657">
        <f ca="1">IF(项目基本情况!B7="自然人","——",IF(K19="按租金收入计税",ROUND(J6*M19/(1+'数据-取费表'!F30),0),ROUND(C29*M19*0.7,0)))</f>
        <v>7463</v>
      </c>
      <c r="K19" s="2198"/>
      <c r="L19" s="2140" t="s">
        <v>1021</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1001</v>
      </c>
      <c r="B20" s="2140" t="s">
        <v>1040</v>
      </c>
      <c r="C20" s="1657">
        <f>ROUND(C19*F20,0)</f>
        <v>13488</v>
      </c>
      <c r="D20" s="2182" t="s">
        <v>1041</v>
      </c>
      <c r="E20" s="2140" t="s">
        <v>1021</v>
      </c>
      <c r="F20" s="2179">
        <f>'数据-取费表'!E25</f>
        <v>0.02</v>
      </c>
      <c r="G20" s="2158"/>
      <c r="H20" s="2171" t="s">
        <v>1022</v>
      </c>
      <c r="I20" s="2139" t="s">
        <v>1042</v>
      </c>
      <c r="J20" s="2201">
        <f>IF(项目基本情况!B7="自然人","——",ROUND(M20*M21,0))</f>
        <v>355</v>
      </c>
      <c r="K20" s="2202" t="s">
        <v>1043</v>
      </c>
      <c r="L20" s="2140" t="s">
        <v>1044</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1009</v>
      </c>
      <c r="B21" s="2140" t="s">
        <v>1045</v>
      </c>
      <c r="C21" s="1726">
        <f>F21</f>
        <v>0.02</v>
      </c>
      <c r="D21" s="2182" t="s">
        <v>1046</v>
      </c>
      <c r="E21" s="2140" t="s">
        <v>1047</v>
      </c>
      <c r="F21" s="2179">
        <f>'数据-取费表'!E26</f>
        <v>0.02</v>
      </c>
      <c r="G21" s="2131"/>
      <c r="H21" s="2154"/>
      <c r="I21" s="2147"/>
      <c r="J21" s="1727"/>
      <c r="K21" s="430"/>
      <c r="L21" s="2140" t="s">
        <v>1048</v>
      </c>
      <c r="M21" s="2141">
        <f>IF(D1="仅计算典型户型",'数据-取费表'!E6,'数据-取费表'!B6)</f>
        <v>35.5</v>
      </c>
    </row>
    <row r="22" spans="1:37" ht="18" customHeight="1">
      <c r="A22" s="2171" t="s">
        <v>1049</v>
      </c>
      <c r="B22" s="2140" t="s">
        <v>1050</v>
      </c>
      <c r="C22" s="1657"/>
      <c r="D22" s="2181" t="str">
        <f>IF(F23&lt;=1,"单利计息。","复利计息。")&amp;"建造成本、管理费用、销售费用产生的利息。"</f>
        <v>复利计息。建造成本、管理费用、销售费用产生的利息。</v>
      </c>
      <c r="E22" s="1659"/>
      <c r="F22" s="2180"/>
      <c r="G22" s="2131"/>
      <c r="H22" s="2171" t="s">
        <v>1001</v>
      </c>
      <c r="I22" s="2140" t="s">
        <v>1051</v>
      </c>
      <c r="J22" s="1657">
        <f ca="1">ROUND(J14*M22,0)</f>
        <v>4442</v>
      </c>
      <c r="K22" s="2195" t="s">
        <v>1052</v>
      </c>
      <c r="L22" s="2140" t="s">
        <v>1021</v>
      </c>
      <c r="M22" s="2206">
        <f>'数据-取费表'!B45</f>
        <v>5.0000000000000001E-3</v>
      </c>
    </row>
    <row r="23" spans="1:37" ht="18" customHeight="1">
      <c r="A23" s="2171" t="s">
        <v>1014</v>
      </c>
      <c r="B23" s="2140" t="s">
        <v>1053</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1054</v>
      </c>
      <c r="F23" s="2184">
        <f>'数据-取费表'!B22</f>
        <v>2</v>
      </c>
      <c r="G23" s="2131"/>
      <c r="H23" s="2171" t="s">
        <v>1009</v>
      </c>
      <c r="I23" s="2140" t="s">
        <v>1055</v>
      </c>
      <c r="J23" s="1657">
        <f ca="1">ROUND(J13*M23,0)</f>
        <v>0</v>
      </c>
      <c r="K23" s="2195" t="s">
        <v>1056</v>
      </c>
      <c r="L23" s="2140" t="s">
        <v>1021</v>
      </c>
      <c r="M23" s="2207">
        <f>'数据-取费表'!B46</f>
        <v>1E-3</v>
      </c>
    </row>
    <row r="24" spans="1:37" s="2106" customFormat="1" ht="18" customHeight="1">
      <c r="A24" s="2171" t="s">
        <v>1018</v>
      </c>
      <c r="B24" s="2140" t="s">
        <v>1057</v>
      </c>
      <c r="C24" s="1657">
        <f ca="1">ROUND(IF('数据-取费表'!B24&lt;=1,F21*F24*F23/2,F21*(POWER((1+F24),F23/2)-1)),4)</f>
        <v>8.0000000000000004E-4</v>
      </c>
      <c r="D24" s="2183" t="str">
        <f>IF(F23&lt;=1,"销售费用×利率×(建设周期÷2)","销售费用×((1+利率)^(建设周期÷2)-1)")</f>
        <v>销售费用×((1+利率)^(建设周期÷2)-1)</v>
      </c>
      <c r="E24" s="2140" t="s">
        <v>1058</v>
      </c>
      <c r="F24" s="2185">
        <f ca="1">'数据-取费表'!E27</f>
        <v>4.2000000000000003E-2</v>
      </c>
      <c r="G24" s="2158"/>
      <c r="H24" s="2178" t="s">
        <v>1049</v>
      </c>
      <c r="I24" s="2164" t="s">
        <v>1040</v>
      </c>
      <c r="J24" s="2186">
        <f ca="1">ROUND(J5*M24,0)</f>
        <v>0</v>
      </c>
      <c r="K24" s="2187" t="s">
        <v>1059</v>
      </c>
      <c r="L24" s="2164" t="s">
        <v>1021</v>
      </c>
      <c r="M24" s="2165">
        <f>'数据-取费表'!B47</f>
        <v>2.5000000000000001E-2</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1060</v>
      </c>
      <c r="B25" s="2140" t="s">
        <v>1061</v>
      </c>
      <c r="C25" s="1657"/>
      <c r="D25" s="2181" t="s">
        <v>1062</v>
      </c>
      <c r="E25" s="1659"/>
      <c r="F25" s="2180"/>
      <c r="G25" s="2158"/>
      <c r="H25" s="2166" t="s">
        <v>742</v>
      </c>
      <c r="I25" s="2208" t="s">
        <v>1063</v>
      </c>
      <c r="J25" s="2168">
        <f ca="1">J5-J16</f>
        <v>-12260</v>
      </c>
      <c r="K25" s="2209" t="s">
        <v>1064</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1014</v>
      </c>
      <c r="B26" s="2140" t="s">
        <v>1065</v>
      </c>
      <c r="C26" s="1657">
        <f>ROUND((C19+C20)*F26,0)</f>
        <v>103182</v>
      </c>
      <c r="D26" s="2182" t="s">
        <v>1066</v>
      </c>
      <c r="E26" s="2152" t="s">
        <v>1067</v>
      </c>
      <c r="F26" s="2148">
        <f>'数据-取费表'!E28</f>
        <v>0.15</v>
      </c>
      <c r="G26" s="2107"/>
      <c r="H26" s="2132" t="s">
        <v>768</v>
      </c>
      <c r="I26" s="2133" t="s">
        <v>1068</v>
      </c>
      <c r="J26" s="2134">
        <f ca="1">IF(J5&lt;&gt;0,ROUND(J25*(1-((1+M28)/(1+M26))^M27)/(M26-M28),0),0)</f>
        <v>0</v>
      </c>
      <c r="K26" s="2202" t="s">
        <v>1069</v>
      </c>
      <c r="L26" s="2140" t="s">
        <v>1070</v>
      </c>
      <c r="M26" s="2148">
        <f>'数据-取费表'!B16</f>
        <v>4.4999999999999998E-2</v>
      </c>
    </row>
    <row r="27" spans="1:37" ht="18" customHeight="1">
      <c r="A27" s="2171" t="s">
        <v>1018</v>
      </c>
      <c r="B27" s="2140" t="s">
        <v>1071</v>
      </c>
      <c r="C27" s="1657">
        <f>ROUND(F21*F26,4)</f>
        <v>3.0000000000000001E-3</v>
      </c>
      <c r="D27" s="2182" t="s">
        <v>1072</v>
      </c>
      <c r="E27" s="2176"/>
      <c r="F27" s="2177"/>
      <c r="G27" s="2107"/>
      <c r="H27" s="2146"/>
      <c r="I27" s="2143"/>
      <c r="J27" s="2144"/>
      <c r="K27" s="2213" t="s">
        <v>1073</v>
      </c>
      <c r="L27" s="2140" t="s">
        <v>1074</v>
      </c>
      <c r="M27" s="2215" t="str">
        <f>'数据-取费表'!B41</f>
        <v>——</v>
      </c>
    </row>
    <row r="28" spans="1:37" ht="18" customHeight="1">
      <c r="A28" s="2171" t="s">
        <v>1075</v>
      </c>
      <c r="B28" s="2140" t="s">
        <v>1076</v>
      </c>
      <c r="C28" s="1657">
        <f>ROUND(F28/(1+'数据-取费表'!F30),4)</f>
        <v>5.33E-2</v>
      </c>
      <c r="D28" s="2182" t="s">
        <v>1077</v>
      </c>
      <c r="E28" s="2140" t="s">
        <v>1021</v>
      </c>
      <c r="F28" s="2179">
        <f>'数据-取费表'!E29</f>
        <v>5.6000000000000001E-2</v>
      </c>
      <c r="G28" s="2107"/>
      <c r="H28" s="2159"/>
      <c r="I28" s="2217"/>
      <c r="J28" s="2168"/>
      <c r="K28" s="430"/>
      <c r="L28" s="2140" t="s">
        <v>1078</v>
      </c>
      <c r="M28" s="2148">
        <f>'数据-取费表'!B38</f>
        <v>0</v>
      </c>
    </row>
    <row r="29" spans="1:37" ht="18" customHeight="1">
      <c r="A29" s="2178" t="s">
        <v>1079</v>
      </c>
      <c r="B29" s="2164" t="s">
        <v>1080</v>
      </c>
      <c r="C29" s="2186">
        <f ca="1">ROUND((C19+C20+C23+C26)/(1-F21-C24-C27-C28),0)</f>
        <v>888456</v>
      </c>
      <c r="D29" s="2187"/>
      <c r="E29" s="2164"/>
      <c r="F29" s="2188"/>
      <c r="G29" s="2107"/>
      <c r="H29" s="2189" t="s">
        <v>1081</v>
      </c>
      <c r="I29" s="2218" t="s">
        <v>1082</v>
      </c>
      <c r="J29" s="2219">
        <f ca="1">ROUND(J26/(1+F40)^F41,0)</f>
        <v>0</v>
      </c>
      <c r="K29" s="2220" t="s">
        <v>1083</v>
      </c>
      <c r="L29" s="2221"/>
      <c r="M29" s="2222">
        <f>IF(D1="仅计算典型户型",'数据-取费表'!E5,'数据-取费表'!B5)</f>
        <v>167.24</v>
      </c>
    </row>
    <row r="30" spans="1:37" ht="18" customHeight="1">
      <c r="A30" s="2166" t="s">
        <v>739</v>
      </c>
      <c r="B30" s="2167" t="s">
        <v>1024</v>
      </c>
      <c r="C30" s="2168">
        <f ca="1">ROUND(C31+C36+C37+C38,0)</f>
        <v>31374</v>
      </c>
      <c r="D30" s="2190" t="s">
        <v>1025</v>
      </c>
      <c r="E30" s="2191"/>
      <c r="F30" s="2192"/>
      <c r="G30" s="2107"/>
      <c r="H30" s="2193"/>
      <c r="I30" s="2272"/>
      <c r="J30" s="2273"/>
      <c r="K30" s="2274"/>
      <c r="L30" s="2275"/>
      <c r="M30" s="2276"/>
    </row>
    <row r="31" spans="1:37" ht="18" customHeight="1">
      <c r="A31" s="2171" t="s">
        <v>993</v>
      </c>
      <c r="B31" s="2140" t="s">
        <v>1030</v>
      </c>
      <c r="C31" s="2194">
        <f>ROUND(IF(AND(项目基本情况!B7="自然人",项目基本情况!B6="北京市"),C6*F31/(1+'数据-取费表'!F30),C32+C33+C34),0)</f>
        <v>22984</v>
      </c>
      <c r="D31" s="2173" t="s">
        <v>1031</v>
      </c>
      <c r="E31" s="2195" t="s">
        <v>1032</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1014</v>
      </c>
      <c r="B32" s="2140" t="s">
        <v>1035</v>
      </c>
      <c r="C32" s="1657">
        <f>IF(项目基本情况!B7="自然人","——",ROUND(C6*F32/(1+'数据-取费表'!F30),0))</f>
        <v>7200</v>
      </c>
      <c r="D32" s="2195" t="s">
        <v>1036</v>
      </c>
      <c r="E32" s="2140" t="s">
        <v>1021</v>
      </c>
      <c r="F32" s="2185">
        <f>'数据-取费表'!E29</f>
        <v>5.6000000000000001E-2</v>
      </c>
      <c r="G32" s="2107"/>
      <c r="H32" s="2197"/>
      <c r="I32" s="2277"/>
      <c r="J32" s="2278"/>
      <c r="K32" s="2279"/>
      <c r="L32" s="2280"/>
      <c r="M32" s="2281"/>
    </row>
    <row r="33" spans="1:18" ht="18" customHeight="1">
      <c r="A33" s="2171" t="s">
        <v>1018</v>
      </c>
      <c r="B33" s="2140" t="s">
        <v>1039</v>
      </c>
      <c r="C33" s="1657">
        <f>IF(项目基本情况!B7="自然人","——",IF(D33="按租金收入计税",ROUND(C6*F33/(1+'数据-取费表'!F30),0),IF(D33="按房产原值计税",ROUND(C29*F33*0.7,0),'数据-取费表'!B44)))</f>
        <v>15429</v>
      </c>
      <c r="D33" s="2198" t="s">
        <v>1084</v>
      </c>
      <c r="E33" s="2140" t="s">
        <v>1021</v>
      </c>
      <c r="F33" s="2199">
        <f>IF(D33="按票据","——",IF(D33="按租金收入计税",'数据-取费表'!E39,'数据-取费表'!E38))</f>
        <v>0.12</v>
      </c>
      <c r="G33" s="2107"/>
      <c r="H33" s="2200"/>
      <c r="I33" s="2282" t="s">
        <v>1085</v>
      </c>
      <c r="J33" s="2283"/>
      <c r="K33" s="2284"/>
      <c r="L33" s="2200"/>
      <c r="M33" s="2200"/>
    </row>
    <row r="34" spans="1:18" ht="18" customHeight="1">
      <c r="A34" s="2137" t="s">
        <v>1022</v>
      </c>
      <c r="B34" s="2139" t="s">
        <v>1042</v>
      </c>
      <c r="C34" s="2201">
        <f>IF(项目基本情况!B7="自然人","——",ROUND(F34*F35,0))</f>
        <v>355</v>
      </c>
      <c r="D34" s="2202" t="s">
        <v>1043</v>
      </c>
      <c r="E34" s="2140" t="s">
        <v>1044</v>
      </c>
      <c r="F34" s="2203">
        <f>'数据-取费表'!E40</f>
        <v>10</v>
      </c>
      <c r="G34" s="2107"/>
      <c r="H34" s="2193"/>
      <c r="I34" s="1145" t="s">
        <v>1086</v>
      </c>
      <c r="J34" s="2285">
        <f ca="1">ROUND(C13*J35,0)</f>
        <v>36960</v>
      </c>
      <c r="K34" s="2286"/>
      <c r="L34" s="2287"/>
      <c r="M34" s="2287"/>
    </row>
    <row r="35" spans="1:18" ht="24.6" customHeight="1">
      <c r="A35" s="2204"/>
      <c r="B35" s="2147"/>
      <c r="C35" s="1727"/>
      <c r="D35" s="430"/>
      <c r="E35" s="2140" t="s">
        <v>1048</v>
      </c>
      <c r="F35" s="2141">
        <f>IF(D1="仅计算典型户型",'数据-取费表'!E6,'数据-取费表'!B6)</f>
        <v>35.5</v>
      </c>
      <c r="G35" s="2107" t="s">
        <v>1087</v>
      </c>
      <c r="H35" s="2193"/>
      <c r="I35" s="2288" t="s">
        <v>1088</v>
      </c>
      <c r="J35" s="2289">
        <f>'数据-取费表'!B18</f>
        <v>6.5000000000000002E-2</v>
      </c>
      <c r="K35" s="2284"/>
      <c r="L35" s="2200"/>
      <c r="M35" s="2200"/>
    </row>
    <row r="36" spans="1:18" ht="18" customHeight="1">
      <c r="A36" s="2205" t="s">
        <v>1001</v>
      </c>
      <c r="B36" s="2140" t="s">
        <v>1051</v>
      </c>
      <c r="C36" s="1657">
        <f ca="1">ROUND(C29*F36,0)</f>
        <v>4442</v>
      </c>
      <c r="D36" s="2195" t="s">
        <v>1089</v>
      </c>
      <c r="E36" s="2140" t="s">
        <v>1021</v>
      </c>
      <c r="F36" s="2206">
        <f>'数据-取费表'!B45</f>
        <v>5.0000000000000001E-3</v>
      </c>
      <c r="G36" s="2107"/>
      <c r="H36" s="2200"/>
      <c r="I36" s="2290" t="s">
        <v>1090</v>
      </c>
      <c r="J36" s="2291"/>
      <c r="K36" s="2292"/>
      <c r="L36" s="2200"/>
      <c r="M36" s="2200"/>
    </row>
    <row r="37" spans="1:18" ht="18" customHeight="1">
      <c r="A37" s="2171" t="s">
        <v>1009</v>
      </c>
      <c r="B37" s="2140" t="s">
        <v>1055</v>
      </c>
      <c r="C37" s="1657">
        <f ca="1">ROUND(C13*F37,0)</f>
        <v>569</v>
      </c>
      <c r="D37" s="2195" t="s">
        <v>1056</v>
      </c>
      <c r="E37" s="2140" t="s">
        <v>1021</v>
      </c>
      <c r="F37" s="2207">
        <f>'数据-取费表'!B46</f>
        <v>1E-3</v>
      </c>
      <c r="G37" s="2107"/>
      <c r="H37" s="2200"/>
      <c r="I37" s="2100" t="s">
        <v>1091</v>
      </c>
      <c r="J37" s="2293"/>
      <c r="K37" s="2292"/>
      <c r="L37" s="2200"/>
      <c r="M37" s="2200"/>
    </row>
    <row r="38" spans="1:18" ht="18" customHeight="1">
      <c r="A38" s="2178" t="s">
        <v>1049</v>
      </c>
      <c r="B38" s="2164" t="s">
        <v>1040</v>
      </c>
      <c r="C38" s="2186">
        <f ca="1">ROUND(C5*F38,0)</f>
        <v>3379</v>
      </c>
      <c r="D38" s="2187" t="s">
        <v>1059</v>
      </c>
      <c r="E38" s="2164" t="s">
        <v>1021</v>
      </c>
      <c r="F38" s="2165">
        <f>'数据-取费表'!B47</f>
        <v>2.5000000000000001E-2</v>
      </c>
      <c r="G38" s="2107"/>
      <c r="H38" s="2200"/>
      <c r="I38" s="1145" t="s">
        <v>1092</v>
      </c>
      <c r="J38" s="2103">
        <f ca="1">ROUND(J34/C39,3)</f>
        <v>0.35599999999999998</v>
      </c>
      <c r="K38" s="2294"/>
      <c r="L38" s="2200"/>
      <c r="M38" s="2200"/>
    </row>
    <row r="39" spans="1:18" ht="18" customHeight="1">
      <c r="A39" s="2166" t="s">
        <v>742</v>
      </c>
      <c r="B39" s="2208" t="s">
        <v>1063</v>
      </c>
      <c r="C39" s="2168">
        <f ca="1">C5-C30</f>
        <v>103795</v>
      </c>
      <c r="D39" s="2209" t="s">
        <v>1064</v>
      </c>
      <c r="E39" s="2210"/>
      <c r="F39" s="2211"/>
      <c r="G39" s="2107"/>
      <c r="H39" s="2200"/>
      <c r="I39" s="1145" t="s">
        <v>1093</v>
      </c>
      <c r="J39" s="2103">
        <f ca="1">1-J38</f>
        <v>0.64400000000000002</v>
      </c>
      <c r="K39" s="2294"/>
      <c r="L39" s="2200"/>
      <c r="M39" s="2200"/>
    </row>
    <row r="40" spans="1:18" s="2107" customFormat="1" ht="18" customHeight="1">
      <c r="A40" s="2132" t="s">
        <v>768</v>
      </c>
      <c r="B40" s="2133" t="s">
        <v>1094</v>
      </c>
      <c r="C40" s="2134">
        <f ca="1">ROUND(C39*(1-((1+F42)/(1+F40))^F41)/(F40-F42),0)</f>
        <v>3193901</v>
      </c>
      <c r="D40" s="2202" t="s">
        <v>1069</v>
      </c>
      <c r="E40" s="2140" t="s">
        <v>1070</v>
      </c>
      <c r="F40" s="2148">
        <f>'数据-取费表'!B16</f>
        <v>4.4999999999999998E-2</v>
      </c>
      <c r="H40" s="2212"/>
      <c r="I40" s="2100" t="s">
        <v>1095</v>
      </c>
      <c r="J40" s="2101"/>
      <c r="K40" s="2294"/>
      <c r="L40" s="2212"/>
      <c r="M40" s="2212"/>
      <c r="Q40" s="2110"/>
    </row>
    <row r="41" spans="1:18" s="2107" customFormat="1" ht="18" customHeight="1">
      <c r="A41" s="2146"/>
      <c r="B41" s="2143"/>
      <c r="C41" s="2144"/>
      <c r="D41" s="2213" t="s">
        <v>1073</v>
      </c>
      <c r="E41" s="2214" t="s">
        <v>1096</v>
      </c>
      <c r="F41" s="2215">
        <f>IF('数据-取费表'!B29="租赁期内按合同租金",'数据-取费表'!B35,IF(E41="收益年期(n)",'数据-取费表'!B34,'数据-取费表'!B13))</f>
        <v>42.82</v>
      </c>
      <c r="H41" s="2216"/>
      <c r="I41" s="2102" t="s">
        <v>1097</v>
      </c>
      <c r="J41" s="2103">
        <f ca="1">ROUND(C13/C40,3)</f>
        <v>0.17799999999999999</v>
      </c>
      <c r="K41" s="2292"/>
      <c r="L41" s="2216"/>
      <c r="M41" s="2216"/>
      <c r="Q41" s="2110"/>
    </row>
    <row r="42" spans="1:18" s="2107" customFormat="1" ht="18" customHeight="1">
      <c r="A42" s="2159"/>
      <c r="B42" s="2217"/>
      <c r="C42" s="2168"/>
      <c r="D42" s="430"/>
      <c r="E42" s="2140" t="s">
        <v>1078</v>
      </c>
      <c r="F42" s="2148">
        <f>'数据-取费表'!B32</f>
        <v>0.03</v>
      </c>
      <c r="H42" s="2216"/>
      <c r="I42" s="2102" t="s">
        <v>1098</v>
      </c>
      <c r="J42" s="2104">
        <f ca="1">1-J41</f>
        <v>0.82200000000000006</v>
      </c>
      <c r="K42" s="2292"/>
      <c r="L42" s="2216"/>
      <c r="M42" s="2216"/>
      <c r="Q42" s="2110"/>
    </row>
    <row r="43" spans="1:18" s="2107" customFormat="1" ht="18" customHeight="1">
      <c r="A43" s="2189" t="s">
        <v>1081</v>
      </c>
      <c r="B43" s="2218" t="s">
        <v>1099</v>
      </c>
      <c r="C43" s="2219">
        <f ca="1">ROUND(C40/F43,0)</f>
        <v>19098</v>
      </c>
      <c r="D43" s="2220" t="s">
        <v>1100</v>
      </c>
      <c r="E43" s="2221" t="s">
        <v>1101</v>
      </c>
      <c r="F43" s="2222">
        <f>IF(D1="仅计算典型户型",'数据-取费表'!E5,'数据-取费表'!B5)</f>
        <v>167.24</v>
      </c>
      <c r="G43" s="2223"/>
      <c r="H43" s="2216"/>
      <c r="I43" s="2216"/>
      <c r="J43" s="2216"/>
      <c r="K43" s="2292"/>
      <c r="L43" s="2216"/>
      <c r="M43" s="2216"/>
      <c r="O43" s="2295" t="s">
        <v>1102</v>
      </c>
      <c r="P43" s="2296"/>
      <c r="Q43" s="2311"/>
      <c r="R43" s="2296"/>
    </row>
    <row r="44" spans="1:18" s="2107" customFormat="1" ht="18" customHeight="1">
      <c r="A44" s="2015"/>
      <c r="B44" s="2015"/>
      <c r="C44" s="2224"/>
      <c r="D44" s="2015"/>
      <c r="E44" s="2015"/>
      <c r="F44" s="2015"/>
      <c r="G44" s="2223"/>
      <c r="K44" s="2297"/>
      <c r="O44" s="2298" t="s">
        <v>1103</v>
      </c>
      <c r="P44" s="2299" t="s">
        <v>1104</v>
      </c>
      <c r="Q44" s="2346" t="s">
        <v>1105</v>
      </c>
      <c r="R44" s="2347" t="s">
        <v>1106</v>
      </c>
    </row>
    <row r="45" spans="1:18" s="2107" customFormat="1" ht="18" customHeight="1">
      <c r="A45" s="2015"/>
      <c r="B45" s="2015"/>
      <c r="C45" s="2224"/>
      <c r="D45" s="2015"/>
      <c r="E45" s="2015"/>
      <c r="F45" s="2015"/>
      <c r="G45" s="2225"/>
      <c r="K45" s="2297"/>
      <c r="O45" s="2300" t="s">
        <v>1107</v>
      </c>
      <c r="P45" s="2301" t="s">
        <v>1108</v>
      </c>
      <c r="Q45" s="2348">
        <f ca="1">C40+J29</f>
        <v>3193901</v>
      </c>
      <c r="R45" s="2349" t="s">
        <v>1109</v>
      </c>
    </row>
    <row r="46" spans="1:18" s="2107" customFormat="1" ht="18" customHeight="1">
      <c r="A46" s="2015"/>
      <c r="D46" s="2015"/>
      <c r="E46" s="2015"/>
      <c r="F46" s="2015"/>
      <c r="K46" s="2297"/>
      <c r="O46" s="2300" t="s">
        <v>1110</v>
      </c>
      <c r="P46" s="2301" t="s">
        <v>1111</v>
      </c>
      <c r="Q46" s="2348" t="str">
        <f>J61</f>
        <v>0</v>
      </c>
      <c r="R46" s="2349" t="s">
        <v>1112</v>
      </c>
    </row>
    <row r="47" spans="1:18" s="2107" customFormat="1" ht="21">
      <c r="A47" s="2226" t="s">
        <v>1113</v>
      </c>
      <c r="C47" s="2227">
        <f ca="1">IF(C2="元",C69-C40,ROUND((C69-C40)/10000,0))</f>
        <v>-470</v>
      </c>
      <c r="D47" s="2228" t="str">
        <f>C2</f>
        <v>万元</v>
      </c>
      <c r="E47" s="2015"/>
      <c r="F47" s="2015"/>
      <c r="I47" s="2302" t="s">
        <v>1114</v>
      </c>
      <c r="J47" s="2303"/>
      <c r="K47" s="2304"/>
      <c r="L47" s="2305">
        <f>IF(M48="住宅",0,IF(L49&gt;J52,L61,J61))</f>
        <v>0</v>
      </c>
      <c r="O47" s="2306" t="s">
        <v>1115</v>
      </c>
      <c r="P47" s="2301" t="s">
        <v>1116</v>
      </c>
      <c r="Q47" s="2348">
        <f ca="1">C29</f>
        <v>888456</v>
      </c>
      <c r="R47" s="2349" t="s">
        <v>1109</v>
      </c>
    </row>
    <row r="48" spans="1:18" s="2107" customFormat="1">
      <c r="A48" s="2127" t="s">
        <v>985</v>
      </c>
      <c r="B48" s="2128" t="s">
        <v>986</v>
      </c>
      <c r="C48" s="2128" t="s">
        <v>987</v>
      </c>
      <c r="D48" s="2128" t="s">
        <v>988</v>
      </c>
      <c r="E48" s="2229" t="s">
        <v>989</v>
      </c>
      <c r="F48" s="2230"/>
      <c r="I48" s="2307" t="s">
        <v>1117</v>
      </c>
      <c r="J48" s="2308" t="s">
        <v>918</v>
      </c>
      <c r="K48" s="2309" t="s">
        <v>1118</v>
      </c>
      <c r="L48" s="2310">
        <f>'数据-取费表'!B11</f>
        <v>70</v>
      </c>
      <c r="M48" s="2311" t="str">
        <f>IF('数据-取费表'!B10="住宅","住宅","非住宅")</f>
        <v>住宅</v>
      </c>
      <c r="O48" s="2306" t="s">
        <v>1119</v>
      </c>
      <c r="P48" s="2301" t="s">
        <v>1120</v>
      </c>
      <c r="Q48" s="2350" t="e">
        <f>J59</f>
        <v>#VALUE!</v>
      </c>
      <c r="R48" s="2349"/>
    </row>
    <row r="49" spans="1:18" s="2107" customFormat="1">
      <c r="A49" s="2231" t="s">
        <v>1121</v>
      </c>
      <c r="B49" s="2133" t="s">
        <v>990</v>
      </c>
      <c r="C49" s="2232">
        <f ca="1">C50+C54+C56</f>
        <v>0</v>
      </c>
      <c r="D49" s="2233"/>
      <c r="E49" s="2234"/>
      <c r="F49" s="2180"/>
      <c r="I49" s="2312" t="s">
        <v>1122</v>
      </c>
      <c r="J49" s="2313" t="s">
        <v>1123</v>
      </c>
      <c r="K49" s="2314" t="s">
        <v>1124</v>
      </c>
      <c r="L49" s="2315">
        <f>'数据-取费表'!B13</f>
        <v>42.82</v>
      </c>
      <c r="O49" s="2306" t="s">
        <v>1125</v>
      </c>
      <c r="P49" s="2301" t="s">
        <v>1126</v>
      </c>
      <c r="Q49" s="2350">
        <f>J53</f>
        <v>7.0000000000000007E-2</v>
      </c>
      <c r="R49" s="2349"/>
    </row>
    <row r="50" spans="1:18" s="2107" customFormat="1">
      <c r="A50" s="2235" t="s">
        <v>993</v>
      </c>
      <c r="B50" s="2138" t="s">
        <v>1127</v>
      </c>
      <c r="C50" s="2134">
        <f>ROUND(F50*F52*F51*(1-F53),0)</f>
        <v>0</v>
      </c>
      <c r="D50" s="2236" t="s">
        <v>1128</v>
      </c>
      <c r="E50" s="2237" t="s">
        <v>1129</v>
      </c>
      <c r="F50" s="2238"/>
      <c r="I50" s="2312" t="s">
        <v>1130</v>
      </c>
      <c r="J50" s="2315">
        <f>'数据-取费表'!B27</f>
        <v>1997</v>
      </c>
      <c r="K50" s="2316" t="s">
        <v>1131</v>
      </c>
      <c r="L50" s="2317"/>
      <c r="O50" s="2306" t="s">
        <v>1132</v>
      </c>
      <c r="P50" s="2301" t="s">
        <v>1133</v>
      </c>
      <c r="Q50" s="2348">
        <f>J54</f>
        <v>42.82</v>
      </c>
      <c r="R50" s="2349" t="s">
        <v>1134</v>
      </c>
    </row>
    <row r="51" spans="1:18" s="2107" customFormat="1">
      <c r="A51" s="2146"/>
      <c r="B51" s="2143"/>
      <c r="C51" s="2144"/>
      <c r="D51" s="2145"/>
      <c r="E51" s="2176" t="s">
        <v>997</v>
      </c>
      <c r="F51" s="2239">
        <f>F7</f>
        <v>1</v>
      </c>
      <c r="I51" s="2312" t="s">
        <v>1135</v>
      </c>
      <c r="J51" s="2318">
        <f>SUMPRODUCT((I64:I66=J48)*(J63:L63=J49)*(J64:L66))</f>
        <v>60</v>
      </c>
      <c r="K51" s="2316" t="s">
        <v>1136</v>
      </c>
      <c r="L51" s="2317"/>
      <c r="O51" s="2300" t="s">
        <v>1137</v>
      </c>
      <c r="P51" s="2301" t="str">
        <f>IF(C2="元","收益价值(元)","收益价值(万元)")</f>
        <v>收益价值(万元)</v>
      </c>
      <c r="Q51" s="2348">
        <f ca="1">ROUND(IF(C2="元",Q45+Q46,(Q45+Q46)/10000),0)</f>
        <v>319</v>
      </c>
      <c r="R51" s="2349" t="s">
        <v>1138</v>
      </c>
    </row>
    <row r="52" spans="1:18" s="2107" customFormat="1" ht="15.75">
      <c r="A52" s="2146"/>
      <c r="B52" s="2143"/>
      <c r="C52" s="2144"/>
      <c r="D52" s="2145"/>
      <c r="E52" s="2140" t="s">
        <v>999</v>
      </c>
      <c r="F52" s="2141">
        <f>F8</f>
        <v>12</v>
      </c>
      <c r="I52" s="2319" t="s">
        <v>1139</v>
      </c>
      <c r="J52" s="2320">
        <f>IF(J50="",J51,J50+J51-YEAR('数据-取费表'!B2))</f>
        <v>35</v>
      </c>
      <c r="K52" s="2321" t="s">
        <v>1140</v>
      </c>
      <c r="L52" s="2322">
        <f ca="1">ROUND(-PV('数据-取费表'!B15,J52,(C40-C13*J35)),0)</f>
        <v>58923087</v>
      </c>
      <c r="O52" s="2295" t="s">
        <v>1141</v>
      </c>
      <c r="P52" s="2296"/>
      <c r="Q52" s="2311"/>
      <c r="R52" s="2296"/>
    </row>
    <row r="53" spans="1:18" s="2107" customFormat="1">
      <c r="A53" s="2159"/>
      <c r="B53" s="2217"/>
      <c r="C53" s="2168"/>
      <c r="D53" s="2147"/>
      <c r="E53" s="2140" t="s">
        <v>1000</v>
      </c>
      <c r="F53" s="2240"/>
      <c r="I53" s="2323" t="s">
        <v>1142</v>
      </c>
      <c r="J53" s="2324">
        <f>'数据-取费表'!B17</f>
        <v>7.0000000000000007E-2</v>
      </c>
      <c r="K53" s="2323" t="s">
        <v>1143</v>
      </c>
      <c r="L53" s="2324"/>
      <c r="O53" s="2298" t="s">
        <v>1103</v>
      </c>
      <c r="P53" s="2299" t="s">
        <v>1104</v>
      </c>
      <c r="Q53" s="2346" t="s">
        <v>1105</v>
      </c>
      <c r="R53" s="2347" t="s">
        <v>1106</v>
      </c>
    </row>
    <row r="54" spans="1:18" s="2107" customFormat="1" ht="29.25" customHeight="1">
      <c r="A54" s="2137" t="s">
        <v>1001</v>
      </c>
      <c r="B54" s="2149" t="s">
        <v>1002</v>
      </c>
      <c r="C54" s="2150">
        <f ca="1">ROUND(IF(F54="押一",C50/12*F11,IF(F54="押二",C50/12*2*F11,IF(F54="押三",C50/12*3*F11,C55*F11))),0)</f>
        <v>0</v>
      </c>
      <c r="D54" s="2151" t="s">
        <v>1003</v>
      </c>
      <c r="E54" s="2152" t="s">
        <v>1004</v>
      </c>
      <c r="F54" s="2153"/>
      <c r="I54" s="2325" t="s">
        <v>1144</v>
      </c>
      <c r="J54" s="2326">
        <f>IF(M48="住宅",IF(E1="——",MAX(J52,L49),MAX(J52,L49-'数据-取费表'!B26)),IF(E1="——",MIN(J52,L49),MIN(J52,L49-'数据-取费表'!B26)))</f>
        <v>42.82</v>
      </c>
      <c r="K54" s="3580" t="s">
        <v>1145</v>
      </c>
      <c r="L54" s="3581"/>
      <c r="O54" s="2300" t="s">
        <v>1107</v>
      </c>
      <c r="P54" s="2301" t="s">
        <v>1108</v>
      </c>
      <c r="Q54" s="2348">
        <f ca="1">C40+J29</f>
        <v>3193901</v>
      </c>
      <c r="R54" s="2349" t="s">
        <v>1109</v>
      </c>
    </row>
    <row r="55" spans="1:18" s="2107" customFormat="1" ht="19.5">
      <c r="A55" s="2137"/>
      <c r="B55" s="2241" t="s">
        <v>1008</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1110</v>
      </c>
      <c r="P55" s="2301" t="s">
        <v>1146</v>
      </c>
      <c r="Q55" s="2348">
        <f>L61</f>
        <v>0</v>
      </c>
      <c r="R55" s="2349" t="s">
        <v>1147</v>
      </c>
    </row>
    <row r="56" spans="1:18" s="2107" customFormat="1" ht="19.5">
      <c r="A56" s="2160" t="s">
        <v>1009</v>
      </c>
      <c r="B56" s="2161" t="s">
        <v>1010</v>
      </c>
      <c r="C56" s="2162"/>
      <c r="D56" s="2244"/>
      <c r="E56" s="2245"/>
      <c r="F56" s="2246"/>
      <c r="I56" s="2328" t="s">
        <v>1148</v>
      </c>
      <c r="J56" s="2329" t="e">
        <f>ROUND(IF(J48="钢混",J58/J51,1-(1-2%)*(J51-J58)/J51),3)</f>
        <v>#VALUE!</v>
      </c>
      <c r="K56" s="2330" t="s">
        <v>1149</v>
      </c>
      <c r="L56" s="2331"/>
      <c r="O56" s="2306" t="s">
        <v>1115</v>
      </c>
      <c r="P56" s="2301" t="s">
        <v>1150</v>
      </c>
      <c r="Q56" s="2348">
        <f>IF(L56="比较法",L50,IF(L56="基准地价",L51,0))</f>
        <v>0</v>
      </c>
      <c r="R56" s="2349" t="s">
        <v>1109</v>
      </c>
    </row>
    <row r="57" spans="1:18" s="2107" customFormat="1" ht="42.75">
      <c r="A57" s="2166">
        <v>2</v>
      </c>
      <c r="B57" s="2167" t="s">
        <v>1011</v>
      </c>
      <c r="C57" s="2247">
        <f ca="1">C13</f>
        <v>568612</v>
      </c>
      <c r="D57" s="2248"/>
      <c r="E57" s="2249"/>
      <c r="F57" s="2250"/>
      <c r="I57" s="2332" t="s">
        <v>1151</v>
      </c>
      <c r="J57" s="2333" t="s">
        <v>932</v>
      </c>
      <c r="K57" s="2312" t="s">
        <v>1152</v>
      </c>
      <c r="L57" s="2315">
        <f>IF(L49&lt;J52,"——",L49-J52)</f>
        <v>7.82</v>
      </c>
      <c r="O57" s="2306" t="s">
        <v>1119</v>
      </c>
      <c r="P57" s="2301" t="s">
        <v>1153</v>
      </c>
      <c r="Q57" s="2350">
        <f>L53</f>
        <v>0</v>
      </c>
      <c r="R57" s="2349"/>
    </row>
    <row r="58" spans="1:18" s="2107" customFormat="1" ht="28.5">
      <c r="A58" s="2251"/>
      <c r="B58" s="2140" t="s">
        <v>1080</v>
      </c>
      <c r="C58" s="2072">
        <f ca="1">C29</f>
        <v>888456</v>
      </c>
      <c r="D58" s="2248"/>
      <c r="E58" s="2249"/>
      <c r="F58" s="2250"/>
      <c r="I58" s="2334" t="s">
        <v>1154</v>
      </c>
      <c r="J58" s="2335" t="str">
        <f>IF(OR(M48="住宅",J52&lt;L49,J57="是"),"——",J52-L49)</f>
        <v>——</v>
      </c>
      <c r="K58" s="2312" t="s">
        <v>1155</v>
      </c>
      <c r="L58" s="2315">
        <f ca="1">IF(L49&lt;J52,"——",IF(L56="比较法",L50,IF(L56="基准地价",L51,L52)))</f>
        <v>58923087</v>
      </c>
      <c r="O58" s="2306" t="s">
        <v>1125</v>
      </c>
      <c r="P58" s="2301" t="s">
        <v>1156</v>
      </c>
      <c r="Q58" s="2348" t="e">
        <f>L59</f>
        <v>#DIV/0!</v>
      </c>
      <c r="R58" s="2349" t="s">
        <v>1157</v>
      </c>
    </row>
    <row r="59" spans="1:18" s="2107" customFormat="1" ht="28.5">
      <c r="A59" s="2252" t="s">
        <v>739</v>
      </c>
      <c r="B59" s="2253" t="s">
        <v>1024</v>
      </c>
      <c r="C59" s="1612">
        <f ca="1">ROUND(C60+C65+C66+C67,0)</f>
        <v>79996</v>
      </c>
      <c r="D59" s="2254" t="s">
        <v>1025</v>
      </c>
      <c r="E59" s="1659"/>
      <c r="F59" s="2180"/>
      <c r="I59" s="2334" t="s">
        <v>1158</v>
      </c>
      <c r="J59" s="2336" t="e">
        <f>IF(J56&lt;0.4,0.4,J56)</f>
        <v>#VALUE!</v>
      </c>
      <c r="K59" s="2321" t="s">
        <v>1159</v>
      </c>
      <c r="L59" s="2315" t="e">
        <f>ROUND(POWER(1+L53,L48-L49)*(POWER(1+L53,L49)-1)/(POWER(1+L53,L48)-1),4)</f>
        <v>#DIV/0!</v>
      </c>
      <c r="O59" s="2306" t="s">
        <v>1132</v>
      </c>
      <c r="P59" s="2301" t="str">
        <f>K60</f>
        <v>建筑物剩余耐用年限下的土地年期修正系数Kn</v>
      </c>
      <c r="Q59" s="2348" t="e">
        <f>L60</f>
        <v>#DIV/0!</v>
      </c>
      <c r="R59" s="2349" t="s">
        <v>1160</v>
      </c>
    </row>
    <row r="60" spans="1:18" s="2107" customFormat="1" ht="28.5">
      <c r="A60" s="2171" t="s">
        <v>1161</v>
      </c>
      <c r="B60" s="2140" t="s">
        <v>1030</v>
      </c>
      <c r="C60" s="2194">
        <f ca="1">ROUND(IF(AND(项目基本情况!B7="自然人",项目基本情况!B6="北京市"),C50*F60/(1+'数据-取费表'!F30),C61+C62+C63),0)</f>
        <v>74985</v>
      </c>
      <c r="D60" s="2173" t="s">
        <v>1031</v>
      </c>
      <c r="E60" s="2195" t="s">
        <v>1032</v>
      </c>
      <c r="F60" s="2196" t="str">
        <f>IF(项目基本情况!B7="企业","——",IF('数据-取费表'!B10="住宅",IF(F50*F51*F52/12/(1+'数据-取费表'!F30)&gt;100000,4%,2.5%),IF(F50*F51*F52/12/(1+'数据-取费表'!F30)&gt;100000,12%,7%)))</f>
        <v>——</v>
      </c>
      <c r="I60" s="2334" t="s">
        <v>1162</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1137</v>
      </c>
      <c r="P60" s="2301" t="str">
        <f>IF(C2="元","收益价值(元)","收益价值(万元)")</f>
        <v>收益价值(万元)</v>
      </c>
      <c r="Q60" s="2348">
        <f ca="1">ROUND(IF(C2="元",Q54+Q55,(Q54+Q55)/10000),0)</f>
        <v>319</v>
      </c>
      <c r="R60" s="2349" t="s">
        <v>1138</v>
      </c>
    </row>
    <row r="61" spans="1:18" s="2107" customFormat="1" ht="15.75">
      <c r="A61" s="2171" t="s">
        <v>1163</v>
      </c>
      <c r="B61" s="2140" t="s">
        <v>1035</v>
      </c>
      <c r="C61" s="1657">
        <f ca="1">IF(项目基本情况!B7="自然人","——",ROUND(C49*F61/(1+'数据-取费表'!F30),0))</f>
        <v>0</v>
      </c>
      <c r="D61" s="2195" t="s">
        <v>1164</v>
      </c>
      <c r="E61" s="2140" t="s">
        <v>1021</v>
      </c>
      <c r="F61" s="2185">
        <f t="shared" ref="F61:F67" si="0">F32</f>
        <v>5.6000000000000001E-2</v>
      </c>
      <c r="I61" s="2337" t="s">
        <v>1165</v>
      </c>
      <c r="J61" s="2338" t="str">
        <f>IF(OR(M48="住宅",J52&lt;L49,J57="是"),"0",ROUND(J60/(1+J53)^J54,0))</f>
        <v>0</v>
      </c>
      <c r="K61" s="2339" t="s">
        <v>1166</v>
      </c>
      <c r="L61" s="2338">
        <f>IF(OR(M48="住宅",L49&lt;J52),0,ROUND(L58*(L59/L60-1),0))</f>
        <v>0</v>
      </c>
      <c r="O61" s="2295" t="s">
        <v>1167</v>
      </c>
      <c r="P61" s="2296"/>
      <c r="Q61" s="2311"/>
      <c r="R61" s="2296"/>
    </row>
    <row r="62" spans="1:18" s="2107" customFormat="1">
      <c r="A62" s="2171" t="s">
        <v>1168</v>
      </c>
      <c r="B62" s="2140" t="s">
        <v>1039</v>
      </c>
      <c r="C62" s="1657">
        <f ca="1">IF(项目基本情况!B7="自然人","——",IF(D62="按租金收入计税",ROUND(C50*F62/(1+'数据-取费表'!F30),0),IF(D62="按房产原值计税",ROUND(C58*F62*0.7,0),'数据-取费表'!B44)))</f>
        <v>74630</v>
      </c>
      <c r="D62" s="2198" t="s">
        <v>1169</v>
      </c>
      <c r="E62" s="2140" t="s">
        <v>1021</v>
      </c>
      <c r="F62" s="2179">
        <f t="shared" si="0"/>
        <v>0.12</v>
      </c>
      <c r="O62" s="2298" t="s">
        <v>1103</v>
      </c>
      <c r="P62" s="2299" t="s">
        <v>1104</v>
      </c>
      <c r="Q62" s="2346" t="s">
        <v>1105</v>
      </c>
      <c r="R62" s="2347" t="s">
        <v>1106</v>
      </c>
    </row>
    <row r="63" spans="1:18" s="2107" customFormat="1">
      <c r="A63" s="2235" t="s">
        <v>1170</v>
      </c>
      <c r="B63" s="2139" t="s">
        <v>1042</v>
      </c>
      <c r="C63" s="2201">
        <f>IF(项目基本情况!B7="自然人","——",ROUND(F63*F64,0))</f>
        <v>355</v>
      </c>
      <c r="D63" s="2202" t="s">
        <v>1043</v>
      </c>
      <c r="E63" s="2140" t="s">
        <v>1044</v>
      </c>
      <c r="F63" s="2184">
        <f t="shared" si="0"/>
        <v>10</v>
      </c>
      <c r="I63" s="2340" t="s">
        <v>1171</v>
      </c>
      <c r="J63" s="2341" t="s">
        <v>1172</v>
      </c>
      <c r="K63" s="2341" t="s">
        <v>1173</v>
      </c>
      <c r="L63" s="2341" t="s">
        <v>1174</v>
      </c>
      <c r="M63" s="2342" t="s">
        <v>1175</v>
      </c>
      <c r="O63" s="2300" t="s">
        <v>1107</v>
      </c>
      <c r="P63" s="2301" t="s">
        <v>1108</v>
      </c>
      <c r="Q63" s="2348">
        <f ca="1">C40+J29</f>
        <v>3193901</v>
      </c>
      <c r="R63" s="2349" t="s">
        <v>1109</v>
      </c>
    </row>
    <row r="64" spans="1:18" s="2107" customFormat="1" ht="19.5">
      <c r="A64" s="2154"/>
      <c r="B64" s="2147"/>
      <c r="C64" s="1727"/>
      <c r="D64" s="430"/>
      <c r="E64" s="2140" t="s">
        <v>1048</v>
      </c>
      <c r="F64" s="2141">
        <f t="shared" si="0"/>
        <v>35.5</v>
      </c>
      <c r="I64" s="2340" t="s">
        <v>1176</v>
      </c>
      <c r="J64" s="2341">
        <v>70</v>
      </c>
      <c r="K64" s="2341">
        <v>50</v>
      </c>
      <c r="L64" s="2341">
        <v>80</v>
      </c>
      <c r="M64" s="2343">
        <v>0.02</v>
      </c>
      <c r="O64" s="2300" t="s">
        <v>1110</v>
      </c>
      <c r="P64" s="2301" t="s">
        <v>1146</v>
      </c>
      <c r="Q64" s="2348">
        <f>L61</f>
        <v>0</v>
      </c>
      <c r="R64" s="2349" t="s">
        <v>1147</v>
      </c>
    </row>
    <row r="65" spans="1:18" s="2107" customFormat="1" ht="22.5">
      <c r="A65" s="2171" t="s">
        <v>1177</v>
      </c>
      <c r="B65" s="2140" t="s">
        <v>1051</v>
      </c>
      <c r="C65" s="1657">
        <f ca="1">ROUND(C58*F65,0)</f>
        <v>4442</v>
      </c>
      <c r="D65" s="2195" t="s">
        <v>1089</v>
      </c>
      <c r="E65" s="2140" t="s">
        <v>1021</v>
      </c>
      <c r="F65" s="2206">
        <f t="shared" si="0"/>
        <v>5.0000000000000001E-3</v>
      </c>
      <c r="I65" s="2340" t="s">
        <v>1178</v>
      </c>
      <c r="J65" s="2341">
        <v>50</v>
      </c>
      <c r="K65" s="2341">
        <v>35</v>
      </c>
      <c r="L65" s="2341">
        <v>60</v>
      </c>
      <c r="M65" s="2342">
        <v>0</v>
      </c>
      <c r="O65" s="2306" t="s">
        <v>1115</v>
      </c>
      <c r="P65" s="2301" t="s">
        <v>1150</v>
      </c>
      <c r="Q65" s="2355">
        <f ca="1">L52</f>
        <v>58923087</v>
      </c>
      <c r="R65" s="2356" t="s">
        <v>1179</v>
      </c>
    </row>
    <row r="66" spans="1:18" s="2107" customFormat="1" ht="19.5">
      <c r="A66" s="2171" t="s">
        <v>1180</v>
      </c>
      <c r="B66" s="2140" t="s">
        <v>1055</v>
      </c>
      <c r="C66" s="1657">
        <f ca="1">ROUND(C57*F66,0)</f>
        <v>569</v>
      </c>
      <c r="D66" s="2195" t="s">
        <v>1056</v>
      </c>
      <c r="E66" s="2140" t="s">
        <v>1021</v>
      </c>
      <c r="F66" s="2207">
        <f t="shared" si="0"/>
        <v>1E-3</v>
      </c>
      <c r="I66" s="2340" t="s">
        <v>1181</v>
      </c>
      <c r="J66" s="2341">
        <v>40</v>
      </c>
      <c r="K66" s="2341">
        <v>30</v>
      </c>
      <c r="L66" s="2341">
        <v>50</v>
      </c>
      <c r="M66" s="2343">
        <v>0.02</v>
      </c>
      <c r="O66" s="2306" t="s">
        <v>1119</v>
      </c>
      <c r="P66" s="2354" t="s">
        <v>1182</v>
      </c>
      <c r="Q66" s="2348">
        <f ca="1">ROUND(Q67-Q68*Q69,0)</f>
        <v>66835</v>
      </c>
      <c r="R66" s="2349"/>
    </row>
    <row r="67" spans="1:18" s="2107" customFormat="1">
      <c r="A67" s="2171" t="s">
        <v>1183</v>
      </c>
      <c r="B67" s="2140" t="s">
        <v>1040</v>
      </c>
      <c r="C67" s="1657">
        <f ca="1">ROUND(C49*F67,0)</f>
        <v>0</v>
      </c>
      <c r="D67" s="2195" t="s">
        <v>1059</v>
      </c>
      <c r="E67" s="2140" t="s">
        <v>1021</v>
      </c>
      <c r="F67" s="2148">
        <f t="shared" si="0"/>
        <v>2.5000000000000001E-2</v>
      </c>
      <c r="O67" s="2306" t="s">
        <v>1184</v>
      </c>
      <c r="P67" s="2354" t="s">
        <v>1185</v>
      </c>
      <c r="Q67" s="2348">
        <f ca="1">C39</f>
        <v>103795</v>
      </c>
      <c r="R67" s="2349" t="s">
        <v>1109</v>
      </c>
    </row>
    <row r="68" spans="1:18">
      <c r="A68" s="2252" t="s">
        <v>742</v>
      </c>
      <c r="B68" s="2351" t="s">
        <v>1063</v>
      </c>
      <c r="C68" s="1612">
        <f ca="1">C49-C59</f>
        <v>-79996</v>
      </c>
      <c r="D68" s="2173" t="s">
        <v>1064</v>
      </c>
      <c r="E68" s="2352"/>
      <c r="F68" s="2353"/>
      <c r="H68" s="2107"/>
      <c r="I68" s="2107"/>
      <c r="J68" s="2107"/>
      <c r="K68" s="2107"/>
      <c r="L68" s="2107"/>
      <c r="M68" s="2107"/>
      <c r="O68" s="2306" t="s">
        <v>1186</v>
      </c>
      <c r="P68" s="2354" t="s">
        <v>1187</v>
      </c>
      <c r="Q68" s="2348">
        <f ca="1">C13</f>
        <v>568612</v>
      </c>
      <c r="R68" s="2349" t="s">
        <v>1109</v>
      </c>
    </row>
    <row r="69" spans="1:18">
      <c r="A69" s="2132" t="s">
        <v>768</v>
      </c>
      <c r="B69" s="2133" t="s">
        <v>1094</v>
      </c>
      <c r="C69" s="2134">
        <f ca="1">ROUND(C68*(1-((1+F71)/(1+F69))^F70)/(F69-F71),0)</f>
        <v>-1507731</v>
      </c>
      <c r="D69" s="2202" t="s">
        <v>1069</v>
      </c>
      <c r="E69" s="2140" t="s">
        <v>1070</v>
      </c>
      <c r="F69" s="2148">
        <f>F40</f>
        <v>4.4999999999999998E-2</v>
      </c>
      <c r="H69" s="2107"/>
      <c r="I69" s="2107"/>
      <c r="J69" s="2107"/>
      <c r="K69" s="2107"/>
      <c r="L69" s="2107"/>
      <c r="M69" s="2107"/>
      <c r="O69" s="2306" t="s">
        <v>1188</v>
      </c>
      <c r="P69" s="2354" t="s">
        <v>1189</v>
      </c>
      <c r="Q69" s="2350">
        <f>J35</f>
        <v>6.5000000000000002E-2</v>
      </c>
      <c r="R69" s="2349"/>
    </row>
    <row r="70" spans="1:18">
      <c r="A70" s="2146"/>
      <c r="B70" s="2143"/>
      <c r="C70" s="2144"/>
      <c r="D70" s="2213" t="s">
        <v>1073</v>
      </c>
      <c r="E70" s="2140" t="s">
        <v>1074</v>
      </c>
      <c r="F70" s="2215">
        <f>F41</f>
        <v>42.82</v>
      </c>
      <c r="H70" s="2107"/>
      <c r="I70" s="2107"/>
      <c r="J70" s="2107"/>
      <c r="K70" s="2107"/>
      <c r="L70" s="2107"/>
      <c r="M70" s="2107"/>
      <c r="O70" s="2306" t="s">
        <v>1125</v>
      </c>
      <c r="P70" s="2301" t="s">
        <v>1153</v>
      </c>
      <c r="Q70" s="2350">
        <f>L53</f>
        <v>0</v>
      </c>
      <c r="R70" s="2349"/>
    </row>
    <row r="71" spans="1:18" ht="19.5">
      <c r="A71" s="2159"/>
      <c r="B71" s="2217"/>
      <c r="C71" s="2168"/>
      <c r="D71" s="430"/>
      <c r="E71" s="2140" t="s">
        <v>1078</v>
      </c>
      <c r="F71" s="2240"/>
      <c r="H71" s="2107"/>
      <c r="M71" s="2107"/>
      <c r="O71" s="2306" t="s">
        <v>1132</v>
      </c>
      <c r="P71" s="2301" t="s">
        <v>1156</v>
      </c>
      <c r="Q71" s="2348" t="e">
        <f>L59</f>
        <v>#DIV/0!</v>
      </c>
      <c r="R71" s="2349" t="s">
        <v>1157</v>
      </c>
    </row>
    <row r="72" spans="1:18">
      <c r="A72" s="2189" t="s">
        <v>1081</v>
      </c>
      <c r="B72" s="2218" t="s">
        <v>1099</v>
      </c>
      <c r="C72" s="2219">
        <f ca="1">ROUND(C69/F72,0)</f>
        <v>-9015</v>
      </c>
      <c r="D72" s="2220" t="s">
        <v>1100</v>
      </c>
      <c r="E72" s="2221" t="s">
        <v>1101</v>
      </c>
      <c r="F72" s="2222">
        <f>F43</f>
        <v>167.24</v>
      </c>
      <c r="O72" s="2306" t="s">
        <v>1190</v>
      </c>
      <c r="P72" s="2301" t="str">
        <f>K60</f>
        <v>建筑物剩余耐用年限下的土地年期修正系数Kn</v>
      </c>
      <c r="Q72" s="2348" t="e">
        <f>L60</f>
        <v>#DIV/0!</v>
      </c>
      <c r="R72" s="2349" t="s">
        <v>1160</v>
      </c>
    </row>
    <row r="73" spans="1:18">
      <c r="A73" s="2107"/>
      <c r="B73" s="2110"/>
      <c r="C73" s="2110"/>
      <c r="D73" s="2107"/>
      <c r="E73" s="2107"/>
      <c r="F73" s="2107"/>
      <c r="O73" s="2300" t="s">
        <v>1137</v>
      </c>
      <c r="P73" s="2301" t="str">
        <f>IF(C2="元","收益价值(元)","收益价值(万元)")</f>
        <v>收益价值(万元)</v>
      </c>
      <c r="Q73" s="2348">
        <f ca="1">ROUND(IF(C2="元",Q63+Q64,(Q63+Q64)/10000),0)</f>
        <v>319</v>
      </c>
      <c r="R73" s="2349" t="s">
        <v>1138</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1191</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869</v>
      </c>
      <c r="B2" s="2032">
        <f ca="1">IF(D2="——",IF(C2="元",C52,ROUND(C52/10000,0)),IF(C2="元",C52,ROUND(C52/10000,0))-E2)</f>
        <v>212</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870</v>
      </c>
      <c r="B3" s="1939">
        <f ca="1">ROUND(C52/IF(B1="仅计算典型户型",'数据-取费表'!E5,'数据-取费表'!B5),0)</f>
        <v>12670</v>
      </c>
      <c r="C3" s="1330" t="s">
        <v>1192</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1193</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1194</v>
      </c>
      <c r="B5" s="2042" t="s">
        <v>1195</v>
      </c>
      <c r="C5" s="2043">
        <f>C6+C7+C8</f>
        <v>1102413</v>
      </c>
      <c r="D5" s="2043" t="s">
        <v>1196</v>
      </c>
      <c r="E5" s="2044" t="s">
        <v>1197</v>
      </c>
      <c r="F5" s="2044" t="s">
        <v>723</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1198</v>
      </c>
      <c r="B6" s="2047" t="s">
        <v>1199</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1200</v>
      </c>
      <c r="B7" s="2047" t="s">
        <v>1201</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1202</v>
      </c>
      <c r="B8" s="2047" t="s">
        <v>1203</v>
      </c>
      <c r="C8" s="2052">
        <f>IF(G8="已包含在土地购买价格中","0",'数据-取费表'!E13)</f>
        <v>71913</v>
      </c>
      <c r="D8" s="2054"/>
      <c r="E8" s="2052"/>
      <c r="F8" s="2053"/>
      <c r="G8" s="2055"/>
    </row>
    <row r="9" spans="1:123" s="2024" customFormat="1" ht="13.5" customHeight="1">
      <c r="A9" s="2056" t="s">
        <v>1204</v>
      </c>
      <c r="B9" s="2057" t="s">
        <v>1205</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1206</v>
      </c>
      <c r="B10" s="2057" t="s">
        <v>1207</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1208</v>
      </c>
      <c r="B11" s="2047" t="s">
        <v>1209</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1210</v>
      </c>
      <c r="B12" s="2047" t="s">
        <v>760</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1211</v>
      </c>
      <c r="B13" s="2047" t="s">
        <v>1212</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1213</v>
      </c>
      <c r="B14" s="2047" t="s">
        <v>1203</v>
      </c>
      <c r="C14" s="2043"/>
      <c r="D14" s="2052"/>
      <c r="E14" s="2050"/>
      <c r="F14" s="2050"/>
      <c r="G14" s="2051" t="s">
        <v>1214</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1215</v>
      </c>
      <c r="B15" s="2047" t="s">
        <v>1216</v>
      </c>
      <c r="C15" s="2052"/>
      <c r="D15" s="2052"/>
      <c r="E15" s="2050"/>
      <c r="F15" s="2050"/>
      <c r="G15" s="2051" t="s">
        <v>1217</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1218</v>
      </c>
      <c r="B16" s="2047" t="s">
        <v>1203</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1219</v>
      </c>
      <c r="B17" s="2047" t="s">
        <v>1220</v>
      </c>
      <c r="C17" s="2062"/>
      <c r="D17" s="2062"/>
      <c r="E17" s="2062"/>
      <c r="F17" s="2062"/>
      <c r="G17" s="2051" t="s">
        <v>1217</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1221</v>
      </c>
      <c r="B18" s="2047" t="s">
        <v>1222</v>
      </c>
      <c r="C18" s="2052">
        <v>0</v>
      </c>
      <c r="D18" s="2052"/>
      <c r="E18" s="2050"/>
      <c r="F18" s="2053">
        <v>3.0499999999999999E-2</v>
      </c>
      <c r="G18" s="2051" t="s">
        <v>1223</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1224</v>
      </c>
      <c r="B19" s="2042" t="s">
        <v>1225</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1226</v>
      </c>
      <c r="B20" s="2042" t="s">
        <v>1227</v>
      </c>
      <c r="C20" s="2065">
        <f>ROUND((C5+C19)*F20,0)</f>
        <v>22717</v>
      </c>
      <c r="D20" s="2065"/>
      <c r="E20" s="2065"/>
      <c r="F20" s="2066">
        <f>'数据-取费表'!E25</f>
        <v>0.02</v>
      </c>
      <c r="G20" s="2067" t="s">
        <v>1228</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1229</v>
      </c>
      <c r="B21" s="2042" t="s">
        <v>1230</v>
      </c>
      <c r="C21" s="2068">
        <f>F21</f>
        <v>0.02</v>
      </c>
      <c r="D21" s="2069" t="s">
        <v>1231</v>
      </c>
      <c r="E21" s="2065"/>
      <c r="F21" s="2066">
        <f>'数据-取费表'!E26</f>
        <v>0.02</v>
      </c>
      <c r="G21" s="2067" t="s">
        <v>1232</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1233</v>
      </c>
      <c r="B22" s="2042" t="s">
        <v>1234</v>
      </c>
      <c r="C22" s="2070">
        <f ca="1">ROUND(SUM(C23:C25),0)</f>
        <v>98370</v>
      </c>
      <c r="D22" s="2068">
        <f ca="1">C26</f>
        <v>8.0000000000000004E-4</v>
      </c>
      <c r="E22" s="2069" t="s">
        <v>1231</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1198</v>
      </c>
      <c r="B23" s="2047" t="s">
        <v>1235</v>
      </c>
      <c r="C23" s="2071">
        <f ca="1">ROUND(IF('数据-取费表'!B24&lt;=1,C5*F22*'数据-取费表'!B25,C5*(POWER((1+F22),'数据-取费表'!B25)-1)),0)</f>
        <v>94547</v>
      </c>
      <c r="D23" s="2072"/>
      <c r="E23" s="2072"/>
      <c r="F23" s="2073"/>
      <c r="G23" s="2074" t="s">
        <v>1236</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1200</v>
      </c>
      <c r="B24" s="2047" t="s">
        <v>1237</v>
      </c>
      <c r="C24" s="2071">
        <f ca="1">ROUND(IF('数据-取费表'!B24&lt;=1,C19*F22*('数据-取费表'!B21/2+'数据-取费表'!B23),C19*(POWER((1+F22),('数据-取费表'!B21/2+'数据-取费表'!B23))-1)),0)</f>
        <v>2869</v>
      </c>
      <c r="D24" s="2072"/>
      <c r="E24" s="2072"/>
      <c r="F24" s="2073"/>
      <c r="G24" s="2074" t="s">
        <v>1238</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1202</v>
      </c>
      <c r="B25" s="2047" t="s">
        <v>1239</v>
      </c>
      <c r="C25" s="2071">
        <f ca="1">ROUND(IF('数据-取费表'!B24&lt;=1,C20*F22*'数据-取费表'!B25/2,C20*(POWER((1+F22),'数据-取费表'!B25/2)-1)),0)</f>
        <v>954</v>
      </c>
      <c r="D25" s="2072"/>
      <c r="E25" s="2075"/>
      <c r="F25" s="2073"/>
      <c r="G25" s="2076" t="s">
        <v>1240</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1241</v>
      </c>
      <c r="B26" s="2047" t="s">
        <v>1242</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1243</v>
      </c>
      <c r="B27" s="2079" t="s">
        <v>1244</v>
      </c>
      <c r="C27" s="2043">
        <f>C28</f>
        <v>173787</v>
      </c>
      <c r="D27" s="2068">
        <f>C29</f>
        <v>3.0000000000000001E-3</v>
      </c>
      <c r="E27" s="2069" t="s">
        <v>1231</v>
      </c>
      <c r="F27" s="2064">
        <f>'数据-取费表'!E28</f>
        <v>0.15</v>
      </c>
      <c r="G27" s="2080" t="s">
        <v>1245</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1198</v>
      </c>
      <c r="B28" s="2081" t="s">
        <v>1246</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1200</v>
      </c>
      <c r="B29" s="2081" t="s">
        <v>1247</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1248</v>
      </c>
      <c r="B30" s="2042" t="s">
        <v>1249</v>
      </c>
      <c r="C30" s="2068">
        <f>ROUND(F30/(1+'数据-取费表'!F30),4)</f>
        <v>5.33E-2</v>
      </c>
      <c r="D30" s="2069" t="s">
        <v>1231</v>
      </c>
      <c r="E30" s="2075"/>
      <c r="F30" s="2066">
        <f>'数据-取费表'!E29</f>
        <v>5.6000000000000001E-2</v>
      </c>
      <c r="G30" s="2067" t="s">
        <v>1250</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1251</v>
      </c>
      <c r="C31" s="2043">
        <f ca="1">ROUND((C5+C19+C20+C22+C27)/(1-C21-D22-D27-C30),0)</f>
        <v>1550260</v>
      </c>
      <c r="D31" s="2063"/>
      <c r="E31" s="2043"/>
      <c r="F31" s="2082"/>
      <c r="G31" s="2067" t="s">
        <v>1252</v>
      </c>
    </row>
    <row r="32" spans="1:123" s="2023" customFormat="1" ht="15.75">
      <c r="A32" s="2083" t="s">
        <v>1253</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1194</v>
      </c>
      <c r="B33" s="2042" t="s">
        <v>1254</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1198</v>
      </c>
      <c r="B34" s="2047" t="s">
        <v>1255</v>
      </c>
      <c r="C34" s="2052">
        <f>IF(B1="仅计算典型户型",'数据-取费表'!F18,'数据-取费表'!E18)</f>
        <v>585340</v>
      </c>
      <c r="D34" s="2049"/>
      <c r="E34" s="2052"/>
      <c r="F34" s="2087" t="str">
        <f>IF('数据-取费表'!B26=0,"",'数据-取费表'!E20)</f>
        <v/>
      </c>
      <c r="G34" s="2051"/>
    </row>
    <row r="35" spans="1:123" ht="13.5" customHeight="1">
      <c r="A35" s="2046" t="s">
        <v>1200</v>
      </c>
      <c r="B35" s="2047" t="s">
        <v>1256</v>
      </c>
      <c r="C35" s="2052">
        <f>ROUND(C34*F35,0)</f>
        <v>17560</v>
      </c>
      <c r="D35" s="2052"/>
      <c r="E35" s="2052"/>
      <c r="F35" s="2088">
        <f>'数据-取费表'!E21</f>
        <v>0.03</v>
      </c>
      <c r="G35" s="2051" t="s">
        <v>1257</v>
      </c>
    </row>
    <row r="36" spans="1:123" ht="24">
      <c r="A36" s="2046" t="s">
        <v>1202</v>
      </c>
      <c r="B36" s="2047" t="s">
        <v>1258</v>
      </c>
      <c r="C36" s="2052">
        <f>ROUND(IF('数据-取费表'!B10="住宅",C34*F36,0),0)</f>
        <v>29267</v>
      </c>
      <c r="D36" s="2052"/>
      <c r="E36" s="2052"/>
      <c r="F36" s="2088">
        <f>'数据-取费表'!E22</f>
        <v>0.05</v>
      </c>
      <c r="G36" s="2089" t="s">
        <v>1259</v>
      </c>
    </row>
    <row r="37" spans="1:123" s="2026" customFormat="1" ht="13.5" customHeight="1">
      <c r="A37" s="2046" t="s">
        <v>1241</v>
      </c>
      <c r="B37" s="2047" t="s">
        <v>1260</v>
      </c>
      <c r="C37" s="2052">
        <f>ROUND(E37*D37,0)</f>
        <v>33448</v>
      </c>
      <c r="D37" s="2049">
        <f>IF(B1="仅计算典型户型",'数据-取费表'!E5,'数据-取费表'!B5)</f>
        <v>167.24</v>
      </c>
      <c r="E37" s="2052">
        <f>'数据-取费表'!E23</f>
        <v>200</v>
      </c>
      <c r="F37" s="2088"/>
      <c r="G37" s="2090" t="s">
        <v>1261</v>
      </c>
    </row>
    <row r="38" spans="1:123" ht="13.5" customHeight="1">
      <c r="A38" s="2046" t="s">
        <v>1262</v>
      </c>
      <c r="B38" s="2047" t="s">
        <v>760</v>
      </c>
      <c r="C38" s="2052">
        <f>ROUND(C34*F38,0)</f>
        <v>8780</v>
      </c>
      <c r="D38" s="2052"/>
      <c r="E38" s="2052"/>
      <c r="F38" s="2088">
        <f>'数据-取费表'!E24</f>
        <v>1.4999999999999999E-2</v>
      </c>
      <c r="G38" s="2051" t="s">
        <v>1257</v>
      </c>
    </row>
    <row r="39" spans="1:123" s="2024" customFormat="1" ht="13.5" customHeight="1">
      <c r="A39" s="2041" t="s">
        <v>1224</v>
      </c>
      <c r="B39" s="2042" t="s">
        <v>1227</v>
      </c>
      <c r="C39" s="2065">
        <f>ROUND(C33*F20,0)</f>
        <v>13488</v>
      </c>
      <c r="D39" s="2065"/>
      <c r="E39" s="2065"/>
      <c r="F39" s="2091">
        <f>F20</f>
        <v>0.02</v>
      </c>
      <c r="G39" s="2067" t="s">
        <v>1263</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1226</v>
      </c>
      <c r="B40" s="2042" t="s">
        <v>1230</v>
      </c>
      <c r="C40" s="2092">
        <f>F21</f>
        <v>0.02</v>
      </c>
      <c r="D40" s="2069" t="s">
        <v>1264</v>
      </c>
      <c r="E40" s="2065"/>
      <c r="F40" s="2091">
        <f>F21</f>
        <v>0.02</v>
      </c>
      <c r="G40" s="2067" t="s">
        <v>1265</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1229</v>
      </c>
      <c r="B41" s="2042" t="s">
        <v>1234</v>
      </c>
      <c r="C41" s="2065">
        <f ca="1">ROUND(SUM(C42:C43),0)</f>
        <v>28891</v>
      </c>
      <c r="D41" s="2068">
        <f ca="1">C44</f>
        <v>8.0000000000000004E-4</v>
      </c>
      <c r="E41" s="2069" t="s">
        <v>1264</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1198</v>
      </c>
      <c r="B42" s="2047" t="s">
        <v>1235</v>
      </c>
      <c r="C42" s="2072">
        <f ca="1">ROUND(IF('数据-取费表'!B24&lt;=1,C33*F22*'数据-取费表'!B23/2,C33*(POWER((1+F22),'数据-取费表'!B23/2)-1)),0)</f>
        <v>28325</v>
      </c>
      <c r="D42" s="2072"/>
      <c r="E42" s="2072"/>
      <c r="F42" s="2073"/>
      <c r="G42" s="3582" t="s">
        <v>1266</v>
      </c>
    </row>
    <row r="43" spans="1:123" ht="13.5" customHeight="1">
      <c r="A43" s="2046" t="s">
        <v>1200</v>
      </c>
      <c r="B43" s="2047" t="s">
        <v>1237</v>
      </c>
      <c r="C43" s="2072">
        <f ca="1">ROUND(IF('数据-取费表'!B24&lt;=1,C39*F22*'数据-取费表'!B23/2,C39*(POWER((1+F22),'数据-取费表'!B23/2)-1)),0)</f>
        <v>566</v>
      </c>
      <c r="D43" s="2072"/>
      <c r="E43" s="2072"/>
      <c r="F43" s="2073"/>
      <c r="G43" s="3583"/>
    </row>
    <row r="44" spans="1:123" ht="13.5" customHeight="1">
      <c r="A44" s="2046" t="s">
        <v>1202</v>
      </c>
      <c r="B44" s="2047" t="s">
        <v>1239</v>
      </c>
      <c r="C44" s="2072">
        <f ca="1">ROUND(IF('数据-取费表'!B24&lt;=1,C40*F22*'数据-取费表'!B23/2,C40*(POWER((1+F22),'数据-取费表'!B23/2)-1)),4)</f>
        <v>8.0000000000000004E-4</v>
      </c>
      <c r="D44" s="2072"/>
      <c r="E44" s="2072"/>
      <c r="F44" s="2073"/>
      <c r="G44" s="3584"/>
    </row>
    <row r="45" spans="1:123" s="2024" customFormat="1" ht="13.5" customHeight="1">
      <c r="A45" s="2041" t="s">
        <v>1233</v>
      </c>
      <c r="B45" s="2079" t="s">
        <v>1244</v>
      </c>
      <c r="C45" s="2043">
        <f>C46</f>
        <v>103182</v>
      </c>
      <c r="D45" s="2068">
        <f>C47</f>
        <v>3.0000000000000001E-3</v>
      </c>
      <c r="E45" s="2069" t="s">
        <v>1264</v>
      </c>
      <c r="F45" s="2093">
        <f>F27</f>
        <v>0.15</v>
      </c>
      <c r="G45" s="2080" t="s">
        <v>1267</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1198</v>
      </c>
      <c r="B46" s="2081" t="s">
        <v>1268</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1200</v>
      </c>
      <c r="B47" s="2081" t="s">
        <v>1269</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1243</v>
      </c>
      <c r="B48" s="2042" t="s">
        <v>1249</v>
      </c>
      <c r="C48" s="2092">
        <f>ROUND(F30/(1+'数据-取费表'!F30),4)</f>
        <v>5.33E-2</v>
      </c>
      <c r="D48" s="2069" t="s">
        <v>1264</v>
      </c>
      <c r="E48" s="2065"/>
      <c r="F48" s="2091">
        <f>F30</f>
        <v>5.6000000000000001E-2</v>
      </c>
      <c r="G48" s="2067" t="s">
        <v>1270</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1248</v>
      </c>
      <c r="B49" s="2042" t="s">
        <v>1271</v>
      </c>
      <c r="C49" s="2065">
        <f ca="1">ROUND((C33+C39+C41+C45)/(1-C40-D41-D45-C48),0)</f>
        <v>888456</v>
      </c>
      <c r="D49" s="2065"/>
      <c r="E49" s="2065"/>
      <c r="F49" s="2095"/>
      <c r="G49" s="2067" t="s">
        <v>1272</v>
      </c>
    </row>
    <row r="50" spans="1:123" s="2026" customFormat="1" ht="24">
      <c r="A50" s="2078" t="s">
        <v>1273</v>
      </c>
      <c r="B50" s="2042" t="s">
        <v>1274</v>
      </c>
      <c r="C50" s="2065"/>
      <c r="D50" s="2065"/>
      <c r="E50" s="2065"/>
      <c r="F50" s="2095">
        <f>IF('数据-取费表'!B26=0,'数据-取费表'!E20,1)</f>
        <v>0.64</v>
      </c>
      <c r="G50" s="2080" t="s">
        <v>1275</v>
      </c>
    </row>
    <row r="51" spans="1:123" ht="16.5" customHeight="1">
      <c r="A51" s="2078" t="s">
        <v>1276</v>
      </c>
      <c r="B51" s="2042" t="s">
        <v>1277</v>
      </c>
      <c r="C51" s="2065">
        <f ca="1">ROUND(C49*F50,0)</f>
        <v>568612</v>
      </c>
      <c r="D51" s="2065"/>
      <c r="E51" s="2065"/>
      <c r="F51" s="2095"/>
      <c r="G51" s="2067" t="s">
        <v>1278</v>
      </c>
    </row>
    <row r="52" spans="1:123" s="2023" customFormat="1" ht="15.75">
      <c r="A52" s="2096" t="s">
        <v>1279</v>
      </c>
      <c r="B52" s="2097"/>
      <c r="C52" s="2098">
        <f ca="1">C31+C51</f>
        <v>2118872</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1280</v>
      </c>
      <c r="C55" s="2101"/>
    </row>
    <row r="56" spans="1:123">
      <c r="B56" s="2102" t="s">
        <v>1097</v>
      </c>
      <c r="C56" s="2103">
        <f ca="1">ROUND(C51/C52,3)</f>
        <v>0.26800000000000002</v>
      </c>
    </row>
    <row r="57" spans="1:123">
      <c r="B57" s="2102" t="s">
        <v>1098</v>
      </c>
      <c r="C57" s="2104">
        <f ca="1">1-C56</f>
        <v>0.73199999999999998</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1281</v>
      </c>
      <c r="B1" s="1935"/>
      <c r="C1" s="1936" t="s">
        <v>1282</v>
      </c>
      <c r="D1" s="1937"/>
      <c r="E1" s="1938"/>
      <c r="F1" s="1938"/>
      <c r="G1" s="1938"/>
      <c r="H1" s="1938"/>
      <c r="I1" s="1938"/>
      <c r="J1" s="1938"/>
      <c r="K1" s="1938"/>
    </row>
    <row r="2" spans="1:33" s="1920" customFormat="1" ht="18" customHeight="1">
      <c r="A2" s="692" t="s">
        <v>869</v>
      </c>
      <c r="B2" s="1939">
        <f ca="1">IF(C2="元",C32,ROUND(C32/10000,0))</f>
        <v>7</v>
      </c>
      <c r="C2" s="1940" t="str">
        <f>'数据-取费表'!B3</f>
        <v>万元</v>
      </c>
      <c r="D2" s="1938"/>
      <c r="E2" s="1938"/>
      <c r="F2" s="1938"/>
      <c r="G2" s="1938"/>
      <c r="H2" s="1938"/>
      <c r="I2" s="1938"/>
      <c r="J2" s="1938"/>
      <c r="K2" s="1938"/>
    </row>
    <row r="3" spans="1:33" s="1920" customFormat="1" ht="18" customHeight="1">
      <c r="A3" s="697" t="s">
        <v>870</v>
      </c>
      <c r="B3" s="1939" t="e">
        <f ca="1">ROUND(C32/IF(C1="仅计算典型户型",'数据-取费表'!E5,'数据-取费表'!B5),0)</f>
        <v>#DIV/0!</v>
      </c>
      <c r="C3" s="1940" t="s">
        <v>1283</v>
      </c>
      <c r="D3" s="1938"/>
      <c r="E3" s="1938"/>
      <c r="F3" s="1938"/>
      <c r="G3" s="1938"/>
      <c r="H3" s="1938"/>
      <c r="I3" s="1938"/>
      <c r="J3" s="1938"/>
      <c r="K3" s="1938"/>
    </row>
    <row r="4" spans="1:33" s="1921" customFormat="1" ht="16.5" customHeight="1">
      <c r="A4" s="1941" t="s">
        <v>1284</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1285</v>
      </c>
      <c r="B5" s="1945" t="s">
        <v>1286</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993</v>
      </c>
      <c r="B6" s="1948" t="s">
        <v>813</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1001</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1009</v>
      </c>
      <c r="B8" s="1948" t="s">
        <v>1287</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1288</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1285</v>
      </c>
      <c r="B10" s="1956" t="s">
        <v>1286</v>
      </c>
      <c r="C10" s="1957" t="s">
        <v>1289</v>
      </c>
      <c r="D10" s="1958" t="s">
        <v>1290</v>
      </c>
      <c r="E10" s="1958" t="s">
        <v>1291</v>
      </c>
      <c r="F10" s="1958" t="s">
        <v>1292</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1107</v>
      </c>
      <c r="B11" s="1961" t="s">
        <v>1293</v>
      </c>
      <c r="C11" s="1962">
        <f>IF(C1="仅计算典型户型",'数据-取费表'!F18,'数据-取费表'!E18)</f>
        <v>0</v>
      </c>
      <c r="D11" s="1963"/>
      <c r="E11" s="1614"/>
      <c r="F11" s="1964">
        <f>1-'数据-取费表'!E20</f>
        <v>0.36</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1110</v>
      </c>
      <c r="B12" s="1961" t="s">
        <v>1019</v>
      </c>
      <c r="C12" s="1657">
        <f>ROUND(C11*F12,0)</f>
        <v>0</v>
      </c>
      <c r="D12" s="1963"/>
      <c r="E12" s="1614"/>
      <c r="F12" s="1965">
        <f>'数据-取费表'!E21</f>
        <v>0.03</v>
      </c>
      <c r="G12" s="1956" t="s">
        <v>1294</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1137</v>
      </c>
      <c r="B13" s="1961" t="s">
        <v>1023</v>
      </c>
      <c r="C13" s="1657">
        <f>ROUND(IF('数据-取费表'!B10="住宅",C11*F13,0),0)</f>
        <v>0</v>
      </c>
      <c r="D13" s="1963"/>
      <c r="E13" s="1614"/>
      <c r="F13" s="1965">
        <f>'数据-取费表'!E22</f>
        <v>0.05</v>
      </c>
      <c r="G13" s="1956" t="s">
        <v>1295</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1296</v>
      </c>
      <c r="B14" s="1961" t="s">
        <v>1297</v>
      </c>
      <c r="C14" s="1657">
        <f>ROUND(D14*E14*F11,0)</f>
        <v>0</v>
      </c>
      <c r="D14" s="1963">
        <f>IF(C1="仅计算典型户型",'数据-取费表'!E5,'数据-取费表'!B5)</f>
        <v>0</v>
      </c>
      <c r="E14" s="1657">
        <f>'数据-取费表'!E23</f>
        <v>200</v>
      </c>
      <c r="F14" s="1965"/>
      <c r="G14" s="1956" t="s">
        <v>1298</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1299</v>
      </c>
      <c r="B15" s="1961" t="s">
        <v>1034</v>
      </c>
      <c r="C15" s="1966">
        <f>ROUND(C11*F15,0)</f>
        <v>0</v>
      </c>
      <c r="D15" s="1967"/>
      <c r="E15" s="1966"/>
      <c r="F15" s="1968">
        <f>'数据-取费表'!E24</f>
        <v>1.4999999999999999E-2</v>
      </c>
      <c r="G15" s="1948" t="s">
        <v>1300</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1014</v>
      </c>
      <c r="B16" s="1961" t="s">
        <v>1301</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1018</v>
      </c>
      <c r="B17" s="1961" t="s">
        <v>1302</v>
      </c>
      <c r="C17" s="1657">
        <f>ROUND(D17*E17,0)</f>
        <v>0</v>
      </c>
      <c r="D17" s="1963">
        <f>IF(C1="仅计算典型户型",'数据-取费表'!E5,'数据-取费表'!B5)</f>
        <v>0</v>
      </c>
      <c r="E17" s="1657">
        <f>'数据-取费表'!E16</f>
        <v>0</v>
      </c>
      <c r="F17" s="1967"/>
      <c r="G17" s="1948" t="s">
        <v>1303</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1022</v>
      </c>
      <c r="B18" s="1961" t="s">
        <v>1304</v>
      </c>
      <c r="C18" s="1657">
        <f>C19+C20-'数据-取费表'!E13</f>
        <v>-71913</v>
      </c>
      <c r="D18" s="1963"/>
      <c r="E18" s="1657"/>
      <c r="F18" s="1965"/>
      <c r="G18" s="1948" t="s">
        <v>1305</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1107</v>
      </c>
      <c r="B19" s="1961" t="s">
        <v>1306</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1110</v>
      </c>
      <c r="B20" s="1961" t="s">
        <v>1307</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993</v>
      </c>
      <c r="B21" s="1972" t="s">
        <v>1308</v>
      </c>
      <c r="C21" s="1973">
        <f>C16+C17+C18</f>
        <v>-71913</v>
      </c>
      <c r="D21" s="1974"/>
      <c r="E21" s="1975"/>
      <c r="F21" s="1975"/>
      <c r="G21" s="1948" t="s">
        <v>1309</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1001</v>
      </c>
      <c r="B22" s="1972" t="s">
        <v>1310</v>
      </c>
      <c r="C22" s="1973">
        <f>ROUND(C21*F22,0)</f>
        <v>-1438</v>
      </c>
      <c r="D22" s="1975"/>
      <c r="E22" s="1975"/>
      <c r="F22" s="1976">
        <f>'数据-取费表'!E25</f>
        <v>0.02</v>
      </c>
      <c r="G22" s="1956" t="s">
        <v>1311</v>
      </c>
      <c r="H22" s="1959"/>
      <c r="I22" s="1959"/>
      <c r="J22" s="1959"/>
      <c r="K22" s="2014"/>
      <c r="L22" s="1927"/>
      <c r="M22" s="1927"/>
      <c r="N22" s="1927"/>
    </row>
    <row r="23" spans="1:33" s="1925" customFormat="1" ht="13.5" customHeight="1">
      <c r="A23" s="1947" t="s">
        <v>1009</v>
      </c>
      <c r="B23" s="1972" t="s">
        <v>1312</v>
      </c>
      <c r="C23" s="1973">
        <f>ROUND(C4*F23*F11,0)</f>
        <v>0</v>
      </c>
      <c r="D23" s="1975"/>
      <c r="E23" s="1975"/>
      <c r="F23" s="1976">
        <f>'数据-取费表'!E26</f>
        <v>0.02</v>
      </c>
      <c r="G23" s="1956" t="s">
        <v>1313</v>
      </c>
      <c r="H23" s="1959"/>
      <c r="I23" s="1959"/>
      <c r="J23" s="1959"/>
      <c r="K23" s="2014"/>
    </row>
    <row r="24" spans="1:33" s="1925" customFormat="1" ht="13.5" customHeight="1">
      <c r="A24" s="1947" t="s">
        <v>1049</v>
      </c>
      <c r="B24" s="1972" t="s">
        <v>1314</v>
      </c>
      <c r="C24" s="1977">
        <f>ROUND(F24/(1+'数据-取费表'!F30),4)</f>
        <v>2.9000000000000001E-2</v>
      </c>
      <c r="D24" s="1978" t="s">
        <v>1315</v>
      </c>
      <c r="E24" s="1978"/>
      <c r="F24" s="1976">
        <f>'数据-取费表'!E36+'数据-取费表'!E37</f>
        <v>3.0499999999999999E-2</v>
      </c>
      <c r="G24" s="1956" t="s">
        <v>1316</v>
      </c>
      <c r="H24" s="1979"/>
      <c r="I24" s="1979"/>
      <c r="J24" s="1979"/>
      <c r="K24" s="2019"/>
    </row>
    <row r="25" spans="1:33" s="1927" customFormat="1" ht="13.5" customHeight="1">
      <c r="A25" s="1947" t="s">
        <v>1060</v>
      </c>
      <c r="B25" s="1974" t="s">
        <v>1317</v>
      </c>
      <c r="C25" s="1980">
        <f ca="1">C27</f>
        <v>0</v>
      </c>
      <c r="D25" s="1977">
        <f ca="1">C26</f>
        <v>0</v>
      </c>
      <c r="E25" s="1981" t="s">
        <v>1315</v>
      </c>
      <c r="F25" s="1982">
        <f ca="1">'数据-取费表'!E27</f>
        <v>4.2000000000000003E-2</v>
      </c>
      <c r="G25" s="1948" t="s">
        <v>1318</v>
      </c>
      <c r="H25" s="1979"/>
      <c r="I25" s="1979"/>
      <c r="J25" s="1979"/>
      <c r="K25" s="2019"/>
    </row>
    <row r="26" spans="1:33" s="1928" customFormat="1" ht="13.5" customHeight="1">
      <c r="A26" s="1960" t="s">
        <v>1014</v>
      </c>
      <c r="B26" s="1983" t="s">
        <v>1319</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1018</v>
      </c>
      <c r="B27" s="1983" t="s">
        <v>1320</v>
      </c>
      <c r="C27" s="1988">
        <f ca="1">ROUND(IF('数据-取费表'!B24&lt;=1,(C21+C22+C23)*F25*'数据-取费表'!B26/2,(C21+C22+C23)*(POWER((1+F25),'数据-取费表'!B26/2)-1)),0)</f>
        <v>0</v>
      </c>
      <c r="D27" s="1985"/>
      <c r="E27" s="1986"/>
      <c r="F27" s="1987"/>
      <c r="G27" s="1948" t="s">
        <v>1321</v>
      </c>
      <c r="H27" s="1969"/>
      <c r="I27" s="1969"/>
      <c r="J27" s="1969"/>
      <c r="K27" s="2017"/>
    </row>
    <row r="28" spans="1:33" s="1929" customFormat="1" ht="13.5" customHeight="1">
      <c r="A28" s="1947" t="s">
        <v>1075</v>
      </c>
      <c r="B28" s="1989" t="s">
        <v>1322</v>
      </c>
      <c r="C28" s="1990">
        <f>C30</f>
        <v>-11003</v>
      </c>
      <c r="D28" s="1977">
        <f>C29</f>
        <v>0.15440000000000001</v>
      </c>
      <c r="E28" s="1981" t="s">
        <v>1315</v>
      </c>
      <c r="F28" s="904">
        <f>'数据-取费表'!E28</f>
        <v>0.15</v>
      </c>
      <c r="G28" s="1991"/>
      <c r="H28" s="1979"/>
      <c r="I28" s="1979"/>
      <c r="J28" s="1979"/>
      <c r="K28" s="2019"/>
    </row>
    <row r="29" spans="1:33" s="1930" customFormat="1" ht="13.5" customHeight="1">
      <c r="A29" s="1960" t="s">
        <v>1014</v>
      </c>
      <c r="B29" s="1992" t="s">
        <v>1323</v>
      </c>
      <c r="C29" s="1985">
        <f>ROUND((1+C24)*F28,4)</f>
        <v>0.15440000000000001</v>
      </c>
      <c r="D29" s="1985"/>
      <c r="E29" s="1986"/>
      <c r="F29" s="1993"/>
      <c r="G29" s="1948" t="s">
        <v>1324</v>
      </c>
      <c r="H29" s="1969"/>
      <c r="I29" s="1969"/>
      <c r="J29" s="1969"/>
      <c r="K29" s="2017"/>
    </row>
    <row r="30" spans="1:33" s="1930" customFormat="1" ht="13.5" customHeight="1">
      <c r="A30" s="1960" t="s">
        <v>1018</v>
      </c>
      <c r="B30" s="1992" t="s">
        <v>1325</v>
      </c>
      <c r="C30" s="1994">
        <f>ROUND((C21+C22+C23)*F28,0)</f>
        <v>-11003</v>
      </c>
      <c r="D30" s="1985"/>
      <c r="E30" s="1995"/>
      <c r="F30" s="1993"/>
      <c r="G30" s="1948"/>
      <c r="H30" s="1969"/>
      <c r="I30" s="1969"/>
      <c r="J30" s="1969"/>
      <c r="K30" s="2017"/>
    </row>
    <row r="31" spans="1:33" s="1927" customFormat="1" ht="13.5" customHeight="1">
      <c r="A31" s="1996" t="s">
        <v>1079</v>
      </c>
      <c r="B31" s="1972" t="s">
        <v>1326</v>
      </c>
      <c r="C31" s="1997">
        <f>ROUND(C4*F31/(1+'数据-取费表'!F30),0)</f>
        <v>0</v>
      </c>
      <c r="D31" s="1998"/>
      <c r="E31" s="1999"/>
      <c r="F31" s="2000">
        <f>'数据-取费表'!E29</f>
        <v>5.6000000000000001E-2</v>
      </c>
      <c r="G31" s="2001" t="s">
        <v>1327</v>
      </c>
      <c r="H31" s="2002"/>
      <c r="I31" s="2002"/>
      <c r="J31" s="2002"/>
      <c r="K31" s="2020"/>
    </row>
    <row r="32" spans="1:33" s="1924" customFormat="1" ht="13.5" customHeight="1">
      <c r="A32" s="2003" t="s">
        <v>1328</v>
      </c>
      <c r="B32" s="2004"/>
      <c r="C32" s="2005">
        <f ca="1">ROUND((C4-C21-C22-C23-C25-C28-C31)/(1+C24+D25+D28),0)</f>
        <v>71281</v>
      </c>
      <c r="D32" s="2004"/>
      <c r="E32" s="2004"/>
      <c r="F32" s="2004"/>
      <c r="G32" s="2006" t="s">
        <v>1329</v>
      </c>
      <c r="H32" s="2004"/>
      <c r="I32" s="2004"/>
      <c r="J32" s="2004"/>
      <c r="K32" s="2021"/>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1330</v>
      </c>
      <c r="B1" s="1746"/>
      <c r="C1" s="1747"/>
      <c r="D1" s="1747"/>
      <c r="E1" s="1748"/>
      <c r="F1" s="1749"/>
      <c r="G1" s="1750"/>
      <c r="J1" s="1852" t="s">
        <v>1331</v>
      </c>
      <c r="K1" s="1853"/>
      <c r="L1" s="1853"/>
      <c r="M1" s="1853"/>
      <c r="N1" s="1853"/>
      <c r="O1" s="1853"/>
      <c r="P1" s="1853"/>
      <c r="Q1" s="1853"/>
      <c r="R1" s="1896"/>
      <c r="S1" s="1897"/>
      <c r="T1" s="1897"/>
      <c r="U1" s="1897"/>
    </row>
    <row r="2" spans="1:23" s="1738" customFormat="1" ht="13.15" customHeight="1">
      <c r="A2" s="1751" t="s">
        <v>1332</v>
      </c>
      <c r="B2" s="1752" t="e">
        <f>C40</f>
        <v>#DIV/0!</v>
      </c>
      <c r="C2" s="1747" t="s">
        <v>1333</v>
      </c>
      <c r="D2" s="1747"/>
      <c r="E2" s="1753"/>
      <c r="F2" s="1754"/>
      <c r="G2" s="1755"/>
      <c r="H2" s="1756"/>
      <c r="I2" s="1854"/>
      <c r="J2" s="3597" t="s">
        <v>1334</v>
      </c>
      <c r="K2" s="3598"/>
      <c r="L2" s="1855" t="s">
        <v>1335</v>
      </c>
      <c r="M2" s="1855" t="s">
        <v>1336</v>
      </c>
      <c r="N2" s="1855" t="s">
        <v>1337</v>
      </c>
      <c r="O2" s="1855" t="s">
        <v>1338</v>
      </c>
      <c r="P2" s="1855" t="s">
        <v>1339</v>
      </c>
      <c r="Q2" s="1898" t="s">
        <v>1340</v>
      </c>
      <c r="R2" s="1899" t="s">
        <v>1341</v>
      </c>
      <c r="S2" s="1897"/>
      <c r="T2" s="1897"/>
      <c r="U2" s="1897"/>
      <c r="V2" s="1854"/>
      <c r="W2" s="1756"/>
    </row>
    <row r="3" spans="1:23" s="1738" customFormat="1" ht="13.15" customHeight="1">
      <c r="A3" s="1757" t="s">
        <v>1342</v>
      </c>
      <c r="B3" s="1758" t="e">
        <f>ROUND(B2*10000/B4,0)</f>
        <v>#DIV/0!</v>
      </c>
      <c r="C3" s="1747" t="s">
        <v>1343</v>
      </c>
      <c r="D3" s="1747"/>
      <c r="E3" s="1753"/>
      <c r="F3" s="1754"/>
      <c r="G3" s="1755"/>
      <c r="H3" s="1756"/>
      <c r="I3" s="1854"/>
      <c r="J3" s="3591" t="s">
        <v>1344</v>
      </c>
      <c r="K3" s="3592"/>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91" t="s">
        <v>1345</v>
      </c>
      <c r="K4" s="3592"/>
      <c r="L4" s="1857"/>
      <c r="M4" s="1857"/>
      <c r="N4" s="1857"/>
      <c r="O4" s="1857"/>
      <c r="P4" s="1857"/>
      <c r="Q4" s="1902"/>
      <c r="R4" s="1903">
        <f>SUM(L4:Q4)</f>
        <v>0</v>
      </c>
      <c r="S4" s="1897"/>
      <c r="T4" s="1897"/>
      <c r="U4" s="1897"/>
      <c r="V4" s="1854"/>
      <c r="W4" s="1756"/>
    </row>
    <row r="5" spans="1:23" s="1738" customFormat="1" ht="13.15" customHeight="1">
      <c r="A5" s="1761" t="s">
        <v>1346</v>
      </c>
      <c r="B5" s="1762"/>
      <c r="C5" s="1747"/>
      <c r="D5" s="1763"/>
      <c r="E5" s="1754"/>
      <c r="F5" s="1754"/>
      <c r="G5" s="1755"/>
      <c r="H5" s="1756"/>
      <c r="I5" s="1854"/>
      <c r="J5" s="1858" t="s">
        <v>1347</v>
      </c>
      <c r="K5" s="1859"/>
      <c r="L5" s="1859"/>
      <c r="M5" s="1860"/>
      <c r="N5" s="1860"/>
      <c r="O5" s="1860"/>
      <c r="P5" s="1860"/>
      <c r="Q5" s="1860"/>
      <c r="R5" s="1899">
        <f>SUM(R14,R19,R24,R25,R27,R28)</f>
        <v>0</v>
      </c>
      <c r="S5" s="1897"/>
      <c r="T5" s="1897" t="s">
        <v>1348</v>
      </c>
      <c r="U5" s="1897" t="e">
        <f>ROUND(R5*10000/365/R3,1)</f>
        <v>#DIV/0!</v>
      </c>
      <c r="V5" s="1854"/>
      <c r="W5" s="1756"/>
    </row>
    <row r="6" spans="1:23" s="1738" customFormat="1" ht="13.15" customHeight="1">
      <c r="A6" s="3601" t="s">
        <v>1349</v>
      </c>
      <c r="B6" s="3602"/>
      <c r="C6" s="3603"/>
      <c r="D6" s="1764"/>
      <c r="E6" s="1765"/>
      <c r="F6" s="1766"/>
      <c r="G6" s="1767"/>
      <c r="H6" s="1756"/>
      <c r="I6" s="1854"/>
      <c r="J6" s="3585">
        <v>1</v>
      </c>
      <c r="K6" s="3588" t="s">
        <v>1350</v>
      </c>
      <c r="L6" s="1862" t="s">
        <v>1351</v>
      </c>
      <c r="M6" s="1863" t="s">
        <v>1352</v>
      </c>
      <c r="N6" s="1863" t="s">
        <v>1353</v>
      </c>
      <c r="O6" s="1863" t="s">
        <v>1354</v>
      </c>
      <c r="P6" s="1863" t="s">
        <v>1355</v>
      </c>
      <c r="Q6" s="1863" t="s">
        <v>1356</v>
      </c>
      <c r="R6" s="1901" t="s">
        <v>1357</v>
      </c>
      <c r="S6" s="1897"/>
      <c r="T6" s="1897" t="s">
        <v>1358</v>
      </c>
      <c r="U6" s="1897"/>
      <c r="V6" s="1854"/>
      <c r="W6" s="1756"/>
    </row>
    <row r="7" spans="1:23" s="1738" customFormat="1" ht="13.15" customHeight="1">
      <c r="A7" s="1768" t="s">
        <v>1359</v>
      </c>
      <c r="B7" s="1769"/>
      <c r="C7" s="1770"/>
      <c r="D7" s="1771">
        <f>SUM(D9,D10,D11,D17,0)</f>
        <v>0</v>
      </c>
      <c r="E7" s="1772" t="e">
        <f>E9+E10+E11+E17</f>
        <v>#DIV/0!</v>
      </c>
      <c r="F7" s="1773"/>
      <c r="G7" s="1774"/>
      <c r="H7" s="1756"/>
      <c r="I7" s="1854"/>
      <c r="J7" s="3585"/>
      <c r="K7" s="3589"/>
      <c r="L7" s="1864" t="s">
        <v>1360</v>
      </c>
      <c r="M7" s="1865"/>
      <c r="N7" s="1865"/>
      <c r="O7" s="1866"/>
      <c r="P7" s="1866"/>
      <c r="Q7" s="1873">
        <v>365</v>
      </c>
      <c r="R7" s="1904">
        <f>ROUND(M7*N7*O7*P7*Q7/10000,0)</f>
        <v>0</v>
      </c>
      <c r="S7" s="1897"/>
      <c r="T7" s="1897" t="s">
        <v>1361</v>
      </c>
      <c r="U7" s="1897"/>
      <c r="V7" s="1854"/>
      <c r="W7" s="1756"/>
    </row>
    <row r="8" spans="1:23" s="1738" customFormat="1" ht="13.15" customHeight="1">
      <c r="A8" s="1775" t="s">
        <v>1362</v>
      </c>
      <c r="B8" s="3599" t="s">
        <v>1363</v>
      </c>
      <c r="C8" s="3600"/>
      <c r="D8" s="1778" t="s">
        <v>1364</v>
      </c>
      <c r="E8" s="1779" t="s">
        <v>1365</v>
      </c>
      <c r="F8" s="1780" t="s">
        <v>1366</v>
      </c>
      <c r="G8" s="1781" t="s">
        <v>1367</v>
      </c>
      <c r="H8" s="1756"/>
      <c r="I8" s="1854"/>
      <c r="J8" s="3585"/>
      <c r="K8" s="3589"/>
      <c r="L8" s="1864" t="s">
        <v>1368</v>
      </c>
      <c r="M8" s="1865"/>
      <c r="N8" s="1865"/>
      <c r="O8" s="1866"/>
      <c r="P8" s="1866"/>
      <c r="Q8" s="1873">
        <v>365</v>
      </c>
      <c r="R8" s="1904">
        <f t="shared" ref="R8:R13" si="0">ROUND(M8*N8*O8*P8*Q8/10000,0)</f>
        <v>0</v>
      </c>
      <c r="S8" s="1897"/>
      <c r="T8" s="1897" t="s">
        <v>1369</v>
      </c>
      <c r="U8" s="1897"/>
      <c r="V8" s="1854"/>
      <c r="W8" s="1756"/>
    </row>
    <row r="9" spans="1:23" s="1738" customFormat="1" ht="13.15" customHeight="1">
      <c r="A9" s="1775">
        <v>1</v>
      </c>
      <c r="B9" s="3599" t="s">
        <v>1370</v>
      </c>
      <c r="C9" s="3600"/>
      <c r="D9" s="1778">
        <f>ROUND(D6*E9,0)</f>
        <v>0</v>
      </c>
      <c r="E9" s="1782"/>
      <c r="F9" s="1783" t="s">
        <v>1371</v>
      </c>
      <c r="G9" s="1784" t="s">
        <v>1372</v>
      </c>
      <c r="H9" s="1756"/>
      <c r="I9" s="1854"/>
      <c r="J9" s="3585"/>
      <c r="K9" s="3589"/>
      <c r="L9" s="1864" t="s">
        <v>1373</v>
      </c>
      <c r="M9" s="1865"/>
      <c r="N9" s="1865"/>
      <c r="O9" s="1866"/>
      <c r="P9" s="1866"/>
      <c r="Q9" s="1873">
        <v>365</v>
      </c>
      <c r="R9" s="1904">
        <f t="shared" si="0"/>
        <v>0</v>
      </c>
      <c r="S9" s="1897"/>
      <c r="T9" s="1897"/>
      <c r="U9" s="1897"/>
      <c r="V9" s="1854"/>
      <c r="W9" s="1756"/>
    </row>
    <row r="10" spans="1:23" s="1738" customFormat="1" ht="13.15" customHeight="1">
      <c r="A10" s="1775">
        <v>2</v>
      </c>
      <c r="B10" s="3599" t="s">
        <v>1374</v>
      </c>
      <c r="C10" s="3600"/>
      <c r="D10" s="1778">
        <f>ROUND(D6*E10,0)</f>
        <v>0</v>
      </c>
      <c r="E10" s="1782"/>
      <c r="F10" s="1783" t="s">
        <v>1375</v>
      </c>
      <c r="G10" s="1784" t="s">
        <v>1376</v>
      </c>
      <c r="H10" s="1756"/>
      <c r="I10" s="1854"/>
      <c r="J10" s="3585"/>
      <c r="K10" s="3589"/>
      <c r="L10" s="1864" t="s">
        <v>1377</v>
      </c>
      <c r="M10" s="1865"/>
      <c r="N10" s="1865"/>
      <c r="O10" s="1866"/>
      <c r="P10" s="1866"/>
      <c r="Q10" s="1873">
        <v>365</v>
      </c>
      <c r="R10" s="1904">
        <f t="shared" si="0"/>
        <v>0</v>
      </c>
      <c r="S10" s="1897"/>
      <c r="T10" s="1897"/>
      <c r="U10" s="1897"/>
      <c r="V10" s="1854"/>
      <c r="W10" s="1756"/>
    </row>
    <row r="11" spans="1:23" s="1738" customFormat="1" ht="13.15" customHeight="1">
      <c r="A11" s="1775">
        <v>3</v>
      </c>
      <c r="B11" s="3599" t="s">
        <v>1378</v>
      </c>
      <c r="C11" s="3600"/>
      <c r="D11" s="1778">
        <f>D12+D14+D15+D16</f>
        <v>0</v>
      </c>
      <c r="E11" s="1785" t="e">
        <f>D11/D6</f>
        <v>#DIV/0!</v>
      </c>
      <c r="F11" s="1780"/>
      <c r="G11" s="1784"/>
      <c r="H11" s="1756"/>
      <c r="I11" s="1854"/>
      <c r="J11" s="3585"/>
      <c r="K11" s="3589"/>
      <c r="L11" s="1864" t="s">
        <v>1379</v>
      </c>
      <c r="M11" s="1865"/>
      <c r="N11" s="1865"/>
      <c r="O11" s="1866"/>
      <c r="P11" s="1866"/>
      <c r="Q11" s="1873">
        <v>365</v>
      </c>
      <c r="R11" s="1904">
        <f t="shared" si="0"/>
        <v>0</v>
      </c>
      <c r="S11" s="1897"/>
      <c r="T11" s="1897"/>
      <c r="U11" s="1897"/>
      <c r="V11" s="1854"/>
      <c r="W11" s="1756"/>
    </row>
    <row r="12" spans="1:23" s="1738" customFormat="1" ht="13.15" customHeight="1">
      <c r="A12" s="1786" t="s">
        <v>1380</v>
      </c>
      <c r="B12" s="3593" t="s">
        <v>1381</v>
      </c>
      <c r="C12" s="3594"/>
      <c r="D12" s="1789">
        <f>ROUND(D13*1.2%*(1-30%),0)</f>
        <v>0</v>
      </c>
      <c r="E12" s="1790">
        <v>1.2E-2</v>
      </c>
      <c r="F12" s="1780" t="s">
        <v>1382</v>
      </c>
      <c r="G12" s="1784"/>
      <c r="H12" s="1756"/>
      <c r="I12" s="1854"/>
      <c r="J12" s="3585"/>
      <c r="K12" s="3589"/>
      <c r="L12" s="1864" t="s">
        <v>1383</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1384</v>
      </c>
      <c r="D13" s="1792"/>
      <c r="E13" s="1793"/>
      <c r="F13" s="1780"/>
      <c r="G13" s="1784"/>
      <c r="H13" s="1756"/>
      <c r="I13" s="1854"/>
      <c r="J13" s="3585"/>
      <c r="K13" s="3589"/>
      <c r="L13" s="1864" t="s">
        <v>1385</v>
      </c>
      <c r="M13" s="1865"/>
      <c r="N13" s="1865"/>
      <c r="O13" s="1866"/>
      <c r="P13" s="1866"/>
      <c r="Q13" s="1873">
        <v>365</v>
      </c>
      <c r="R13" s="1904">
        <f t="shared" si="0"/>
        <v>0</v>
      </c>
      <c r="S13" s="1897"/>
      <c r="T13" s="1897"/>
      <c r="U13" s="1897"/>
      <c r="V13" s="1854"/>
      <c r="W13" s="1756"/>
    </row>
    <row r="14" spans="1:23" s="1738" customFormat="1" ht="13.15" customHeight="1">
      <c r="A14" s="1786" t="s">
        <v>1386</v>
      </c>
      <c r="B14" s="3593" t="s">
        <v>1387</v>
      </c>
      <c r="C14" s="3594"/>
      <c r="D14" s="1789">
        <f>ROUND(E14*B5/10000,0)</f>
        <v>0</v>
      </c>
      <c r="E14" s="1794"/>
      <c r="F14" s="1780" t="s">
        <v>1388</v>
      </c>
      <c r="G14" s="1784"/>
      <c r="H14" s="1756"/>
      <c r="I14" s="1854"/>
      <c r="J14" s="3585"/>
      <c r="K14" s="3590"/>
      <c r="L14" s="1867" t="s">
        <v>1389</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1390</v>
      </c>
      <c r="B15" s="3593" t="s">
        <v>1391</v>
      </c>
      <c r="C15" s="3594"/>
      <c r="D15" s="1789">
        <f>ROUND(D6*E15,0)</f>
        <v>0</v>
      </c>
      <c r="E15" s="1790">
        <v>5.5E-2</v>
      </c>
      <c r="F15" s="1780" t="s">
        <v>1392</v>
      </c>
      <c r="G15" s="1784"/>
      <c r="H15" s="1756"/>
      <c r="I15" s="1854"/>
      <c r="J15" s="3585">
        <v>2</v>
      </c>
      <c r="K15" s="3588" t="s">
        <v>1393</v>
      </c>
      <c r="L15" s="1870" t="s">
        <v>1394</v>
      </c>
      <c r="M15" s="1871" t="s">
        <v>1395</v>
      </c>
      <c r="N15" s="1871" t="s">
        <v>1396</v>
      </c>
      <c r="O15" s="1872" t="s">
        <v>1397</v>
      </c>
      <c r="P15" s="1872" t="s">
        <v>1356</v>
      </c>
      <c r="Q15" s="1760" t="s">
        <v>121</v>
      </c>
      <c r="R15" s="1906" t="s">
        <v>1357</v>
      </c>
      <c r="S15" s="1897"/>
      <c r="T15" s="1897"/>
      <c r="U15" s="1897"/>
      <c r="V15" s="1854"/>
      <c r="W15" s="1756"/>
    </row>
    <row r="16" spans="1:23" s="1738" customFormat="1" ht="13.15" customHeight="1">
      <c r="A16" s="1786" t="s">
        <v>1398</v>
      </c>
      <c r="B16" s="3593" t="s">
        <v>1399</v>
      </c>
      <c r="C16" s="3594"/>
      <c r="D16" s="1795">
        <f>D6*E16</f>
        <v>0</v>
      </c>
      <c r="E16" s="1796"/>
      <c r="F16" s="1783" t="s">
        <v>1400</v>
      </c>
      <c r="G16" s="1784"/>
      <c r="H16" s="1756"/>
      <c r="I16" s="1854"/>
      <c r="J16" s="3585"/>
      <c r="K16" s="3589"/>
      <c r="L16" s="1864" t="s">
        <v>1401</v>
      </c>
      <c r="M16" s="1865"/>
      <c r="N16" s="1865"/>
      <c r="O16" s="1866"/>
      <c r="P16" s="1873">
        <v>365</v>
      </c>
      <c r="Q16" s="1865"/>
      <c r="R16" s="1907">
        <f>ROUND(M16*N16*O16*P16/10000,0)</f>
        <v>0</v>
      </c>
      <c r="S16" s="1897"/>
      <c r="T16" s="1897"/>
      <c r="U16" s="1897"/>
      <c r="V16" s="1854"/>
      <c r="W16" s="1756"/>
    </row>
    <row r="17" spans="1:23" s="1738" customFormat="1" ht="13.15" customHeight="1">
      <c r="A17" s="1797">
        <v>4</v>
      </c>
      <c r="B17" s="3595" t="s">
        <v>1402</v>
      </c>
      <c r="C17" s="3596"/>
      <c r="D17" s="1798">
        <f>ROUND(D6*E17,0)</f>
        <v>0</v>
      </c>
      <c r="E17" s="1799"/>
      <c r="F17" s="1800" t="s">
        <v>1403</v>
      </c>
      <c r="G17" s="1801">
        <v>0.1</v>
      </c>
      <c r="H17" s="1756"/>
      <c r="I17" s="1854"/>
      <c r="J17" s="3585"/>
      <c r="K17" s="3589"/>
      <c r="L17" s="1864" t="s">
        <v>1404</v>
      </c>
      <c r="M17" s="1865"/>
      <c r="N17" s="1865"/>
      <c r="O17" s="1866"/>
      <c r="P17" s="1873">
        <v>365</v>
      </c>
      <c r="Q17" s="1865"/>
      <c r="R17" s="1907">
        <f>ROUND(M17*N17*O17*P17/10000,0)</f>
        <v>0</v>
      </c>
      <c r="S17" s="1897"/>
      <c r="T17" s="1897"/>
      <c r="U17" s="1897"/>
      <c r="V17" s="1854"/>
      <c r="W17" s="1756"/>
    </row>
    <row r="18" spans="1:23" s="1738" customFormat="1" ht="13.15" customHeight="1">
      <c r="A18" s="1768" t="s">
        <v>1405</v>
      </c>
      <c r="B18" s="1769"/>
      <c r="C18" s="1769"/>
      <c r="D18" s="1802">
        <f>ROUND(D6*E18,0)</f>
        <v>0</v>
      </c>
      <c r="E18" s="1803"/>
      <c r="F18" s="1804" t="s">
        <v>1406</v>
      </c>
      <c r="G18" s="1801">
        <v>0.05</v>
      </c>
      <c r="H18" s="1756"/>
      <c r="I18" s="1854"/>
      <c r="J18" s="3585"/>
      <c r="K18" s="3589"/>
      <c r="L18" s="1864" t="s">
        <v>1407</v>
      </c>
      <c r="M18" s="1865"/>
      <c r="N18" s="1865"/>
      <c r="O18" s="1866"/>
      <c r="P18" s="1873">
        <v>365</v>
      </c>
      <c r="Q18" s="1865"/>
      <c r="R18" s="1907">
        <f>ROUND(M18*N18*O18*P18/10000,0)</f>
        <v>0</v>
      </c>
      <c r="S18" s="1897"/>
      <c r="T18" s="1897"/>
      <c r="U18" s="1897"/>
      <c r="V18" s="1854"/>
      <c r="W18" s="1756"/>
    </row>
    <row r="19" spans="1:23" s="1738" customFormat="1" ht="13.15" customHeight="1">
      <c r="A19" s="1805" t="s">
        <v>1408</v>
      </c>
      <c r="B19" s="1765"/>
      <c r="C19" s="1765"/>
      <c r="D19" s="1765"/>
      <c r="E19" s="1765"/>
      <c r="F19" s="1766"/>
      <c r="G19" s="1784"/>
      <c r="H19" s="1756"/>
      <c r="I19" s="1854"/>
      <c r="J19" s="3585"/>
      <c r="K19" s="3590"/>
      <c r="L19" s="1867" t="s">
        <v>1389</v>
      </c>
      <c r="M19" s="1868"/>
      <c r="N19" s="1868">
        <f>SUM(N16:N18)</f>
        <v>0</v>
      </c>
      <c r="O19" s="1869"/>
      <c r="P19" s="1874" t="s">
        <v>1409</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85">
        <v>3</v>
      </c>
      <c r="K20" s="3588" t="s">
        <v>1410</v>
      </c>
      <c r="L20" s="1870" t="s">
        <v>1411</v>
      </c>
      <c r="M20" s="1871" t="s">
        <v>1412</v>
      </c>
      <c r="N20" s="1875" t="s">
        <v>1413</v>
      </c>
      <c r="O20" s="1872" t="s">
        <v>1414</v>
      </c>
      <c r="P20" s="1794" t="s">
        <v>1356</v>
      </c>
      <c r="Q20" s="1760" t="s">
        <v>121</v>
      </c>
      <c r="R20" s="1906" t="s">
        <v>1357</v>
      </c>
      <c r="S20" s="1894"/>
      <c r="T20" s="1894"/>
      <c r="U20" s="1894"/>
      <c r="V20" s="1854"/>
      <c r="W20" s="1756"/>
    </row>
    <row r="21" spans="1:23" s="1738" customFormat="1" ht="13.15" customHeight="1">
      <c r="A21" s="1768"/>
      <c r="B21" s="1769"/>
      <c r="C21" s="1776" t="s">
        <v>1415</v>
      </c>
      <c r="D21" s="1807" t="s">
        <v>1416</v>
      </c>
      <c r="E21" s="1777" t="s">
        <v>1417</v>
      </c>
      <c r="F21" s="1806"/>
      <c r="G21" s="1784"/>
      <c r="H21" s="1756"/>
      <c r="I21" s="1854"/>
      <c r="J21" s="3585"/>
      <c r="K21" s="3589"/>
      <c r="L21" s="1870" t="s">
        <v>1418</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1419</v>
      </c>
      <c r="D22" s="1809" t="s">
        <v>1420</v>
      </c>
      <c r="E22" s="1810" t="s">
        <v>1421</v>
      </c>
      <c r="F22" s="1806"/>
      <c r="G22" s="1811"/>
      <c r="H22" s="1756"/>
      <c r="I22" s="1854"/>
      <c r="J22" s="3585"/>
      <c r="K22" s="3589"/>
      <c r="L22" s="1870" t="s">
        <v>1422</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1423</v>
      </c>
      <c r="C23" s="1814">
        <f>D6</f>
        <v>0</v>
      </c>
      <c r="D23" s="1815">
        <f>C23*(1+D24)</f>
        <v>0</v>
      </c>
      <c r="E23" s="1816">
        <f>D23*(1+E24)</f>
        <v>0</v>
      </c>
      <c r="F23" s="1817"/>
      <c r="G23" s="1818"/>
      <c r="H23" s="1756"/>
      <c r="I23" s="1854"/>
      <c r="J23" s="3585"/>
      <c r="K23" s="3589"/>
      <c r="L23" s="1870" t="s">
        <v>1424</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1425</v>
      </c>
      <c r="C24" s="1821"/>
      <c r="D24" s="1822"/>
      <c r="E24" s="1823"/>
      <c r="F24" s="1824"/>
      <c r="G24" s="1818"/>
      <c r="H24" s="1756"/>
      <c r="I24" s="1854"/>
      <c r="J24" s="3585"/>
      <c r="K24" s="3590"/>
      <c r="L24" s="1867" t="s">
        <v>1389</v>
      </c>
      <c r="M24" s="1868">
        <f>SUM(M21:M23)</f>
        <v>0</v>
      </c>
      <c r="N24" s="1868"/>
      <c r="O24" s="1869"/>
      <c r="P24" s="1874" t="s">
        <v>1409</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1426</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1427</v>
      </c>
      <c r="C26" s="1814">
        <f>D7</f>
        <v>0</v>
      </c>
      <c r="D26" s="1815">
        <f>D23*D27</f>
        <v>0</v>
      </c>
      <c r="E26" s="1816">
        <f>E23*E27</f>
        <v>0</v>
      </c>
      <c r="F26" s="1817"/>
      <c r="G26" s="1818"/>
      <c r="H26" s="1756"/>
      <c r="I26" s="1854"/>
      <c r="J26" s="3586">
        <v>5</v>
      </c>
      <c r="K26" s="1879" t="s">
        <v>1428</v>
      </c>
      <c r="L26" s="1880"/>
      <c r="M26" s="1881"/>
      <c r="N26" s="1882" t="s">
        <v>359</v>
      </c>
      <c r="O26" s="1882" t="s">
        <v>1429</v>
      </c>
      <c r="P26" s="1883" t="s">
        <v>1430</v>
      </c>
      <c r="Q26" s="1883" t="s">
        <v>1431</v>
      </c>
      <c r="R26" s="1901" t="s">
        <v>1357</v>
      </c>
      <c r="S26" s="1911"/>
      <c r="T26" s="1911"/>
      <c r="U26" s="1911"/>
      <c r="V26" s="1884"/>
      <c r="W26" s="1826"/>
    </row>
    <row r="27" spans="1:23" s="1738" customFormat="1" ht="13.15" customHeight="1">
      <c r="A27" s="1819"/>
      <c r="B27" s="1820" t="s">
        <v>1432</v>
      </c>
      <c r="C27" s="1825" t="e">
        <f>E7</f>
        <v>#DIV/0!</v>
      </c>
      <c r="D27" s="1822"/>
      <c r="E27" s="1823"/>
      <c r="F27" s="1824"/>
      <c r="G27" s="1818"/>
      <c r="H27" s="1826"/>
      <c r="I27" s="1884"/>
      <c r="J27" s="3587"/>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1087</v>
      </c>
      <c r="F28" s="1824"/>
      <c r="G28" s="1811"/>
      <c r="H28" s="1826"/>
      <c r="I28" s="1884"/>
      <c r="J28" s="1889">
        <v>6</v>
      </c>
      <c r="K28" s="1890" t="s">
        <v>1433</v>
      </c>
      <c r="L28" s="1891" t="s">
        <v>1434</v>
      </c>
      <c r="M28" s="1892"/>
      <c r="N28" s="1891" t="s">
        <v>1435</v>
      </c>
      <c r="O28" s="1893"/>
      <c r="P28" s="1891" t="s">
        <v>1436</v>
      </c>
      <c r="Q28" s="1913">
        <v>1.4999999999999999E-2</v>
      </c>
      <c r="R28" s="1914"/>
      <c r="S28" s="1894"/>
      <c r="T28" s="1894"/>
      <c r="U28" s="1894"/>
      <c r="V28" s="1884"/>
      <c r="W28" s="1826"/>
    </row>
    <row r="29" spans="1:23" s="1739" customFormat="1" ht="13.15" customHeight="1">
      <c r="A29" s="1812">
        <v>3</v>
      </c>
      <c r="B29" s="1813" t="s">
        <v>1437</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1432</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1438</v>
      </c>
      <c r="K31" s="1853"/>
      <c r="L31" s="1853"/>
      <c r="M31" s="1853"/>
      <c r="N31" s="1853"/>
      <c r="O31" s="1853"/>
      <c r="P31" s="1853"/>
      <c r="Q31" s="1853"/>
      <c r="R31" s="1896"/>
      <c r="S31" s="1894"/>
      <c r="T31" s="1897"/>
      <c r="U31" s="1897"/>
      <c r="V31" s="1884"/>
      <c r="W31" s="1826"/>
    </row>
    <row r="32" spans="1:23" s="1739" customFormat="1" ht="13.15" customHeight="1">
      <c r="A32" s="1812">
        <v>4</v>
      </c>
      <c r="B32" s="1813" t="s">
        <v>1439</v>
      </c>
      <c r="C32" s="1814">
        <f>C23-C26-C29</f>
        <v>0</v>
      </c>
      <c r="D32" s="1815">
        <f>D23-D26-D29</f>
        <v>0</v>
      </c>
      <c r="E32" s="1816">
        <f>E23-E26-E29</f>
        <v>0</v>
      </c>
      <c r="F32" s="1817"/>
      <c r="G32" s="1811"/>
      <c r="H32" s="1756"/>
      <c r="I32" s="1854"/>
      <c r="J32" s="3597" t="s">
        <v>1334</v>
      </c>
      <c r="K32" s="3598"/>
      <c r="L32" s="1855" t="s">
        <v>1335</v>
      </c>
      <c r="M32" s="1855" t="s">
        <v>1336</v>
      </c>
      <c r="N32" s="1855" t="s">
        <v>1337</v>
      </c>
      <c r="O32" s="1855" t="s">
        <v>1338</v>
      </c>
      <c r="P32" s="1855" t="s">
        <v>1339</v>
      </c>
      <c r="Q32" s="1898" t="s">
        <v>1340</v>
      </c>
      <c r="R32" s="1915" t="s">
        <v>1341</v>
      </c>
      <c r="S32" s="1894"/>
      <c r="T32" s="1897"/>
      <c r="U32" s="1897"/>
      <c r="V32" s="1884"/>
      <c r="W32" s="1826"/>
    </row>
    <row r="33" spans="1:23" s="1738" customFormat="1" ht="13.15" customHeight="1">
      <c r="A33" s="1812"/>
      <c r="B33" s="1813"/>
      <c r="C33" s="1814"/>
      <c r="D33" s="1829"/>
      <c r="E33" s="1788"/>
      <c r="F33" s="1817"/>
      <c r="G33" s="1811"/>
      <c r="H33" s="1826"/>
      <c r="I33" s="1884"/>
      <c r="J33" s="3591" t="s">
        <v>1344</v>
      </c>
      <c r="K33" s="3592"/>
      <c r="L33" s="1856"/>
      <c r="M33" s="1856"/>
      <c r="N33" s="1856"/>
      <c r="O33" s="1856"/>
      <c r="P33" s="1856"/>
      <c r="Q33" s="1900"/>
      <c r="R33" s="1916">
        <f>SUM(L33:Q33)</f>
        <v>0</v>
      </c>
      <c r="S33" s="1894"/>
      <c r="T33" s="1897"/>
      <c r="U33" s="1897"/>
      <c r="V33" s="1854"/>
      <c r="W33" s="1756"/>
    </row>
    <row r="34" spans="1:23" s="1738" customFormat="1" ht="13.15" customHeight="1">
      <c r="A34" s="1812">
        <v>5</v>
      </c>
      <c r="B34" s="1813" t="s">
        <v>1440</v>
      </c>
      <c r="C34" s="1830"/>
      <c r="D34" s="1831"/>
      <c r="E34" s="1832"/>
      <c r="F34" s="1817"/>
      <c r="G34" s="1811"/>
      <c r="H34" s="1826"/>
      <c r="I34" s="1884"/>
      <c r="J34" s="3591" t="s">
        <v>1345</v>
      </c>
      <c r="K34" s="3592"/>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1441</v>
      </c>
      <c r="C35" s="1833"/>
      <c r="D35" s="1834"/>
      <c r="E35" s="1835"/>
      <c r="F35" s="1817"/>
      <c r="G35" s="1836"/>
      <c r="H35" s="1756"/>
      <c r="I35" s="1884"/>
      <c r="J35" s="1858" t="s">
        <v>1347</v>
      </c>
      <c r="K35" s="1859"/>
      <c r="L35" s="1859"/>
      <c r="M35" s="1860"/>
      <c r="N35" s="1860"/>
      <c r="O35" s="1860"/>
      <c r="P35" s="1860"/>
      <c r="Q35" s="1860"/>
      <c r="R35" s="1918">
        <f>R40+R41+R43</f>
        <v>0</v>
      </c>
      <c r="S35" s="1894"/>
      <c r="T35" s="1897" t="s">
        <v>1348</v>
      </c>
      <c r="U35" s="1897"/>
      <c r="V35" s="1854"/>
      <c r="W35" s="1756"/>
    </row>
    <row r="36" spans="1:23" s="1738" customFormat="1" ht="13.15" customHeight="1">
      <c r="A36" s="1812">
        <v>7</v>
      </c>
      <c r="B36" s="1837" t="s">
        <v>1442</v>
      </c>
      <c r="C36" s="1838"/>
      <c r="D36" s="1839"/>
      <c r="E36" s="1840"/>
      <c r="F36" s="1841">
        <f>C36+D36+E36</f>
        <v>0</v>
      </c>
      <c r="G36" s="1811"/>
      <c r="H36" s="1756"/>
      <c r="I36" s="1854"/>
      <c r="J36" s="3585">
        <v>1</v>
      </c>
      <c r="K36" s="3588" t="s">
        <v>1443</v>
      </c>
      <c r="L36" s="1862"/>
      <c r="M36" s="1863"/>
      <c r="N36" s="1863"/>
      <c r="O36" s="1863"/>
      <c r="P36" s="1863"/>
      <c r="Q36" s="1863"/>
      <c r="R36" s="1901" t="s">
        <v>1357</v>
      </c>
      <c r="S36" s="1894"/>
      <c r="T36" s="1897" t="s">
        <v>1358</v>
      </c>
      <c r="U36" s="1897"/>
      <c r="V36" s="1854"/>
      <c r="W36" s="1756"/>
    </row>
    <row r="37" spans="1:23" s="1738" customFormat="1" ht="13.15" customHeight="1">
      <c r="A37" s="1812"/>
      <c r="B37" s="1813"/>
      <c r="C37" s="1813"/>
      <c r="D37" s="1813"/>
      <c r="E37" s="1813"/>
      <c r="F37" s="1817"/>
      <c r="G37" s="1811"/>
      <c r="H37" s="1756"/>
      <c r="I37" s="1854"/>
      <c r="J37" s="3585"/>
      <c r="K37" s="3589"/>
      <c r="L37" s="1870"/>
      <c r="M37" s="1871"/>
      <c r="N37" s="1760"/>
      <c r="O37" s="1872"/>
      <c r="P37" s="1872"/>
      <c r="Q37" s="1794"/>
      <c r="R37" s="1919"/>
      <c r="S37" s="1894"/>
      <c r="T37" s="1897" t="s">
        <v>1361</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85"/>
      <c r="K38" s="3589"/>
      <c r="L38" s="1870"/>
      <c r="M38" s="1871"/>
      <c r="N38" s="1760"/>
      <c r="O38" s="1872"/>
      <c r="P38" s="1872"/>
      <c r="Q38" s="1794"/>
      <c r="R38" s="1919"/>
      <c r="S38" s="1894"/>
      <c r="T38" s="1897" t="s">
        <v>1369</v>
      </c>
      <c r="U38" s="1897"/>
      <c r="V38" s="1854"/>
      <c r="W38" s="1756"/>
    </row>
    <row r="39" spans="1:23" s="1738" customFormat="1" ht="13.15" customHeight="1">
      <c r="A39" s="1812">
        <v>9</v>
      </c>
      <c r="B39" s="1813" t="s">
        <v>1444</v>
      </c>
      <c r="C39" s="1789" t="e">
        <f>C38</f>
        <v>#DIV/0!</v>
      </c>
      <c r="D39" s="1813">
        <f>D38/(1+D34)^C36</f>
        <v>0</v>
      </c>
      <c r="E39" s="1813">
        <f>E38/(1+E34)^(C36+D36)</f>
        <v>0</v>
      </c>
      <c r="F39" s="1817"/>
      <c r="G39" s="1842"/>
      <c r="H39" s="1756"/>
      <c r="I39" s="1854"/>
      <c r="J39" s="3585"/>
      <c r="K39" s="3589"/>
      <c r="L39" s="1870"/>
      <c r="M39" s="1871"/>
      <c r="N39" s="1760"/>
      <c r="O39" s="1872"/>
      <c r="P39" s="1872"/>
      <c r="Q39" s="1794"/>
      <c r="R39" s="1919"/>
      <c r="S39" s="1894"/>
      <c r="T39" s="1897"/>
      <c r="U39" s="1897"/>
      <c r="V39" s="1854"/>
      <c r="W39" s="1756"/>
    </row>
    <row r="40" spans="1:23" s="1738" customFormat="1" ht="13.15" customHeight="1">
      <c r="A40" s="1843">
        <v>10</v>
      </c>
      <c r="B40" s="1813" t="s">
        <v>1445</v>
      </c>
      <c r="C40" s="1844" t="e">
        <f>C39+D39+E39</f>
        <v>#DIV/0!</v>
      </c>
      <c r="D40" s="1845"/>
      <c r="E40" s="1845"/>
      <c r="F40" s="1846"/>
      <c r="G40" s="1811"/>
      <c r="H40" s="1756"/>
      <c r="I40" s="1854"/>
      <c r="J40" s="3585"/>
      <c r="K40" s="3590"/>
      <c r="L40" s="1867" t="s">
        <v>1389</v>
      </c>
      <c r="M40" s="1868"/>
      <c r="N40" s="1868"/>
      <c r="O40" s="1869"/>
      <c r="P40" s="1869"/>
      <c r="Q40" s="1905"/>
      <c r="R40" s="1899">
        <f>SUM(R37:R39)</f>
        <v>0</v>
      </c>
      <c r="S40" s="1894"/>
      <c r="T40" s="1897"/>
      <c r="U40" s="1897"/>
      <c r="V40" s="1854"/>
      <c r="W40" s="1756"/>
    </row>
    <row r="41" spans="1:23" s="1738" customFormat="1" ht="13.15" customHeight="1">
      <c r="A41" s="1847">
        <v>11</v>
      </c>
      <c r="B41" s="1848" t="s">
        <v>1446</v>
      </c>
      <c r="C41" s="1848" t="e">
        <f>ROUND(C40*10000/B4,0)</f>
        <v>#DIV/0!</v>
      </c>
      <c r="D41" s="1849"/>
      <c r="E41" s="1849"/>
      <c r="F41" s="1850"/>
      <c r="G41" s="1851"/>
      <c r="H41" s="1756"/>
      <c r="I41" s="1854"/>
      <c r="J41" s="1861">
        <v>2</v>
      </c>
      <c r="K41" s="1876" t="s">
        <v>1426</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86">
        <v>3</v>
      </c>
      <c r="K42" s="1879" t="s">
        <v>1428</v>
      </c>
      <c r="L42" s="1880"/>
      <c r="M42" s="1881"/>
      <c r="N42" s="1882" t="s">
        <v>359</v>
      </c>
      <c r="O42" s="1882" t="s">
        <v>1429</v>
      </c>
      <c r="P42" s="1883" t="s">
        <v>1430</v>
      </c>
      <c r="Q42" s="1883" t="s">
        <v>1431</v>
      </c>
      <c r="R42" s="1901" t="s">
        <v>1357</v>
      </c>
      <c r="S42" s="1911"/>
      <c r="T42" s="1911"/>
      <c r="U42" s="1897"/>
      <c r="V42" s="1854"/>
      <c r="W42" s="1756"/>
    </row>
    <row r="43" spans="1:23" ht="13.15" customHeight="1">
      <c r="A43" s="1738"/>
      <c r="B43" s="1738"/>
      <c r="C43" s="1738"/>
      <c r="D43" s="1738"/>
      <c r="E43" s="1738"/>
      <c r="F43" s="1738"/>
      <c r="I43" s="1742"/>
      <c r="J43" s="3587"/>
      <c r="K43" s="1885"/>
      <c r="L43" s="1886"/>
      <c r="M43" s="1887"/>
      <c r="N43" s="1871"/>
      <c r="O43" s="1871"/>
      <c r="P43" s="1871"/>
      <c r="Q43" s="1910"/>
      <c r="R43" s="1908">
        <f>ROUND(O43*N43*P43*(1-Q43)/10000,0)</f>
        <v>0</v>
      </c>
      <c r="S43" s="1894"/>
      <c r="T43" s="1897"/>
      <c r="V43" s="1744"/>
      <c r="W43" s="1743"/>
    </row>
    <row r="44" spans="1:23" ht="13.15" customHeight="1">
      <c r="J44" s="1889">
        <v>6</v>
      </c>
      <c r="K44" s="1890" t="s">
        <v>1433</v>
      </c>
      <c r="L44" s="1895" t="s">
        <v>1434</v>
      </c>
      <c r="M44" s="1892"/>
      <c r="N44" s="1895" t="s">
        <v>1435</v>
      </c>
      <c r="O44" s="1892"/>
      <c r="P44" s="1895" t="s">
        <v>1436</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1447</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869</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870</v>
      </c>
      <c r="B3" s="1612" t="e">
        <f>B24</f>
        <v>#DIV/0!</v>
      </c>
      <c r="C3" s="1613" t="s">
        <v>1448</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1449</v>
      </c>
      <c r="C4" s="3604" t="s">
        <v>1450</v>
      </c>
      <c r="D4" s="3605"/>
      <c r="E4" s="3605"/>
      <c r="F4" s="3605"/>
      <c r="G4" s="3605"/>
      <c r="H4" s="3605"/>
      <c r="I4" s="3605"/>
      <c r="J4" s="3605"/>
      <c r="K4" s="3605"/>
      <c r="L4" s="3605"/>
      <c r="M4" s="3605"/>
      <c r="N4" s="3605"/>
      <c r="O4" s="3605"/>
      <c r="P4" s="3605"/>
      <c r="Q4" s="3605"/>
      <c r="R4" s="3605"/>
      <c r="S4" s="3606"/>
      <c r="T4" s="1615" t="s">
        <v>1451</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1452</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1453</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1454</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1455</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1456</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1457</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1458</v>
      </c>
      <c r="B20" s="1643" t="s">
        <v>1459</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1460</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1461</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75">
      <c r="A24" s="1654" t="s">
        <v>1462</v>
      </c>
      <c r="B24" s="1653" t="e">
        <f>ROUND(B23*10000/B25,0)</f>
        <v>#DIV/0!</v>
      </c>
      <c r="C24" s="1610"/>
      <c r="D24" s="1611"/>
      <c r="E24" s="1611"/>
      <c r="F24" s="1611"/>
      <c r="G24" s="1611"/>
      <c r="H24" s="1611"/>
      <c r="I24" s="1611"/>
      <c r="J24" s="1611"/>
      <c r="K24" s="1611"/>
      <c r="L24" s="1611"/>
      <c r="M24" s="1611"/>
      <c r="N24" s="1611"/>
      <c r="O24" s="1611"/>
      <c r="P24" s="1611"/>
      <c r="Q24" s="1611"/>
      <c r="R24" s="1694"/>
      <c r="S24" s="1657" t="s">
        <v>1463</v>
      </c>
      <c r="T24" s="1658" t="s">
        <v>1464</v>
      </c>
      <c r="U24" s="498" t="s">
        <v>1465</v>
      </c>
      <c r="V24" s="1724"/>
      <c r="W24" s="1725" t="s">
        <v>1466</v>
      </c>
      <c r="X24" s="498" t="s">
        <v>1467</v>
      </c>
      <c r="Y24" s="1724"/>
      <c r="Z24" s="1734" t="s">
        <v>1466</v>
      </c>
    </row>
    <row r="25" spans="1:45">
      <c r="A25" s="1612" t="s">
        <v>1468</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1469</v>
      </c>
      <c r="B26" s="1660" t="s">
        <v>359</v>
      </c>
      <c r="C26" s="1660" t="s">
        <v>1451</v>
      </c>
      <c r="D26" s="1660" t="str">
        <f>B8</f>
        <v>修正项2</v>
      </c>
      <c r="E26" s="1660" t="s">
        <v>1451</v>
      </c>
      <c r="F26" s="1660" t="str">
        <f>B10</f>
        <v>修正项3</v>
      </c>
      <c r="G26" s="1660" t="s">
        <v>1451</v>
      </c>
      <c r="H26" s="1660" t="str">
        <f>B12</f>
        <v>修正项4</v>
      </c>
      <c r="I26" s="1660" t="s">
        <v>1451</v>
      </c>
      <c r="J26" s="1660" t="str">
        <f>B14</f>
        <v>修正项5</v>
      </c>
      <c r="K26" s="1660" t="s">
        <v>1451</v>
      </c>
      <c r="L26" s="1660" t="str">
        <f>B16</f>
        <v>修正项6</v>
      </c>
      <c r="M26" s="1660" t="s">
        <v>1451</v>
      </c>
      <c r="N26" s="1660" t="str">
        <f>B18</f>
        <v>修正项7</v>
      </c>
      <c r="O26" s="1660" t="s">
        <v>1451</v>
      </c>
      <c r="P26" s="1660" t="str">
        <f>B20</f>
        <v>楼层</v>
      </c>
      <c r="Q26" s="1660" t="s">
        <v>1451</v>
      </c>
      <c r="R26" s="1729" t="s">
        <v>1470</v>
      </c>
      <c r="S26" s="1660" t="s">
        <v>1471</v>
      </c>
      <c r="T26" s="1660" t="s">
        <v>1471</v>
      </c>
      <c r="U26" s="325" t="s">
        <v>1472</v>
      </c>
      <c r="V26" s="325" t="s">
        <v>1473</v>
      </c>
      <c r="W26" s="1660" t="s">
        <v>1474</v>
      </c>
      <c r="X26" s="325" t="s">
        <v>1472</v>
      </c>
      <c r="Y26" s="325" t="s">
        <v>1473</v>
      </c>
      <c r="Z26" s="1660" t="s">
        <v>1474</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1475</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865</v>
      </c>
      <c r="B1" s="1479" t="s">
        <v>1476</v>
      </c>
      <c r="C1" s="1480"/>
      <c r="D1" s="1564"/>
      <c r="E1" s="1481"/>
      <c r="F1" s="1482" t="s">
        <v>868</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869</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870</v>
      </c>
      <c r="B3" s="1031" t="e">
        <f ca="1">ROUND(IF(D2="——",C49,IF(C2="万元",B2*10000/D3,B2/D3)),0)</f>
        <v>#DIV/0!</v>
      </c>
      <c r="C3" s="1490" t="s">
        <v>871</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872</v>
      </c>
      <c r="B4" s="1033"/>
      <c r="C4" s="3571" t="s">
        <v>873</v>
      </c>
      <c r="D4" s="3572"/>
      <c r="E4" s="3573" t="s">
        <v>874</v>
      </c>
      <c r="F4" s="3574"/>
      <c r="G4" s="3571" t="s">
        <v>875</v>
      </c>
      <c r="H4" s="3572"/>
      <c r="I4" s="3571" t="s">
        <v>876</v>
      </c>
      <c r="J4" s="3572"/>
      <c r="K4" s="1158" t="s">
        <v>877</v>
      </c>
      <c r="L4" s="1159"/>
      <c r="M4" s="1160"/>
      <c r="N4" s="1160"/>
      <c r="O4" s="1160"/>
      <c r="P4" s="3534" t="s">
        <v>878</v>
      </c>
      <c r="Q4" s="3535"/>
      <c r="R4" s="3540" t="s">
        <v>874</v>
      </c>
      <c r="S4" s="3541"/>
      <c r="T4" s="3540" t="s">
        <v>875</v>
      </c>
      <c r="U4" s="3541"/>
      <c r="V4" s="3546" t="s">
        <v>876</v>
      </c>
      <c r="W4" s="3546"/>
      <c r="X4" s="1197"/>
      <c r="Y4" s="3540" t="s">
        <v>878</v>
      </c>
      <c r="Z4" s="3541"/>
      <c r="AA4" s="3531" t="s">
        <v>874</v>
      </c>
      <c r="AB4" s="3546" t="s">
        <v>875</v>
      </c>
      <c r="AC4" s="3531" t="s">
        <v>876</v>
      </c>
    </row>
    <row r="5" spans="1:29" ht="15">
      <c r="A5" s="1034"/>
      <c r="B5" s="1035"/>
      <c r="C5" s="3575" t="s">
        <v>879</v>
      </c>
      <c r="D5" s="3576"/>
      <c r="E5" s="3610" t="s">
        <v>1477</v>
      </c>
      <c r="F5" s="3578"/>
      <c r="G5" s="3575" t="s">
        <v>1478</v>
      </c>
      <c r="H5" s="3576"/>
      <c r="I5" s="3575" t="s">
        <v>1479</v>
      </c>
      <c r="J5" s="3576"/>
      <c r="K5" s="1158"/>
      <c r="L5" s="1159"/>
      <c r="M5" s="1160"/>
      <c r="N5" s="1160"/>
      <c r="O5" s="1160"/>
      <c r="P5" s="3536"/>
      <c r="Q5" s="3537"/>
      <c r="R5" s="3542"/>
      <c r="S5" s="3543"/>
      <c r="T5" s="3542"/>
      <c r="U5" s="3543"/>
      <c r="V5" s="3546"/>
      <c r="W5" s="3546"/>
      <c r="X5" s="1197"/>
      <c r="Y5" s="3542"/>
      <c r="Z5" s="3543"/>
      <c r="AA5" s="3532"/>
      <c r="AB5" s="3546"/>
      <c r="AC5" s="3532"/>
    </row>
    <row r="6" spans="1:29" ht="15">
      <c r="A6" s="1036"/>
      <c r="B6" s="1037"/>
      <c r="C6" s="3566" t="s">
        <v>881</v>
      </c>
      <c r="D6" s="3567"/>
      <c r="E6" s="3568" t="s">
        <v>881</v>
      </c>
      <c r="F6" s="3569"/>
      <c r="G6" s="3566" t="s">
        <v>881</v>
      </c>
      <c r="H6" s="3567"/>
      <c r="I6" s="3566" t="s">
        <v>881</v>
      </c>
      <c r="J6" s="3567"/>
      <c r="K6" s="1158" t="s">
        <v>882</v>
      </c>
      <c r="L6" s="1159"/>
      <c r="M6" s="1160"/>
      <c r="N6" s="1160"/>
      <c r="O6" s="1160"/>
      <c r="P6" s="3538"/>
      <c r="Q6" s="3539"/>
      <c r="R6" s="3542"/>
      <c r="S6" s="3543"/>
      <c r="T6" s="3544"/>
      <c r="U6" s="3545"/>
      <c r="V6" s="3546"/>
      <c r="W6" s="3546"/>
      <c r="X6" s="1197"/>
      <c r="Y6" s="3544"/>
      <c r="Z6" s="3545"/>
      <c r="AA6" s="3533"/>
      <c r="AB6" s="3546"/>
      <c r="AC6" s="3533"/>
    </row>
    <row r="7" spans="1:29" s="1014" customFormat="1" ht="15">
      <c r="A7" s="1038" t="s">
        <v>883</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4" t="s">
        <v>884</v>
      </c>
      <c r="Q7" s="3570"/>
      <c r="R7" s="1199" t="s">
        <v>885</v>
      </c>
      <c r="S7" s="1200">
        <f t="shared" ref="S7:S15" si="0">F7</f>
        <v>0</v>
      </c>
      <c r="T7" s="1199" t="s">
        <v>885</v>
      </c>
      <c r="U7" s="1200">
        <f t="shared" ref="U7:U15" si="1">H7</f>
        <v>0</v>
      </c>
      <c r="V7" s="1199" t="s">
        <v>885</v>
      </c>
      <c r="W7" s="1200">
        <f t="shared" ref="W7:W15" si="2">J7</f>
        <v>0</v>
      </c>
      <c r="X7" s="1201"/>
      <c r="Y7" s="3554" t="s">
        <v>884</v>
      </c>
      <c r="Z7" s="3555"/>
      <c r="AA7" s="1214" t="e">
        <f>D7/F7</f>
        <v>#DIV/0!</v>
      </c>
      <c r="AB7" s="1214" t="e">
        <f>D7/H7</f>
        <v>#DIV/0!</v>
      </c>
      <c r="AC7" s="1214" t="e">
        <f>D7/J7</f>
        <v>#DIV/0!</v>
      </c>
    </row>
    <row r="8" spans="1:29" s="1014" customFormat="1" ht="15">
      <c r="A8" s="1038" t="s">
        <v>886</v>
      </c>
      <c r="B8" s="1039"/>
      <c r="C8" s="1045" t="s">
        <v>887</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4" t="s">
        <v>889</v>
      </c>
      <c r="Q8" s="3555"/>
      <c r="R8" s="1199" t="s">
        <v>885</v>
      </c>
      <c r="S8" s="1200">
        <f t="shared" si="0"/>
        <v>0</v>
      </c>
      <c r="T8" s="1199" t="s">
        <v>885</v>
      </c>
      <c r="U8" s="1200">
        <f t="shared" si="1"/>
        <v>0</v>
      </c>
      <c r="V8" s="1199" t="s">
        <v>885</v>
      </c>
      <c r="W8" s="1200">
        <f t="shared" si="2"/>
        <v>0</v>
      </c>
      <c r="X8" s="1201"/>
      <c r="Y8" s="3554" t="s">
        <v>889</v>
      </c>
      <c r="Z8" s="3555"/>
      <c r="AA8" s="1214" t="e">
        <f t="shared" ref="AA8:AA46" si="3">D8/F8</f>
        <v>#DIV/0!</v>
      </c>
      <c r="AB8" s="1214" t="e">
        <f t="shared" ref="AB8:AB46" si="4">D8/H8</f>
        <v>#DIV/0!</v>
      </c>
      <c r="AC8" s="1214" t="e">
        <f t="shared" ref="AC8:AC46" si="5">D8/J8</f>
        <v>#DIV/0!</v>
      </c>
    </row>
    <row r="9" spans="1:29" s="1014" customFormat="1">
      <c r="A9" s="1046" t="s">
        <v>890</v>
      </c>
      <c r="B9" s="1047" t="s">
        <v>891</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56" t="s">
        <v>892</v>
      </c>
      <c r="Q9" s="1203" t="str">
        <f t="shared" ref="Q9:Q15" si="6">B9</f>
        <v>用途</v>
      </c>
      <c r="R9" s="1199" t="s">
        <v>885</v>
      </c>
      <c r="S9" s="1200">
        <f t="shared" si="0"/>
        <v>100</v>
      </c>
      <c r="T9" s="1199" t="s">
        <v>885</v>
      </c>
      <c r="U9" s="1200">
        <f t="shared" si="1"/>
        <v>100</v>
      </c>
      <c r="V9" s="1199" t="s">
        <v>885</v>
      </c>
      <c r="W9" s="1200">
        <f t="shared" si="2"/>
        <v>100</v>
      </c>
      <c r="X9" s="1201"/>
      <c r="Y9" s="3412" t="s">
        <v>893</v>
      </c>
      <c r="Z9" s="1215" t="str">
        <f t="shared" ref="Z9:Z15" si="7">Q9</f>
        <v>用途</v>
      </c>
      <c r="AA9" s="1214">
        <f t="shared" si="3"/>
        <v>1</v>
      </c>
      <c r="AB9" s="1214">
        <f t="shared" si="4"/>
        <v>1</v>
      </c>
      <c r="AC9" s="1214">
        <f t="shared" si="5"/>
        <v>1</v>
      </c>
    </row>
    <row r="10" spans="1:29" s="1015" customFormat="1" ht="27">
      <c r="A10" s="1050"/>
      <c r="B10" s="1051" t="s">
        <v>894</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6"/>
      <c r="Q10" s="1203" t="str">
        <f t="shared" si="6"/>
        <v>土地使用年限（年）</v>
      </c>
      <c r="R10" s="1199" t="s">
        <v>885</v>
      </c>
      <c r="S10" s="1200">
        <f t="shared" si="0"/>
        <v>100</v>
      </c>
      <c r="T10" s="1199" t="s">
        <v>885</v>
      </c>
      <c r="U10" s="1200">
        <f t="shared" si="1"/>
        <v>100</v>
      </c>
      <c r="V10" s="1199" t="s">
        <v>885</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896</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56"/>
      <c r="Q11" s="1203" t="str">
        <f t="shared" si="6"/>
        <v>容积率</v>
      </c>
      <c r="R11" s="1199" t="s">
        <v>885</v>
      </c>
      <c r="S11" s="1200" t="e">
        <f t="shared" si="0"/>
        <v>#N/A</v>
      </c>
      <c r="T11" s="1199" t="s">
        <v>885</v>
      </c>
      <c r="U11" s="1200" t="e">
        <f t="shared" si="1"/>
        <v>#N/A</v>
      </c>
      <c r="V11" s="1199" t="s">
        <v>885</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6"/>
      <c r="Q12" s="1203">
        <f t="shared" si="6"/>
        <v>111</v>
      </c>
      <c r="R12" s="1199" t="s">
        <v>885</v>
      </c>
      <c r="S12" s="1200">
        <f t="shared" si="0"/>
        <v>100</v>
      </c>
      <c r="T12" s="1199" t="s">
        <v>885</v>
      </c>
      <c r="U12" s="1200">
        <f t="shared" si="1"/>
        <v>100</v>
      </c>
      <c r="V12" s="1199" t="s">
        <v>885</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6"/>
      <c r="Q13" s="1203">
        <f t="shared" si="6"/>
        <v>111</v>
      </c>
      <c r="R13" s="1199" t="s">
        <v>885</v>
      </c>
      <c r="S13" s="1200">
        <f t="shared" si="0"/>
        <v>100</v>
      </c>
      <c r="T13" s="1199" t="s">
        <v>885</v>
      </c>
      <c r="U13" s="1200">
        <f t="shared" si="1"/>
        <v>100</v>
      </c>
      <c r="V13" s="1199" t="s">
        <v>885</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6"/>
      <c r="Q14" s="1203">
        <f t="shared" si="6"/>
        <v>111</v>
      </c>
      <c r="R14" s="1199" t="s">
        <v>885</v>
      </c>
      <c r="S14" s="1200">
        <f t="shared" si="0"/>
        <v>100</v>
      </c>
      <c r="T14" s="1199" t="s">
        <v>885</v>
      </c>
      <c r="U14" s="1200">
        <f t="shared" si="1"/>
        <v>100</v>
      </c>
      <c r="V14" s="1199" t="s">
        <v>885</v>
      </c>
      <c r="W14" s="1200">
        <f t="shared" si="2"/>
        <v>100</v>
      </c>
      <c r="X14" s="1201"/>
      <c r="Y14" s="3412"/>
      <c r="Z14" s="1215">
        <f t="shared" si="7"/>
        <v>111</v>
      </c>
      <c r="AA14" s="1214">
        <f t="shared" si="3"/>
        <v>1</v>
      </c>
      <c r="AB14" s="1214">
        <f t="shared" si="4"/>
        <v>1</v>
      </c>
      <c r="AC14" s="1214">
        <f t="shared" si="5"/>
        <v>1</v>
      </c>
    </row>
    <row r="15" spans="1:29" ht="71.25">
      <c r="A15" s="459" t="s">
        <v>897</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7" t="s">
        <v>898</v>
      </c>
      <c r="Q15" s="470" t="str">
        <f t="shared" si="6"/>
        <v>商业繁华度</v>
      </c>
      <c r="R15" s="1204" t="s">
        <v>885</v>
      </c>
      <c r="S15" s="1205">
        <f t="shared" si="0"/>
        <v>100</v>
      </c>
      <c r="T15" s="1204" t="s">
        <v>885</v>
      </c>
      <c r="U15" s="1205">
        <f t="shared" si="1"/>
        <v>100</v>
      </c>
      <c r="V15" s="1204" t="s">
        <v>885</v>
      </c>
      <c r="W15" s="1205">
        <f t="shared" si="2"/>
        <v>100</v>
      </c>
      <c r="X15" s="1197"/>
      <c r="Y15" s="3562" t="s">
        <v>898</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8"/>
      <c r="Q17" s="470" t="str">
        <f>B17</f>
        <v>交通便捷度</v>
      </c>
      <c r="R17" s="1204" t="s">
        <v>885</v>
      </c>
      <c r="S17" s="1205">
        <f>F17</f>
        <v>100</v>
      </c>
      <c r="T17" s="1204" t="s">
        <v>885</v>
      </c>
      <c r="U17" s="1205">
        <f>H17</f>
        <v>100</v>
      </c>
      <c r="V17" s="1204" t="s">
        <v>885</v>
      </c>
      <c r="W17" s="1205">
        <f>J17</f>
        <v>100</v>
      </c>
      <c r="X17" s="1197"/>
      <c r="Y17" s="3563"/>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8"/>
      <c r="Q19" s="470" t="str">
        <f>B19</f>
        <v>公共配套设施</v>
      </c>
      <c r="R19" s="1204" t="s">
        <v>885</v>
      </c>
      <c r="S19" s="1205">
        <f>F19</f>
        <v>100</v>
      </c>
      <c r="T19" s="1204" t="s">
        <v>885</v>
      </c>
      <c r="U19" s="1205">
        <f>H19</f>
        <v>100</v>
      </c>
      <c r="V19" s="1204" t="s">
        <v>885</v>
      </c>
      <c r="W19" s="1205">
        <f>J19</f>
        <v>100</v>
      </c>
      <c r="X19" s="1197"/>
      <c r="Y19" s="3563"/>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8"/>
      <c r="Q21" s="470" t="str">
        <f>B21</f>
        <v>基础设施水平</v>
      </c>
      <c r="R21" s="1204" t="s">
        <v>885</v>
      </c>
      <c r="S21" s="1205">
        <f>F21</f>
        <v>100</v>
      </c>
      <c r="T21" s="1204" t="s">
        <v>885</v>
      </c>
      <c r="U21" s="1205">
        <f>H21</f>
        <v>100</v>
      </c>
      <c r="V21" s="1204" t="s">
        <v>885</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901</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8"/>
      <c r="Q23" s="470" t="str">
        <f>B23</f>
        <v>自然及人文环境</v>
      </c>
      <c r="R23" s="1204" t="s">
        <v>885</v>
      </c>
      <c r="S23" s="1205">
        <f>F23</f>
        <v>100</v>
      </c>
      <c r="T23" s="1204" t="s">
        <v>885</v>
      </c>
      <c r="U23" s="1205">
        <f>H23</f>
        <v>100</v>
      </c>
      <c r="V23" s="1204" t="s">
        <v>885</v>
      </c>
      <c r="W23" s="1205">
        <f>J23</f>
        <v>100</v>
      </c>
      <c r="X23" s="1197"/>
      <c r="Y23" s="3563"/>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8"/>
      <c r="Q25" s="470" t="str">
        <f t="shared" ref="Q25:Q46" si="11">B25</f>
        <v>临街状况</v>
      </c>
      <c r="R25" s="1204" t="s">
        <v>885</v>
      </c>
      <c r="S25" s="1205">
        <f>F25</f>
        <v>100</v>
      </c>
      <c r="T25" s="1204" t="s">
        <v>885</v>
      </c>
      <c r="U25" s="1205">
        <f>H25</f>
        <v>100</v>
      </c>
      <c r="V25" s="1204" t="s">
        <v>885</v>
      </c>
      <c r="W25" s="1205">
        <f>J25</f>
        <v>100</v>
      </c>
      <c r="X25" s="1197"/>
      <c r="Y25" s="3563"/>
      <c r="Z25" s="1196" t="str">
        <f>Q25</f>
        <v>临街状况</v>
      </c>
      <c r="AA25" s="1216">
        <f t="shared" si="3"/>
        <v>1</v>
      </c>
      <c r="AB25" s="1216">
        <f t="shared" si="4"/>
        <v>1</v>
      </c>
      <c r="AC25" s="1216">
        <f t="shared" si="5"/>
        <v>1</v>
      </c>
    </row>
    <row r="26" spans="1:29" ht="15">
      <c r="A26" s="483"/>
      <c r="B26" s="1516" t="s">
        <v>1480</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8"/>
      <c r="Q26" s="470" t="str">
        <f t="shared" si="11"/>
        <v>平面位置/可视性</v>
      </c>
      <c r="R26" s="1204" t="s">
        <v>885</v>
      </c>
      <c r="S26" s="1205">
        <f>F26</f>
        <v>100</v>
      </c>
      <c r="T26" s="1204" t="s">
        <v>885</v>
      </c>
      <c r="U26" s="1205">
        <f>H26</f>
        <v>100</v>
      </c>
      <c r="V26" s="1204" t="s">
        <v>885</v>
      </c>
      <c r="W26" s="1205">
        <f>J26</f>
        <v>100</v>
      </c>
      <c r="X26" s="1197"/>
      <c r="Y26" s="3563"/>
      <c r="Z26" s="1196" t="str">
        <f>Q26</f>
        <v>平面位置/可视性</v>
      </c>
      <c r="AA26" s="1216">
        <f t="shared" si="3"/>
        <v>1</v>
      </c>
      <c r="AB26" s="1216">
        <f t="shared" si="4"/>
        <v>1</v>
      </c>
      <c r="AC26" s="1216">
        <f t="shared" si="5"/>
        <v>1</v>
      </c>
    </row>
    <row r="27" spans="1:29" s="1014" customFormat="1" ht="15">
      <c r="A27" s="1058"/>
      <c r="B27" s="1572" t="s">
        <v>1481</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8"/>
      <c r="Q27" s="1203" t="str">
        <f t="shared" si="11"/>
        <v>人流量</v>
      </c>
      <c r="R27" s="1199" t="s">
        <v>885</v>
      </c>
      <c r="S27" s="1200">
        <f>F27</f>
        <v>100</v>
      </c>
      <c r="T27" s="1199" t="s">
        <v>885</v>
      </c>
      <c r="U27" s="1200">
        <f>H27</f>
        <v>100</v>
      </c>
      <c r="V27" s="1199" t="s">
        <v>885</v>
      </c>
      <c r="W27" s="1200">
        <f>J27</f>
        <v>100</v>
      </c>
      <c r="X27" s="1201"/>
      <c r="Y27" s="3563"/>
      <c r="Z27" s="1215" t="str">
        <f>Q27</f>
        <v>人流量</v>
      </c>
      <c r="AA27" s="1216">
        <f t="shared" si="3"/>
        <v>1</v>
      </c>
      <c r="AB27" s="1216">
        <f t="shared" si="4"/>
        <v>1</v>
      </c>
      <c r="AC27" s="1216">
        <f t="shared" si="5"/>
        <v>1</v>
      </c>
    </row>
    <row r="28" spans="1:29" ht="15">
      <c r="A28" s="483"/>
      <c r="B28" s="1051" t="s">
        <v>1482</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8"/>
      <c r="Q28" s="470" t="str">
        <f t="shared" si="11"/>
        <v>楼层</v>
      </c>
      <c r="R28" s="1204" t="s">
        <v>885</v>
      </c>
      <c r="S28" s="1205">
        <f t="shared" ref="S28:S46" si="12">F28</f>
        <v>100</v>
      </c>
      <c r="T28" s="1204" t="s">
        <v>885</v>
      </c>
      <c r="U28" s="1205">
        <f t="shared" ref="U28:U46" si="13">H28</f>
        <v>100</v>
      </c>
      <c r="V28" s="1204" t="s">
        <v>885</v>
      </c>
      <c r="W28" s="1205">
        <f t="shared" ref="W28:W46" si="14">J28</f>
        <v>100</v>
      </c>
      <c r="X28" s="1197"/>
      <c r="Y28" s="356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8"/>
      <c r="Q29" s="470">
        <f t="shared" si="11"/>
        <v>111</v>
      </c>
      <c r="R29" s="1204" t="s">
        <v>885</v>
      </c>
      <c r="S29" s="1205">
        <f t="shared" si="12"/>
        <v>100</v>
      </c>
      <c r="T29" s="1204" t="s">
        <v>885</v>
      </c>
      <c r="U29" s="1205">
        <f t="shared" si="13"/>
        <v>100</v>
      </c>
      <c r="V29" s="1204" t="s">
        <v>885</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8"/>
      <c r="Q30" s="470">
        <f t="shared" si="11"/>
        <v>111</v>
      </c>
      <c r="R30" s="1204" t="s">
        <v>885</v>
      </c>
      <c r="S30" s="1205">
        <f t="shared" si="12"/>
        <v>100</v>
      </c>
      <c r="T30" s="1204" t="s">
        <v>885</v>
      </c>
      <c r="U30" s="1205">
        <f t="shared" si="13"/>
        <v>100</v>
      </c>
      <c r="V30" s="1204" t="s">
        <v>885</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8"/>
      <c r="Q31" s="470">
        <f t="shared" si="11"/>
        <v>111</v>
      </c>
      <c r="R31" s="1204" t="s">
        <v>885</v>
      </c>
      <c r="S31" s="1205">
        <f t="shared" si="12"/>
        <v>100</v>
      </c>
      <c r="T31" s="1204" t="s">
        <v>885</v>
      </c>
      <c r="U31" s="1205">
        <f t="shared" si="13"/>
        <v>100</v>
      </c>
      <c r="V31" s="1204" t="s">
        <v>885</v>
      </c>
      <c r="W31" s="1205">
        <f t="shared" si="14"/>
        <v>100</v>
      </c>
      <c r="X31" s="1197"/>
      <c r="Y31" s="3563"/>
      <c r="Z31" s="1196">
        <f t="shared" si="15"/>
        <v>111</v>
      </c>
      <c r="AA31" s="1216">
        <f t="shared" si="3"/>
        <v>1</v>
      </c>
      <c r="AB31" s="1216">
        <f t="shared" si="4"/>
        <v>1</v>
      </c>
      <c r="AC31" s="1216">
        <f t="shared" si="5"/>
        <v>1</v>
      </c>
    </row>
    <row r="32" spans="1:29" ht="15">
      <c r="A32" s="459" t="s">
        <v>912</v>
      </c>
      <c r="B32" s="1047" t="s">
        <v>1483</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9" t="s">
        <v>915</v>
      </c>
      <c r="Q32" s="470" t="str">
        <f t="shared" si="11"/>
        <v>商业类型</v>
      </c>
      <c r="R32" s="1204" t="s">
        <v>885</v>
      </c>
      <c r="S32" s="1205">
        <f t="shared" si="12"/>
        <v>100</v>
      </c>
      <c r="T32" s="1204" t="s">
        <v>885</v>
      </c>
      <c r="U32" s="1205">
        <f t="shared" si="13"/>
        <v>100</v>
      </c>
      <c r="V32" s="1204" t="s">
        <v>885</v>
      </c>
      <c r="W32" s="1205">
        <f t="shared" si="14"/>
        <v>100</v>
      </c>
      <c r="X32" s="1197"/>
      <c r="Y32" s="3564" t="s">
        <v>915</v>
      </c>
      <c r="Z32" s="1196" t="str">
        <f t="shared" si="15"/>
        <v>商业类型</v>
      </c>
      <c r="AA32" s="1216">
        <f t="shared" si="3"/>
        <v>1</v>
      </c>
      <c r="AB32" s="1216">
        <f t="shared" si="4"/>
        <v>1</v>
      </c>
      <c r="AC32" s="1216">
        <f t="shared" si="5"/>
        <v>1</v>
      </c>
    </row>
    <row r="33" spans="1:29" s="1016" customFormat="1" ht="15">
      <c r="A33" s="1114"/>
      <c r="B33" s="1051" t="s">
        <v>916</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60"/>
      <c r="Q33" s="1548" t="str">
        <f t="shared" si="11"/>
        <v>项目建筑规模</v>
      </c>
      <c r="R33" s="1206" t="s">
        <v>885</v>
      </c>
      <c r="S33" s="1207" t="e">
        <f t="shared" si="12"/>
        <v>#N/A</v>
      </c>
      <c r="T33" s="1206" t="s">
        <v>885</v>
      </c>
      <c r="U33" s="1207" t="e">
        <f t="shared" si="13"/>
        <v>#N/A</v>
      </c>
      <c r="V33" s="1206" t="s">
        <v>885</v>
      </c>
      <c r="W33" s="1207" t="e">
        <f t="shared" si="14"/>
        <v>#N/A</v>
      </c>
      <c r="X33" s="1208"/>
      <c r="Y33" s="3564"/>
      <c r="Z33" s="1217" t="str">
        <f t="shared" si="15"/>
        <v>项目建筑规模</v>
      </c>
      <c r="AA33" s="1216" t="e">
        <f t="shared" si="3"/>
        <v>#N/A</v>
      </c>
      <c r="AB33" s="1216" t="e">
        <f t="shared" si="4"/>
        <v>#N/A</v>
      </c>
      <c r="AC33" s="1216" t="e">
        <f t="shared" si="5"/>
        <v>#N/A</v>
      </c>
    </row>
    <row r="34" spans="1:29" ht="15">
      <c r="A34" s="1109"/>
      <c r="B34" s="1051" t="s">
        <v>917</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60"/>
      <c r="Q34" s="470" t="str">
        <f t="shared" si="11"/>
        <v>建筑结构</v>
      </c>
      <c r="R34" s="1204" t="s">
        <v>885</v>
      </c>
      <c r="S34" s="1205">
        <f t="shared" si="12"/>
        <v>100</v>
      </c>
      <c r="T34" s="1204" t="s">
        <v>885</v>
      </c>
      <c r="U34" s="1205">
        <f t="shared" si="13"/>
        <v>100</v>
      </c>
      <c r="V34" s="1204" t="s">
        <v>885</v>
      </c>
      <c r="W34" s="1205">
        <f t="shared" si="14"/>
        <v>100</v>
      </c>
      <c r="X34" s="1197"/>
      <c r="Y34" s="3564"/>
      <c r="Z34" s="1196" t="str">
        <f t="shared" si="15"/>
        <v>建筑结构</v>
      </c>
      <c r="AA34" s="1216">
        <f t="shared" si="3"/>
        <v>1</v>
      </c>
      <c r="AB34" s="1216">
        <f t="shared" si="4"/>
        <v>1</v>
      </c>
      <c r="AC34" s="1216">
        <f t="shared" si="5"/>
        <v>1</v>
      </c>
    </row>
    <row r="35" spans="1:29" ht="15">
      <c r="A35" s="1109"/>
      <c r="B35" s="1051" t="s">
        <v>920</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60"/>
      <c r="Q35" s="470" t="str">
        <f t="shared" si="11"/>
        <v>公共部分装修</v>
      </c>
      <c r="R35" s="1204" t="s">
        <v>885</v>
      </c>
      <c r="S35" s="1205">
        <f t="shared" si="12"/>
        <v>100</v>
      </c>
      <c r="T35" s="1204" t="s">
        <v>885</v>
      </c>
      <c r="U35" s="1205">
        <f t="shared" si="13"/>
        <v>100</v>
      </c>
      <c r="V35" s="1204" t="s">
        <v>885</v>
      </c>
      <c r="W35" s="1205">
        <f t="shared" si="14"/>
        <v>100</v>
      </c>
      <c r="X35" s="1197"/>
      <c r="Y35" s="3564"/>
      <c r="Z35" s="1196" t="str">
        <f t="shared" si="15"/>
        <v>公共部分装修</v>
      </c>
      <c r="AA35" s="1216">
        <f t="shared" si="3"/>
        <v>1</v>
      </c>
      <c r="AB35" s="1216">
        <f t="shared" si="4"/>
        <v>1</v>
      </c>
      <c r="AC35" s="1216">
        <f t="shared" si="5"/>
        <v>1</v>
      </c>
    </row>
    <row r="36" spans="1:29" ht="15">
      <c r="A36" s="1109"/>
      <c r="B36" s="1051" t="s">
        <v>922</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60"/>
      <c r="Q36" s="470" t="str">
        <f t="shared" si="11"/>
        <v>成新度</v>
      </c>
      <c r="R36" s="1204" t="s">
        <v>885</v>
      </c>
      <c r="S36" s="1205" t="e">
        <f t="shared" si="12"/>
        <v>#N/A</v>
      </c>
      <c r="T36" s="1204" t="s">
        <v>885</v>
      </c>
      <c r="U36" s="1205" t="e">
        <f t="shared" si="13"/>
        <v>#N/A</v>
      </c>
      <c r="V36" s="1204" t="s">
        <v>885</v>
      </c>
      <c r="W36" s="1205" t="e">
        <f t="shared" si="14"/>
        <v>#N/A</v>
      </c>
      <c r="X36" s="1197"/>
      <c r="Y36" s="3564"/>
      <c r="Z36" s="1196" t="str">
        <f t="shared" si="15"/>
        <v>成新度</v>
      </c>
      <c r="AA36" s="1216" t="e">
        <f t="shared" si="3"/>
        <v>#N/A</v>
      </c>
      <c r="AB36" s="1216" t="e">
        <f t="shared" si="4"/>
        <v>#N/A</v>
      </c>
      <c r="AC36" s="1216" t="e">
        <f t="shared" si="5"/>
        <v>#N/A</v>
      </c>
    </row>
    <row r="37" spans="1:29" s="1014" customFormat="1" ht="15">
      <c r="A37" s="1111"/>
      <c r="B37" s="1051" t="s">
        <v>924</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60"/>
      <c r="Q37" s="1203" t="str">
        <f t="shared" si="11"/>
        <v>市政基础设施</v>
      </c>
      <c r="R37" s="1199" t="s">
        <v>885</v>
      </c>
      <c r="S37" s="1200">
        <f t="shared" si="12"/>
        <v>100</v>
      </c>
      <c r="T37" s="1199" t="s">
        <v>885</v>
      </c>
      <c r="U37" s="1200">
        <f t="shared" si="13"/>
        <v>100</v>
      </c>
      <c r="V37" s="1199" t="s">
        <v>885</v>
      </c>
      <c r="W37" s="1200">
        <f t="shared" si="14"/>
        <v>100</v>
      </c>
      <c r="X37" s="1201"/>
      <c r="Y37" s="3564"/>
      <c r="Z37" s="1215" t="str">
        <f t="shared" si="15"/>
        <v>市政基础设施</v>
      </c>
      <c r="AA37" s="1214">
        <f t="shared" si="3"/>
        <v>1</v>
      </c>
      <c r="AB37" s="1214">
        <f t="shared" si="4"/>
        <v>1</v>
      </c>
      <c r="AC37" s="1214">
        <f t="shared" si="5"/>
        <v>1</v>
      </c>
    </row>
    <row r="38" spans="1:29" ht="15">
      <c r="A38" s="1109"/>
      <c r="B38" s="1051" t="s">
        <v>1484</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60" t="s">
        <v>915</v>
      </c>
      <c r="Q38" s="470" t="str">
        <f t="shared" si="11"/>
        <v>业态</v>
      </c>
      <c r="R38" s="1204" t="s">
        <v>885</v>
      </c>
      <c r="S38" s="1205">
        <f t="shared" si="12"/>
        <v>100</v>
      </c>
      <c r="T38" s="1204" t="s">
        <v>885</v>
      </c>
      <c r="U38" s="1205">
        <f t="shared" si="13"/>
        <v>100</v>
      </c>
      <c r="V38" s="1204" t="s">
        <v>885</v>
      </c>
      <c r="W38" s="1205">
        <f t="shared" si="14"/>
        <v>100</v>
      </c>
      <c r="X38" s="1197"/>
      <c r="Y38" s="3564" t="s">
        <v>915</v>
      </c>
      <c r="Z38" s="1196" t="str">
        <f t="shared" si="15"/>
        <v>业态</v>
      </c>
      <c r="AA38" s="1216">
        <f t="shared" si="3"/>
        <v>1</v>
      </c>
      <c r="AB38" s="1216">
        <f t="shared" si="4"/>
        <v>1</v>
      </c>
      <c r="AC38" s="1216">
        <f t="shared" si="5"/>
        <v>1</v>
      </c>
    </row>
    <row r="39" spans="1:29" ht="15">
      <c r="A39" s="1109"/>
      <c r="B39" s="1051" t="s">
        <v>1485</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60"/>
      <c r="Q39" s="470" t="str">
        <f t="shared" si="11"/>
        <v>层高</v>
      </c>
      <c r="R39" s="1204" t="s">
        <v>885</v>
      </c>
      <c r="S39" s="1205">
        <f t="shared" si="12"/>
        <v>100</v>
      </c>
      <c r="T39" s="1204" t="s">
        <v>885</v>
      </c>
      <c r="U39" s="1205">
        <f t="shared" si="13"/>
        <v>100</v>
      </c>
      <c r="V39" s="1204" t="s">
        <v>885</v>
      </c>
      <c r="W39" s="1205">
        <f t="shared" si="14"/>
        <v>100</v>
      </c>
      <c r="X39" s="1197"/>
      <c r="Y39" s="3564"/>
      <c r="Z39" s="1196" t="str">
        <f t="shared" si="15"/>
        <v>层高</v>
      </c>
      <c r="AA39" s="1216">
        <f t="shared" si="3"/>
        <v>1</v>
      </c>
      <c r="AB39" s="1216">
        <f t="shared" si="4"/>
        <v>1</v>
      </c>
      <c r="AC39" s="1216">
        <f t="shared" si="5"/>
        <v>1</v>
      </c>
    </row>
    <row r="40" spans="1:29" ht="15">
      <c r="A40" s="1109"/>
      <c r="B40" s="1051" t="s">
        <v>1486</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60"/>
      <c r="Q40" s="470" t="str">
        <f t="shared" si="11"/>
        <v>单套建筑面积</v>
      </c>
      <c r="R40" s="1204" t="s">
        <v>885</v>
      </c>
      <c r="S40" s="1205">
        <f t="shared" si="12"/>
        <v>100</v>
      </c>
      <c r="T40" s="1204" t="s">
        <v>885</v>
      </c>
      <c r="U40" s="1205">
        <f t="shared" si="13"/>
        <v>100</v>
      </c>
      <c r="V40" s="1204" t="s">
        <v>885</v>
      </c>
      <c r="W40" s="1205">
        <f t="shared" si="14"/>
        <v>100</v>
      </c>
      <c r="X40" s="1197"/>
      <c r="Y40" s="3564"/>
      <c r="Z40" s="1196" t="str">
        <f t="shared" si="15"/>
        <v>单套建筑面积</v>
      </c>
      <c r="AA40" s="1216">
        <f t="shared" si="3"/>
        <v>1</v>
      </c>
      <c r="AB40" s="1216">
        <f t="shared" si="4"/>
        <v>1</v>
      </c>
      <c r="AC40" s="1216">
        <f t="shared" si="5"/>
        <v>1</v>
      </c>
    </row>
    <row r="41" spans="1:29" s="1016" customFormat="1" ht="15">
      <c r="A41" s="1114"/>
      <c r="B41" s="1190" t="s">
        <v>1487</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60"/>
      <c r="Q41" s="1548" t="str">
        <f t="shared" si="11"/>
        <v>进深比</v>
      </c>
      <c r="R41" s="1206" t="s">
        <v>885</v>
      </c>
      <c r="S41" s="1207">
        <f t="shared" si="12"/>
        <v>100</v>
      </c>
      <c r="T41" s="1206" t="s">
        <v>885</v>
      </c>
      <c r="U41" s="1207">
        <f t="shared" si="13"/>
        <v>100</v>
      </c>
      <c r="V41" s="1206" t="s">
        <v>885</v>
      </c>
      <c r="W41" s="1207">
        <f t="shared" si="14"/>
        <v>100</v>
      </c>
      <c r="X41" s="1208"/>
      <c r="Y41" s="3564"/>
      <c r="Z41" s="1217" t="str">
        <f t="shared" si="15"/>
        <v>进深比</v>
      </c>
      <c r="AA41" s="1216">
        <f t="shared" si="3"/>
        <v>1</v>
      </c>
      <c r="AB41" s="1216">
        <f t="shared" si="4"/>
        <v>1</v>
      </c>
      <c r="AC41" s="1216">
        <f t="shared" si="5"/>
        <v>1</v>
      </c>
    </row>
    <row r="42" spans="1:29" ht="15">
      <c r="A42" s="1109"/>
      <c r="B42" s="1051" t="s">
        <v>927</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60"/>
      <c r="Q42" s="470" t="str">
        <f t="shared" si="11"/>
        <v>内部装修</v>
      </c>
      <c r="R42" s="1204" t="s">
        <v>885</v>
      </c>
      <c r="S42" s="1205">
        <f t="shared" si="12"/>
        <v>100</v>
      </c>
      <c r="T42" s="1204" t="s">
        <v>885</v>
      </c>
      <c r="U42" s="1205">
        <f t="shared" si="13"/>
        <v>100</v>
      </c>
      <c r="V42" s="1204" t="s">
        <v>885</v>
      </c>
      <c r="W42" s="1205">
        <f t="shared" si="14"/>
        <v>100</v>
      </c>
      <c r="X42" s="1197"/>
      <c r="Y42" s="3564"/>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60"/>
      <c r="Q43" s="470" t="str">
        <f t="shared" si="11"/>
        <v>内部装修维护情况</v>
      </c>
      <c r="R43" s="1204" t="s">
        <v>885</v>
      </c>
      <c r="S43" s="1205">
        <f t="shared" si="12"/>
        <v>100</v>
      </c>
      <c r="T43" s="1204" t="s">
        <v>885</v>
      </c>
      <c r="U43" s="1205">
        <f t="shared" si="13"/>
        <v>100</v>
      </c>
      <c r="V43" s="1204" t="s">
        <v>885</v>
      </c>
      <c r="W43" s="1205">
        <f t="shared" si="14"/>
        <v>100</v>
      </c>
      <c r="X43" s="1197"/>
      <c r="Y43" s="356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60"/>
      <c r="Q44" s="1203">
        <f t="shared" si="11"/>
        <v>111</v>
      </c>
      <c r="R44" s="1199" t="s">
        <v>885</v>
      </c>
      <c r="S44" s="1200">
        <f t="shared" si="12"/>
        <v>100</v>
      </c>
      <c r="T44" s="1199" t="s">
        <v>885</v>
      </c>
      <c r="U44" s="1200">
        <f t="shared" si="13"/>
        <v>100</v>
      </c>
      <c r="V44" s="1199" t="s">
        <v>885</v>
      </c>
      <c r="W44" s="1200">
        <f t="shared" si="14"/>
        <v>100</v>
      </c>
      <c r="X44" s="1201"/>
      <c r="Y44" s="356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60"/>
      <c r="Q45" s="470">
        <f t="shared" si="11"/>
        <v>111</v>
      </c>
      <c r="R45" s="1204" t="s">
        <v>885</v>
      </c>
      <c r="S45" s="1205">
        <f t="shared" si="12"/>
        <v>100</v>
      </c>
      <c r="T45" s="1204" t="s">
        <v>885</v>
      </c>
      <c r="U45" s="1205">
        <f t="shared" si="13"/>
        <v>100</v>
      </c>
      <c r="V45" s="1204" t="s">
        <v>885</v>
      </c>
      <c r="W45" s="1205">
        <f t="shared" si="14"/>
        <v>100</v>
      </c>
      <c r="X45" s="1197"/>
      <c r="Y45" s="356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61"/>
      <c r="Q46" s="470">
        <f t="shared" si="11"/>
        <v>111</v>
      </c>
      <c r="R46" s="1204" t="s">
        <v>885</v>
      </c>
      <c r="S46" s="1205">
        <f t="shared" si="12"/>
        <v>100</v>
      </c>
      <c r="T46" s="1204" t="s">
        <v>885</v>
      </c>
      <c r="U46" s="1205">
        <f t="shared" si="13"/>
        <v>100</v>
      </c>
      <c r="V46" s="1204" t="s">
        <v>885</v>
      </c>
      <c r="W46" s="1205">
        <f t="shared" si="14"/>
        <v>100</v>
      </c>
      <c r="X46" s="1197"/>
      <c r="Y46" s="3565"/>
      <c r="Z46" s="1196">
        <f t="shared" si="15"/>
        <v>111</v>
      </c>
      <c r="AA46" s="1216">
        <f t="shared" si="3"/>
        <v>1</v>
      </c>
      <c r="AB46" s="1216">
        <f t="shared" si="4"/>
        <v>1</v>
      </c>
      <c r="AC46" s="1216">
        <f t="shared" si="5"/>
        <v>1</v>
      </c>
    </row>
    <row r="47" spans="1:29" ht="15">
      <c r="A47" s="1117" t="s">
        <v>934</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5">
      <c r="A48" s="1125" t="s">
        <v>935</v>
      </c>
      <c r="B48" s="1526"/>
      <c r="C48" s="1527" t="e">
        <f>R49</f>
        <v>#DIV/0!</v>
      </c>
      <c r="D48" s="790" t="s">
        <v>936</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5">
      <c r="A49" s="1129" t="s">
        <v>1488</v>
      </c>
      <c r="B49" s="1130"/>
      <c r="C49" s="1529" t="e">
        <f>R49</f>
        <v>#DIV/0!</v>
      </c>
      <c r="D49" s="1529"/>
      <c r="E49" s="1529"/>
      <c r="F49" s="1529"/>
      <c r="G49" s="1529"/>
      <c r="H49" s="1529"/>
      <c r="I49" s="1529"/>
      <c r="J49" s="1529"/>
      <c r="K49" s="1189"/>
      <c r="L49" s="1188"/>
      <c r="N49" s="1160"/>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938</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939</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940</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941</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883</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942</v>
      </c>
      <c r="B60" s="1236"/>
      <c r="C60" s="1237"/>
      <c r="D60" s="1238"/>
      <c r="E60" s="1238"/>
      <c r="F60" s="1238"/>
      <c r="G60" s="1238"/>
      <c r="H60" s="1238"/>
      <c r="I60" s="1238"/>
      <c r="J60" s="1238"/>
      <c r="K60" s="1238"/>
      <c r="L60" s="1238"/>
      <c r="M60" s="1287"/>
      <c r="N60" s="1238"/>
      <c r="O60" s="1287"/>
      <c r="P60" s="1591"/>
      <c r="Q60" s="1286"/>
    </row>
    <row r="61" spans="1:29" s="1014" customFormat="1" ht="15">
      <c r="A61" s="1239" t="s">
        <v>886</v>
      </c>
      <c r="B61" s="1240"/>
      <c r="C61" s="1241" t="s">
        <v>887</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943</v>
      </c>
      <c r="B63" s="1245" t="s">
        <v>891</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894</v>
      </c>
      <c r="C65" s="1250" t="s">
        <v>944</v>
      </c>
      <c r="D65" s="1250" t="s">
        <v>945</v>
      </c>
      <c r="E65" s="1250" t="s">
        <v>946</v>
      </c>
      <c r="F65" s="1250" t="s">
        <v>947</v>
      </c>
      <c r="G65" s="1250" t="s">
        <v>948</v>
      </c>
      <c r="H65" s="1250" t="s">
        <v>949</v>
      </c>
      <c r="I65" s="1250" t="s">
        <v>950</v>
      </c>
      <c r="J65" s="1250"/>
      <c r="K65" s="973"/>
      <c r="L65" s="973"/>
      <c r="M65" s="1298"/>
      <c r="N65" s="1294"/>
      <c r="O65" s="1294"/>
      <c r="P65" s="1593"/>
      <c r="Q65" s="1286"/>
    </row>
    <row r="66" spans="1:17" ht="15">
      <c r="A66" s="1246"/>
      <c r="B66" s="1251"/>
      <c r="C66" s="1252" t="s">
        <v>1489</v>
      </c>
      <c r="D66" s="1252" t="s">
        <v>1489</v>
      </c>
      <c r="E66" s="1252" t="s">
        <v>1489</v>
      </c>
      <c r="F66" s="1252">
        <v>100</v>
      </c>
      <c r="G66" s="1252">
        <f>F66-$K10</f>
        <v>100</v>
      </c>
      <c r="H66" s="1252">
        <f>G66-$K10</f>
        <v>100</v>
      </c>
      <c r="I66" s="1252">
        <f>H66-$K10</f>
        <v>100</v>
      </c>
      <c r="J66" s="1252"/>
      <c r="K66" s="1252"/>
      <c r="L66" s="1252"/>
      <c r="M66" s="1299"/>
      <c r="N66" s="1297"/>
      <c r="O66" s="1297"/>
      <c r="P66" s="1593"/>
      <c r="Q66" s="1286"/>
    </row>
    <row r="67" spans="1:17" ht="15">
      <c r="A67" s="1246"/>
      <c r="B67" s="1253" t="s">
        <v>896</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897</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951</v>
      </c>
      <c r="D82" s="1250" t="s">
        <v>952</v>
      </c>
      <c r="E82" s="1250" t="s">
        <v>953</v>
      </c>
      <c r="F82" s="1250" t="s">
        <v>954</v>
      </c>
      <c r="G82" s="1250" t="s">
        <v>955</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901</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912</v>
      </c>
      <c r="B100" s="1245" t="s">
        <v>1483</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916</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917</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920</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922</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924</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1484</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1485</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1486</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1490</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927</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865</v>
      </c>
      <c r="B1" s="1479" t="s">
        <v>1491</v>
      </c>
      <c r="C1" s="1480"/>
      <c r="D1" s="1479"/>
      <c r="E1" s="1481"/>
      <c r="F1" s="1482" t="s">
        <v>868</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869</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870</v>
      </c>
      <c r="B3" s="1031" t="e">
        <f ca="1">ROUND(IF(D2="——",C50,IF(C2="万元",B2*10000/D3,B2/D3)),0)</f>
        <v>#DIV/0!</v>
      </c>
      <c r="C3" s="1490" t="s">
        <v>871</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872</v>
      </c>
      <c r="B4" s="1033"/>
      <c r="C4" s="3571" t="s">
        <v>873</v>
      </c>
      <c r="D4" s="3572"/>
      <c r="E4" s="3573" t="s">
        <v>874</v>
      </c>
      <c r="F4" s="3574"/>
      <c r="G4" s="3571" t="s">
        <v>875</v>
      </c>
      <c r="H4" s="3572"/>
      <c r="I4" s="3571" t="s">
        <v>876</v>
      </c>
      <c r="J4" s="3572"/>
      <c r="K4" s="1158" t="s">
        <v>877</v>
      </c>
      <c r="L4" s="1159"/>
      <c r="M4" s="1160"/>
      <c r="N4" s="1160"/>
      <c r="O4" s="1160"/>
      <c r="P4" s="3534" t="s">
        <v>878</v>
      </c>
      <c r="Q4" s="3535"/>
      <c r="R4" s="3540" t="s">
        <v>874</v>
      </c>
      <c r="S4" s="3541"/>
      <c r="T4" s="3540" t="s">
        <v>875</v>
      </c>
      <c r="U4" s="3541"/>
      <c r="V4" s="3546" t="s">
        <v>876</v>
      </c>
      <c r="W4" s="3546"/>
      <c r="X4" s="1197"/>
      <c r="Y4" s="3540" t="s">
        <v>878</v>
      </c>
      <c r="Z4" s="3541"/>
      <c r="AA4" s="3531" t="s">
        <v>874</v>
      </c>
      <c r="AB4" s="3531" t="s">
        <v>875</v>
      </c>
      <c r="AC4" s="3531" t="s">
        <v>876</v>
      </c>
    </row>
    <row r="5" spans="1:29" ht="15">
      <c r="A5" s="1034"/>
      <c r="B5" s="1035"/>
      <c r="C5" s="3575" t="s">
        <v>879</v>
      </c>
      <c r="D5" s="3576"/>
      <c r="E5" s="3610" t="s">
        <v>1477</v>
      </c>
      <c r="F5" s="3578"/>
      <c r="G5" s="3575" t="s">
        <v>1478</v>
      </c>
      <c r="H5" s="3576"/>
      <c r="I5" s="3575" t="s">
        <v>1479</v>
      </c>
      <c r="J5" s="3576"/>
      <c r="K5" s="1158"/>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881</v>
      </c>
      <c r="D6" s="3567"/>
      <c r="E6" s="3568" t="s">
        <v>881</v>
      </c>
      <c r="F6" s="3569"/>
      <c r="G6" s="3566" t="s">
        <v>881</v>
      </c>
      <c r="H6" s="3567"/>
      <c r="I6" s="3566" t="s">
        <v>881</v>
      </c>
      <c r="J6" s="3567"/>
      <c r="K6" s="1158" t="s">
        <v>882</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883</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4" t="s">
        <v>884</v>
      </c>
      <c r="Q7" s="3570"/>
      <c r="R7" s="1199" t="s">
        <v>885</v>
      </c>
      <c r="S7" s="1200">
        <f t="shared" ref="S7:S15" si="0">F7</f>
        <v>0</v>
      </c>
      <c r="T7" s="1199" t="s">
        <v>885</v>
      </c>
      <c r="U7" s="1200">
        <f t="shared" ref="U7:U15" si="1">H7</f>
        <v>0</v>
      </c>
      <c r="V7" s="1199" t="s">
        <v>885</v>
      </c>
      <c r="W7" s="1200">
        <f t="shared" ref="W7:W15" si="2">J7</f>
        <v>0</v>
      </c>
      <c r="X7" s="1201"/>
      <c r="Y7" s="3554" t="s">
        <v>884</v>
      </c>
      <c r="Z7" s="3555"/>
      <c r="AA7" s="1214" t="e">
        <f>D7/F7</f>
        <v>#DIV/0!</v>
      </c>
      <c r="AB7" s="1214" t="e">
        <f>D7/H7</f>
        <v>#DIV/0!</v>
      </c>
      <c r="AC7" s="1214" t="e">
        <f>D7/J7</f>
        <v>#DIV/0!</v>
      </c>
    </row>
    <row r="8" spans="1:29" s="1014" customFormat="1" ht="15">
      <c r="A8" s="1038" t="s">
        <v>886</v>
      </c>
      <c r="B8" s="1039"/>
      <c r="C8" s="1045" t="s">
        <v>887</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4" t="s">
        <v>889</v>
      </c>
      <c r="Q8" s="3555"/>
      <c r="R8" s="1199" t="s">
        <v>885</v>
      </c>
      <c r="S8" s="1200">
        <f t="shared" si="0"/>
        <v>0</v>
      </c>
      <c r="T8" s="1199" t="s">
        <v>885</v>
      </c>
      <c r="U8" s="1200">
        <f t="shared" si="1"/>
        <v>0</v>
      </c>
      <c r="V8" s="1199" t="s">
        <v>885</v>
      </c>
      <c r="W8" s="1200">
        <f t="shared" si="2"/>
        <v>0</v>
      </c>
      <c r="X8" s="1201"/>
      <c r="Y8" s="3554" t="s">
        <v>889</v>
      </c>
      <c r="Z8" s="3555"/>
      <c r="AA8" s="1214" t="e">
        <f t="shared" ref="AA8:AA47" si="3">D8/F8</f>
        <v>#DIV/0!</v>
      </c>
      <c r="AB8" s="1214" t="e">
        <f t="shared" ref="AB8:AB47" si="4">D8/H8</f>
        <v>#DIV/0!</v>
      </c>
      <c r="AC8" s="1214" t="e">
        <f t="shared" ref="AC8:AC47" si="5">D8/J8</f>
        <v>#DIV/0!</v>
      </c>
    </row>
    <row r="9" spans="1:29" s="1014" customFormat="1">
      <c r="A9" s="1046" t="s">
        <v>890</v>
      </c>
      <c r="B9" s="1047" t="s">
        <v>891</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892</v>
      </c>
      <c r="Q9" s="1203" t="str">
        <f t="shared" ref="Q9:Q15" si="6">B9</f>
        <v>用途</v>
      </c>
      <c r="R9" s="1199" t="s">
        <v>885</v>
      </c>
      <c r="S9" s="1200">
        <f t="shared" si="0"/>
        <v>100</v>
      </c>
      <c r="T9" s="1199" t="s">
        <v>885</v>
      </c>
      <c r="U9" s="1200">
        <f t="shared" si="1"/>
        <v>100</v>
      </c>
      <c r="V9" s="1199" t="s">
        <v>885</v>
      </c>
      <c r="W9" s="1200">
        <f t="shared" si="2"/>
        <v>100</v>
      </c>
      <c r="X9" s="1201"/>
      <c r="Y9" s="3412" t="s">
        <v>893</v>
      </c>
      <c r="Z9" s="1215" t="str">
        <f t="shared" ref="Z9:Z15" si="7">Q9</f>
        <v>用途</v>
      </c>
      <c r="AA9" s="1214">
        <f t="shared" si="3"/>
        <v>1</v>
      </c>
      <c r="AB9" s="1214">
        <f t="shared" si="4"/>
        <v>1</v>
      </c>
      <c r="AC9" s="1214">
        <f t="shared" si="5"/>
        <v>1</v>
      </c>
    </row>
    <row r="10" spans="1:29" s="1015" customFormat="1" ht="27">
      <c r="A10" s="1050"/>
      <c r="B10" s="1051" t="s">
        <v>894</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885</v>
      </c>
      <c r="S10" s="1200">
        <f t="shared" si="0"/>
        <v>100</v>
      </c>
      <c r="T10" s="1199" t="s">
        <v>885</v>
      </c>
      <c r="U10" s="1200">
        <f t="shared" si="1"/>
        <v>100</v>
      </c>
      <c r="V10" s="1199" t="s">
        <v>885</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896</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885</v>
      </c>
      <c r="S11" s="1200" t="e">
        <f t="shared" si="0"/>
        <v>#N/A</v>
      </c>
      <c r="T11" s="1199" t="s">
        <v>885</v>
      </c>
      <c r="U11" s="1200" t="e">
        <f t="shared" si="1"/>
        <v>#N/A</v>
      </c>
      <c r="V11" s="1199" t="s">
        <v>885</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885</v>
      </c>
      <c r="S12" s="1200">
        <f t="shared" si="0"/>
        <v>100</v>
      </c>
      <c r="T12" s="1199" t="s">
        <v>885</v>
      </c>
      <c r="U12" s="1200">
        <f t="shared" si="1"/>
        <v>100</v>
      </c>
      <c r="V12" s="1199" t="s">
        <v>885</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885</v>
      </c>
      <c r="S13" s="1200">
        <f t="shared" si="0"/>
        <v>100</v>
      </c>
      <c r="T13" s="1199" t="s">
        <v>885</v>
      </c>
      <c r="U13" s="1200">
        <f t="shared" si="1"/>
        <v>100</v>
      </c>
      <c r="V13" s="1199" t="s">
        <v>885</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885</v>
      </c>
      <c r="S14" s="1200">
        <f t="shared" si="0"/>
        <v>100</v>
      </c>
      <c r="T14" s="1199" t="s">
        <v>885</v>
      </c>
      <c r="U14" s="1200">
        <f t="shared" si="1"/>
        <v>100</v>
      </c>
      <c r="V14" s="1199" t="s">
        <v>885</v>
      </c>
      <c r="W14" s="1200">
        <f t="shared" si="2"/>
        <v>100</v>
      </c>
      <c r="X14" s="1201"/>
      <c r="Y14" s="3412"/>
      <c r="Z14" s="1215">
        <f t="shared" si="7"/>
        <v>111</v>
      </c>
      <c r="AA14" s="1214">
        <f t="shared" si="3"/>
        <v>1</v>
      </c>
      <c r="AB14" s="1214">
        <f t="shared" si="4"/>
        <v>1</v>
      </c>
      <c r="AC14" s="1214">
        <f t="shared" si="5"/>
        <v>1</v>
      </c>
    </row>
    <row r="15" spans="1:29" ht="71.25">
      <c r="A15" s="459" t="s">
        <v>897</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62" t="s">
        <v>898</v>
      </c>
      <c r="Q15" s="470" t="str">
        <f t="shared" si="6"/>
        <v>办公集聚程度</v>
      </c>
      <c r="R15" s="1204" t="s">
        <v>885</v>
      </c>
      <c r="S15" s="1205">
        <f t="shared" si="0"/>
        <v>100</v>
      </c>
      <c r="T15" s="1204" t="s">
        <v>885</v>
      </c>
      <c r="U15" s="1205">
        <f t="shared" si="1"/>
        <v>100</v>
      </c>
      <c r="V15" s="1204" t="s">
        <v>885</v>
      </c>
      <c r="W15" s="1205">
        <f t="shared" si="2"/>
        <v>100</v>
      </c>
      <c r="X15" s="1197"/>
      <c r="Y15" s="3562" t="s">
        <v>898</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63"/>
      <c r="Q16" s="470"/>
      <c r="R16" s="1204"/>
      <c r="S16" s="1205"/>
      <c r="T16" s="1204"/>
      <c r="U16" s="1205"/>
      <c r="V16" s="1204"/>
      <c r="W16" s="1205"/>
      <c r="X16" s="1197"/>
      <c r="Y16" s="356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63"/>
      <c r="Q17" s="470" t="str">
        <f>B17</f>
        <v>交通便捷度</v>
      </c>
      <c r="R17" s="1204" t="s">
        <v>885</v>
      </c>
      <c r="S17" s="1205">
        <f>F17</f>
        <v>100</v>
      </c>
      <c r="T17" s="1204" t="s">
        <v>885</v>
      </c>
      <c r="U17" s="1205">
        <f>H17</f>
        <v>100</v>
      </c>
      <c r="V17" s="1204" t="s">
        <v>885</v>
      </c>
      <c r="W17" s="1205">
        <f>J17</f>
        <v>100</v>
      </c>
      <c r="X17" s="1197"/>
      <c r="Y17" s="356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63"/>
      <c r="Q18" s="470"/>
      <c r="R18" s="1204"/>
      <c r="S18" s="1205"/>
      <c r="T18" s="1204"/>
      <c r="U18" s="1205"/>
      <c r="V18" s="1204"/>
      <c r="W18" s="1205"/>
      <c r="X18" s="1197"/>
      <c r="Y18" s="356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63"/>
      <c r="Q19" s="470" t="str">
        <f>B19</f>
        <v>公共配套设施</v>
      </c>
      <c r="R19" s="1204" t="s">
        <v>885</v>
      </c>
      <c r="S19" s="1205">
        <f>F19</f>
        <v>100</v>
      </c>
      <c r="T19" s="1204" t="s">
        <v>885</v>
      </c>
      <c r="U19" s="1205">
        <f>H19</f>
        <v>100</v>
      </c>
      <c r="V19" s="1204" t="s">
        <v>885</v>
      </c>
      <c r="W19" s="1205">
        <f>J19</f>
        <v>100</v>
      </c>
      <c r="X19" s="1197"/>
      <c r="Y19" s="356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63"/>
      <c r="Q20" s="470"/>
      <c r="R20" s="1204"/>
      <c r="S20" s="1205"/>
      <c r="T20" s="1204"/>
      <c r="U20" s="1205"/>
      <c r="V20" s="1204"/>
      <c r="W20" s="1205"/>
      <c r="X20" s="1197"/>
      <c r="Y20" s="356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63"/>
      <c r="Q21" s="470" t="str">
        <f>B21</f>
        <v>基础设施水平</v>
      </c>
      <c r="R21" s="1204" t="s">
        <v>885</v>
      </c>
      <c r="S21" s="1205">
        <f>F21</f>
        <v>100</v>
      </c>
      <c r="T21" s="1204" t="s">
        <v>885</v>
      </c>
      <c r="U21" s="1205">
        <f>H21</f>
        <v>100</v>
      </c>
      <c r="V21" s="1204" t="s">
        <v>885</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63"/>
      <c r="Q22" s="470"/>
      <c r="R22" s="1204"/>
      <c r="S22" s="1205"/>
      <c r="T22" s="1204"/>
      <c r="U22" s="1205"/>
      <c r="V22" s="1204"/>
      <c r="W22" s="1205"/>
      <c r="X22" s="1197"/>
      <c r="Y22" s="356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63"/>
      <c r="Q23" s="470" t="str">
        <f>B23</f>
        <v>环境质量</v>
      </c>
      <c r="R23" s="1204" t="s">
        <v>885</v>
      </c>
      <c r="S23" s="1205">
        <f>F23</f>
        <v>100</v>
      </c>
      <c r="T23" s="1204" t="s">
        <v>885</v>
      </c>
      <c r="U23" s="1205">
        <f>H23</f>
        <v>100</v>
      </c>
      <c r="V23" s="1204" t="s">
        <v>885</v>
      </c>
      <c r="W23" s="1205">
        <f>J23</f>
        <v>100</v>
      </c>
      <c r="X23" s="1197"/>
      <c r="Y23" s="356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63"/>
      <c r="Q24" s="470"/>
      <c r="R24" s="1204"/>
      <c r="S24" s="1205"/>
      <c r="T24" s="1204"/>
      <c r="U24" s="1205"/>
      <c r="V24" s="1204"/>
      <c r="W24" s="1205"/>
      <c r="X24" s="1197"/>
      <c r="Y24" s="3563"/>
      <c r="Z24" s="1196"/>
      <c r="AA24" s="1216">
        <v>1</v>
      </c>
      <c r="AB24" s="1216">
        <v>1</v>
      </c>
      <c r="AC24" s="1216">
        <v>1</v>
      </c>
    </row>
    <row r="25" spans="1:29" ht="27">
      <c r="A25" s="1034"/>
      <c r="B25" s="1500" t="s">
        <v>1492</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63"/>
      <c r="Q25" s="470" t="str">
        <f>B25</f>
        <v>毗邻道路的类型与等级</v>
      </c>
      <c r="R25" s="1204" t="s">
        <v>885</v>
      </c>
      <c r="S25" s="1205">
        <f>F25</f>
        <v>100</v>
      </c>
      <c r="T25" s="1204" t="s">
        <v>885</v>
      </c>
      <c r="U25" s="1205">
        <f>H25</f>
        <v>100</v>
      </c>
      <c r="V25" s="1204" t="s">
        <v>885</v>
      </c>
      <c r="W25" s="1205">
        <f>J25</f>
        <v>100</v>
      </c>
      <c r="X25" s="1197"/>
      <c r="Y25" s="356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63"/>
      <c r="Q26" s="470"/>
      <c r="R26" s="1204"/>
      <c r="S26" s="1205"/>
      <c r="T26" s="1204"/>
      <c r="U26" s="1205"/>
      <c r="V26" s="1204"/>
      <c r="W26" s="1205"/>
      <c r="X26" s="1197"/>
      <c r="Y26" s="3563"/>
      <c r="Z26" s="1196"/>
      <c r="AA26" s="1216">
        <v>1</v>
      </c>
      <c r="AB26" s="1216">
        <v>1</v>
      </c>
      <c r="AC26" s="1216">
        <v>1</v>
      </c>
    </row>
    <row r="27" spans="1:29" ht="15">
      <c r="A27" s="483"/>
      <c r="B27" s="1501" t="s">
        <v>1482</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63"/>
      <c r="Q27" s="470" t="str">
        <f t="shared" ref="Q27:Q47" si="11">B27</f>
        <v>楼层</v>
      </c>
      <c r="R27" s="1204" t="s">
        <v>885</v>
      </c>
      <c r="S27" s="1205">
        <f>F27</f>
        <v>100</v>
      </c>
      <c r="T27" s="1204" t="s">
        <v>885</v>
      </c>
      <c r="U27" s="1205">
        <f>H27</f>
        <v>100</v>
      </c>
      <c r="V27" s="1204" t="s">
        <v>885</v>
      </c>
      <c r="W27" s="1205">
        <f>J27</f>
        <v>100</v>
      </c>
      <c r="X27" s="1197"/>
      <c r="Y27" s="3563"/>
      <c r="Z27" s="1196" t="str">
        <f>Q27</f>
        <v>楼层</v>
      </c>
      <c r="AA27" s="1216">
        <f t="shared" si="3"/>
        <v>1</v>
      </c>
      <c r="AB27" s="1216">
        <f t="shared" si="4"/>
        <v>1</v>
      </c>
      <c r="AC27" s="1216">
        <f t="shared" si="5"/>
        <v>1</v>
      </c>
    </row>
    <row r="28" spans="1:29" s="1014" customFormat="1" ht="15">
      <c r="A28" s="1058"/>
      <c r="B28" s="1500" t="s">
        <v>903</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63"/>
      <c r="Q28" s="1203" t="str">
        <f t="shared" si="11"/>
        <v>朝向</v>
      </c>
      <c r="R28" s="1199" t="s">
        <v>885</v>
      </c>
      <c r="S28" s="1200">
        <f>F28</f>
        <v>100</v>
      </c>
      <c r="T28" s="1199" t="s">
        <v>885</v>
      </c>
      <c r="U28" s="1200">
        <f>H28</f>
        <v>100</v>
      </c>
      <c r="V28" s="1199" t="s">
        <v>885</v>
      </c>
      <c r="W28" s="1200">
        <f>J28</f>
        <v>100</v>
      </c>
      <c r="X28" s="1201"/>
      <c r="Y28" s="356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63"/>
      <c r="Q29" s="470">
        <f t="shared" si="11"/>
        <v>111</v>
      </c>
      <c r="R29" s="1204" t="s">
        <v>885</v>
      </c>
      <c r="S29" s="1205">
        <f t="shared" ref="S29:S47" si="12">F29</f>
        <v>100</v>
      </c>
      <c r="T29" s="1204" t="s">
        <v>885</v>
      </c>
      <c r="U29" s="1205">
        <f t="shared" ref="U29:U47" si="13">H29</f>
        <v>100</v>
      </c>
      <c r="V29" s="1204" t="s">
        <v>885</v>
      </c>
      <c r="W29" s="1205">
        <f t="shared" ref="W29:W47" si="14">J29</f>
        <v>100</v>
      </c>
      <c r="X29" s="1197"/>
      <c r="Y29" s="356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63"/>
      <c r="Q30" s="470">
        <f t="shared" si="11"/>
        <v>111</v>
      </c>
      <c r="R30" s="1204" t="s">
        <v>885</v>
      </c>
      <c r="S30" s="1205">
        <f t="shared" si="12"/>
        <v>100</v>
      </c>
      <c r="T30" s="1204" t="s">
        <v>885</v>
      </c>
      <c r="U30" s="1205">
        <f t="shared" si="13"/>
        <v>100</v>
      </c>
      <c r="V30" s="1204" t="s">
        <v>885</v>
      </c>
      <c r="W30" s="1205">
        <f t="shared" si="14"/>
        <v>100</v>
      </c>
      <c r="X30" s="1197"/>
      <c r="Y30" s="356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63"/>
      <c r="Q31" s="470">
        <f t="shared" si="11"/>
        <v>111</v>
      </c>
      <c r="R31" s="1204" t="s">
        <v>885</v>
      </c>
      <c r="S31" s="1205">
        <f t="shared" si="12"/>
        <v>100</v>
      </c>
      <c r="T31" s="1204" t="s">
        <v>885</v>
      </c>
      <c r="U31" s="1205">
        <f t="shared" si="13"/>
        <v>100</v>
      </c>
      <c r="V31" s="1204" t="s">
        <v>885</v>
      </c>
      <c r="W31" s="1205">
        <f t="shared" si="14"/>
        <v>100</v>
      </c>
      <c r="X31" s="1197"/>
      <c r="Y31" s="356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63"/>
      <c r="Q32" s="470">
        <f t="shared" si="11"/>
        <v>111</v>
      </c>
      <c r="R32" s="1204" t="s">
        <v>885</v>
      </c>
      <c r="S32" s="1205">
        <f t="shared" si="12"/>
        <v>100</v>
      </c>
      <c r="T32" s="1204" t="s">
        <v>885</v>
      </c>
      <c r="U32" s="1205">
        <f t="shared" si="13"/>
        <v>100</v>
      </c>
      <c r="V32" s="1204" t="s">
        <v>885</v>
      </c>
      <c r="W32" s="1205">
        <f t="shared" si="14"/>
        <v>100</v>
      </c>
      <c r="X32" s="1197"/>
      <c r="Y32" s="3563"/>
      <c r="Z32" s="1196">
        <f t="shared" si="15"/>
        <v>111</v>
      </c>
      <c r="AA32" s="1216">
        <f t="shared" si="3"/>
        <v>1</v>
      </c>
      <c r="AB32" s="1216">
        <f t="shared" si="4"/>
        <v>1</v>
      </c>
      <c r="AC32" s="1216">
        <f t="shared" si="5"/>
        <v>1</v>
      </c>
    </row>
    <row r="33" spans="1:29" ht="15">
      <c r="A33" s="459" t="s">
        <v>912</v>
      </c>
      <c r="B33" s="1047" t="s">
        <v>913</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915</v>
      </c>
      <c r="Q33" s="470" t="str">
        <f t="shared" si="11"/>
        <v>建筑类型</v>
      </c>
      <c r="R33" s="1204" t="s">
        <v>885</v>
      </c>
      <c r="S33" s="1205">
        <f t="shared" si="12"/>
        <v>100</v>
      </c>
      <c r="T33" s="1204" t="s">
        <v>885</v>
      </c>
      <c r="U33" s="1205">
        <f t="shared" si="13"/>
        <v>100</v>
      </c>
      <c r="V33" s="1204" t="s">
        <v>885</v>
      </c>
      <c r="W33" s="1205">
        <f t="shared" si="14"/>
        <v>100</v>
      </c>
      <c r="X33" s="1197"/>
      <c r="Y33" s="3564" t="s">
        <v>915</v>
      </c>
      <c r="Z33" s="1196" t="str">
        <f t="shared" si="15"/>
        <v>建筑类型</v>
      </c>
      <c r="AA33" s="1216">
        <f t="shared" si="3"/>
        <v>1</v>
      </c>
      <c r="AB33" s="1216">
        <f t="shared" si="4"/>
        <v>1</v>
      </c>
      <c r="AC33" s="1216">
        <f t="shared" si="5"/>
        <v>1</v>
      </c>
    </row>
    <row r="34" spans="1:29" s="1016" customFormat="1" ht="15">
      <c r="A34" s="1114"/>
      <c r="B34" s="1051" t="s">
        <v>916</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64"/>
      <c r="Q34" s="1548" t="str">
        <f t="shared" si="11"/>
        <v>项目建筑规模</v>
      </c>
      <c r="R34" s="1206" t="s">
        <v>885</v>
      </c>
      <c r="S34" s="1207" t="e">
        <f t="shared" si="12"/>
        <v>#N/A</v>
      </c>
      <c r="T34" s="1206" t="s">
        <v>885</v>
      </c>
      <c r="U34" s="1207" t="e">
        <f t="shared" si="13"/>
        <v>#N/A</v>
      </c>
      <c r="V34" s="1206" t="s">
        <v>885</v>
      </c>
      <c r="W34" s="1207" t="e">
        <f t="shared" si="14"/>
        <v>#N/A</v>
      </c>
      <c r="X34" s="1208"/>
      <c r="Y34" s="3564"/>
      <c r="Z34" s="1217" t="str">
        <f t="shared" si="15"/>
        <v>项目建筑规模</v>
      </c>
      <c r="AA34" s="1216" t="e">
        <f t="shared" si="3"/>
        <v>#N/A</v>
      </c>
      <c r="AB34" s="1216" t="e">
        <f t="shared" si="4"/>
        <v>#N/A</v>
      </c>
      <c r="AC34" s="1216" t="e">
        <f t="shared" si="5"/>
        <v>#N/A</v>
      </c>
    </row>
    <row r="35" spans="1:29" ht="15">
      <c r="A35" s="1109"/>
      <c r="B35" s="1051" t="s">
        <v>917</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64"/>
      <c r="Q35" s="470" t="str">
        <f t="shared" si="11"/>
        <v>建筑结构</v>
      </c>
      <c r="R35" s="1204" t="s">
        <v>885</v>
      </c>
      <c r="S35" s="1205">
        <f t="shared" si="12"/>
        <v>100</v>
      </c>
      <c r="T35" s="1204" t="s">
        <v>885</v>
      </c>
      <c r="U35" s="1205">
        <f t="shared" si="13"/>
        <v>100</v>
      </c>
      <c r="V35" s="1204" t="s">
        <v>885</v>
      </c>
      <c r="W35" s="1205">
        <f t="shared" si="14"/>
        <v>100</v>
      </c>
      <c r="X35" s="1197"/>
      <c r="Y35" s="3564"/>
      <c r="Z35" s="1196" t="str">
        <f t="shared" si="15"/>
        <v>建筑结构</v>
      </c>
      <c r="AA35" s="1216">
        <f t="shared" si="3"/>
        <v>1</v>
      </c>
      <c r="AB35" s="1216">
        <f t="shared" si="4"/>
        <v>1</v>
      </c>
      <c r="AC35" s="1216">
        <f t="shared" si="5"/>
        <v>1</v>
      </c>
    </row>
    <row r="36" spans="1:29" ht="15">
      <c r="A36" s="1109"/>
      <c r="B36" s="1051" t="s">
        <v>920</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64"/>
      <c r="Q36" s="470" t="str">
        <f t="shared" si="11"/>
        <v>公共部分装修</v>
      </c>
      <c r="R36" s="1204" t="s">
        <v>885</v>
      </c>
      <c r="S36" s="1205">
        <f t="shared" si="12"/>
        <v>100</v>
      </c>
      <c r="T36" s="1204" t="s">
        <v>885</v>
      </c>
      <c r="U36" s="1205">
        <f t="shared" si="13"/>
        <v>100</v>
      </c>
      <c r="V36" s="1204" t="s">
        <v>885</v>
      </c>
      <c r="W36" s="1205">
        <f t="shared" si="14"/>
        <v>100</v>
      </c>
      <c r="X36" s="1197"/>
      <c r="Y36" s="3564"/>
      <c r="Z36" s="1196" t="str">
        <f t="shared" si="15"/>
        <v>公共部分装修</v>
      </c>
      <c r="AA36" s="1216">
        <f t="shared" si="3"/>
        <v>1</v>
      </c>
      <c r="AB36" s="1216">
        <f t="shared" si="4"/>
        <v>1</v>
      </c>
      <c r="AC36" s="1216">
        <f t="shared" si="5"/>
        <v>1</v>
      </c>
    </row>
    <row r="37" spans="1:29" ht="15">
      <c r="A37" s="1109"/>
      <c r="B37" s="1051" t="s">
        <v>922</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64"/>
      <c r="Q37" s="470" t="str">
        <f t="shared" si="11"/>
        <v>成新度</v>
      </c>
      <c r="R37" s="1204" t="s">
        <v>885</v>
      </c>
      <c r="S37" s="1205" t="e">
        <f t="shared" si="12"/>
        <v>#N/A</v>
      </c>
      <c r="T37" s="1204" t="s">
        <v>885</v>
      </c>
      <c r="U37" s="1205" t="e">
        <f t="shared" si="13"/>
        <v>#N/A</v>
      </c>
      <c r="V37" s="1204" t="s">
        <v>885</v>
      </c>
      <c r="W37" s="1205" t="e">
        <f t="shared" si="14"/>
        <v>#N/A</v>
      </c>
      <c r="X37" s="1197"/>
      <c r="Y37" s="3564"/>
      <c r="Z37" s="1196" t="str">
        <f t="shared" si="15"/>
        <v>成新度</v>
      </c>
      <c r="AA37" s="1216" t="e">
        <f t="shared" si="3"/>
        <v>#N/A</v>
      </c>
      <c r="AB37" s="1216" t="e">
        <f t="shared" si="4"/>
        <v>#N/A</v>
      </c>
      <c r="AC37" s="1216" t="e">
        <f t="shared" si="5"/>
        <v>#N/A</v>
      </c>
    </row>
    <row r="38" spans="1:29" s="1014" customFormat="1" ht="15">
      <c r="A38" s="1111"/>
      <c r="B38" s="1051" t="s">
        <v>1493</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64"/>
      <c r="Q38" s="1203" t="str">
        <f t="shared" si="11"/>
        <v>写字楼等级</v>
      </c>
      <c r="R38" s="1199" t="s">
        <v>885</v>
      </c>
      <c r="S38" s="1200">
        <f t="shared" si="12"/>
        <v>100</v>
      </c>
      <c r="T38" s="1199" t="s">
        <v>885</v>
      </c>
      <c r="U38" s="1200">
        <f t="shared" si="13"/>
        <v>100</v>
      </c>
      <c r="V38" s="1199" t="s">
        <v>885</v>
      </c>
      <c r="W38" s="1200">
        <f t="shared" si="14"/>
        <v>100</v>
      </c>
      <c r="X38" s="1201"/>
      <c r="Y38" s="3564"/>
      <c r="Z38" s="1215" t="str">
        <f t="shared" si="15"/>
        <v>写字楼等级</v>
      </c>
      <c r="AA38" s="1214">
        <f t="shared" si="3"/>
        <v>1</v>
      </c>
      <c r="AB38" s="1214">
        <f t="shared" si="4"/>
        <v>1</v>
      </c>
      <c r="AC38" s="1214">
        <f t="shared" si="5"/>
        <v>1</v>
      </c>
    </row>
    <row r="39" spans="1:29" ht="15">
      <c r="A39" s="1109"/>
      <c r="B39" s="1051" t="s">
        <v>923</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64" t="s">
        <v>915</v>
      </c>
      <c r="Q39" s="470" t="str">
        <f t="shared" si="11"/>
        <v>物业管理</v>
      </c>
      <c r="R39" s="1204" t="s">
        <v>885</v>
      </c>
      <c r="S39" s="1205">
        <f t="shared" si="12"/>
        <v>100</v>
      </c>
      <c r="T39" s="1204" t="s">
        <v>885</v>
      </c>
      <c r="U39" s="1205">
        <f t="shared" si="13"/>
        <v>100</v>
      </c>
      <c r="V39" s="1204" t="s">
        <v>885</v>
      </c>
      <c r="W39" s="1205">
        <f t="shared" si="14"/>
        <v>100</v>
      </c>
      <c r="X39" s="1197"/>
      <c r="Y39" s="3564" t="s">
        <v>915</v>
      </c>
      <c r="Z39" s="1196" t="str">
        <f t="shared" si="15"/>
        <v>物业管理</v>
      </c>
      <c r="AA39" s="1216">
        <f t="shared" si="3"/>
        <v>1</v>
      </c>
      <c r="AB39" s="1216">
        <f t="shared" si="4"/>
        <v>1</v>
      </c>
      <c r="AC39" s="1216">
        <f t="shared" si="5"/>
        <v>1</v>
      </c>
    </row>
    <row r="40" spans="1:29" ht="15">
      <c r="A40" s="1109"/>
      <c r="B40" s="1051" t="s">
        <v>924</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64"/>
      <c r="Q40" s="470" t="str">
        <f t="shared" si="11"/>
        <v>市政基础设施</v>
      </c>
      <c r="R40" s="1204" t="s">
        <v>885</v>
      </c>
      <c r="S40" s="1205">
        <f t="shared" si="12"/>
        <v>100</v>
      </c>
      <c r="T40" s="1204" t="s">
        <v>885</v>
      </c>
      <c r="U40" s="1205">
        <f t="shared" si="13"/>
        <v>100</v>
      </c>
      <c r="V40" s="1204" t="s">
        <v>885</v>
      </c>
      <c r="W40" s="1205">
        <f t="shared" si="14"/>
        <v>100</v>
      </c>
      <c r="X40" s="1197"/>
      <c r="Y40" s="3564"/>
      <c r="Z40" s="1196" t="str">
        <f t="shared" si="15"/>
        <v>市政基础设施</v>
      </c>
      <c r="AA40" s="1216">
        <f t="shared" si="3"/>
        <v>1</v>
      </c>
      <c r="AB40" s="1216">
        <f t="shared" si="4"/>
        <v>1</v>
      </c>
      <c r="AC40" s="1216">
        <f t="shared" si="5"/>
        <v>1</v>
      </c>
    </row>
    <row r="41" spans="1:29" ht="15">
      <c r="A41" s="1109"/>
      <c r="B41" s="1051" t="s">
        <v>1485</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64"/>
      <c r="Q41" s="470" t="str">
        <f t="shared" si="11"/>
        <v>层高</v>
      </c>
      <c r="R41" s="1204" t="s">
        <v>885</v>
      </c>
      <c r="S41" s="1205">
        <f t="shared" si="12"/>
        <v>100</v>
      </c>
      <c r="T41" s="1204" t="s">
        <v>885</v>
      </c>
      <c r="U41" s="1205">
        <f t="shared" si="13"/>
        <v>100</v>
      </c>
      <c r="V41" s="1204" t="s">
        <v>885</v>
      </c>
      <c r="W41" s="1205">
        <f t="shared" si="14"/>
        <v>100</v>
      </c>
      <c r="X41" s="1197"/>
      <c r="Y41" s="3564"/>
      <c r="Z41" s="1196" t="str">
        <f t="shared" si="15"/>
        <v>层高</v>
      </c>
      <c r="AA41" s="1216">
        <f t="shared" si="3"/>
        <v>1</v>
      </c>
      <c r="AB41" s="1216">
        <f t="shared" si="4"/>
        <v>1</v>
      </c>
      <c r="AC41" s="1216">
        <f t="shared" si="5"/>
        <v>1</v>
      </c>
    </row>
    <row r="42" spans="1:29" s="1016" customFormat="1" ht="15">
      <c r="A42" s="1114"/>
      <c r="B42" s="1190" t="s">
        <v>1494</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64"/>
      <c r="Q42" s="1548" t="str">
        <f t="shared" si="11"/>
        <v>单套建筑面积</v>
      </c>
      <c r="R42" s="1206" t="s">
        <v>885</v>
      </c>
      <c r="S42" s="1207">
        <f t="shared" si="12"/>
        <v>100</v>
      </c>
      <c r="T42" s="1206" t="s">
        <v>885</v>
      </c>
      <c r="U42" s="1207">
        <f t="shared" si="13"/>
        <v>100</v>
      </c>
      <c r="V42" s="1206" t="s">
        <v>885</v>
      </c>
      <c r="W42" s="1207">
        <f t="shared" si="14"/>
        <v>100</v>
      </c>
      <c r="X42" s="1208"/>
      <c r="Y42" s="3564"/>
      <c r="Z42" s="1217" t="str">
        <f t="shared" si="15"/>
        <v>单套建筑面积</v>
      </c>
      <c r="AA42" s="1216">
        <f t="shared" si="3"/>
        <v>1</v>
      </c>
      <c r="AB42" s="1216">
        <f t="shared" si="4"/>
        <v>1</v>
      </c>
      <c r="AC42" s="1216">
        <f t="shared" si="5"/>
        <v>1</v>
      </c>
    </row>
    <row r="43" spans="1:29" ht="15">
      <c r="A43" s="1109"/>
      <c r="B43" s="1051" t="s">
        <v>927</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64"/>
      <c r="Q43" s="470" t="str">
        <f t="shared" si="11"/>
        <v>内部装修</v>
      </c>
      <c r="R43" s="1204" t="s">
        <v>885</v>
      </c>
      <c r="S43" s="1205">
        <f t="shared" si="12"/>
        <v>100</v>
      </c>
      <c r="T43" s="1204" t="s">
        <v>885</v>
      </c>
      <c r="U43" s="1205">
        <f t="shared" si="13"/>
        <v>100</v>
      </c>
      <c r="V43" s="1204" t="s">
        <v>885</v>
      </c>
      <c r="W43" s="1205">
        <f t="shared" si="14"/>
        <v>100</v>
      </c>
      <c r="X43" s="1197"/>
      <c r="Y43" s="356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64"/>
      <c r="Q44" s="470" t="str">
        <f t="shared" si="11"/>
        <v>内部装修维护情况</v>
      </c>
      <c r="R44" s="1204" t="s">
        <v>885</v>
      </c>
      <c r="S44" s="1205">
        <f t="shared" si="12"/>
        <v>100</v>
      </c>
      <c r="T44" s="1204" t="s">
        <v>885</v>
      </c>
      <c r="U44" s="1205">
        <f t="shared" si="13"/>
        <v>100</v>
      </c>
      <c r="V44" s="1204" t="s">
        <v>885</v>
      </c>
      <c r="W44" s="1205">
        <f t="shared" si="14"/>
        <v>100</v>
      </c>
      <c r="X44" s="1197"/>
      <c r="Y44" s="356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64"/>
      <c r="Q45" s="1203">
        <f t="shared" si="11"/>
        <v>111</v>
      </c>
      <c r="R45" s="1199" t="s">
        <v>885</v>
      </c>
      <c r="S45" s="1200">
        <f t="shared" si="12"/>
        <v>100</v>
      </c>
      <c r="T45" s="1199" t="s">
        <v>885</v>
      </c>
      <c r="U45" s="1200">
        <f t="shared" si="13"/>
        <v>100</v>
      </c>
      <c r="V45" s="1199" t="s">
        <v>885</v>
      </c>
      <c r="W45" s="1200">
        <f t="shared" si="14"/>
        <v>100</v>
      </c>
      <c r="X45" s="1201"/>
      <c r="Y45" s="356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64"/>
      <c r="Q46" s="470">
        <f t="shared" si="11"/>
        <v>111</v>
      </c>
      <c r="R46" s="1204" t="s">
        <v>885</v>
      </c>
      <c r="S46" s="1205">
        <f t="shared" si="12"/>
        <v>100</v>
      </c>
      <c r="T46" s="1204" t="s">
        <v>885</v>
      </c>
      <c r="U46" s="1205">
        <f t="shared" si="13"/>
        <v>100</v>
      </c>
      <c r="V46" s="1204" t="s">
        <v>885</v>
      </c>
      <c r="W46" s="1205">
        <f t="shared" si="14"/>
        <v>100</v>
      </c>
      <c r="X46" s="1197"/>
      <c r="Y46" s="356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65"/>
      <c r="Q47" s="470">
        <f t="shared" si="11"/>
        <v>111</v>
      </c>
      <c r="R47" s="1204" t="s">
        <v>885</v>
      </c>
      <c r="S47" s="1205">
        <f t="shared" si="12"/>
        <v>100</v>
      </c>
      <c r="T47" s="1204" t="s">
        <v>885</v>
      </c>
      <c r="U47" s="1205">
        <f t="shared" si="13"/>
        <v>100</v>
      </c>
      <c r="V47" s="1204" t="s">
        <v>885</v>
      </c>
      <c r="W47" s="1205">
        <f t="shared" si="14"/>
        <v>100</v>
      </c>
      <c r="X47" s="1197"/>
      <c r="Y47" s="3565"/>
      <c r="Z47" s="1196">
        <f t="shared" si="15"/>
        <v>111</v>
      </c>
      <c r="AA47" s="1216">
        <f t="shared" si="3"/>
        <v>1</v>
      </c>
      <c r="AB47" s="1216">
        <f t="shared" si="4"/>
        <v>1</v>
      </c>
      <c r="AC47" s="1216">
        <f t="shared" si="5"/>
        <v>1</v>
      </c>
    </row>
    <row r="48" spans="1:29" ht="15">
      <c r="A48" s="1117" t="s">
        <v>934</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5">
      <c r="A49" s="1125" t="s">
        <v>935</v>
      </c>
      <c r="B49" s="1526"/>
      <c r="C49" s="1527" t="e">
        <f>R50</f>
        <v>#DIV/0!</v>
      </c>
      <c r="D49" s="790" t="s">
        <v>936</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5">
      <c r="A50" s="1129" t="s">
        <v>937</v>
      </c>
      <c r="B50" s="1130"/>
      <c r="C50" s="1529" t="e">
        <f>R50</f>
        <v>#DIV/0!</v>
      </c>
      <c r="D50" s="1529"/>
      <c r="E50" s="1529"/>
      <c r="F50" s="1529"/>
      <c r="G50" s="1529"/>
      <c r="H50" s="1529"/>
      <c r="I50" s="1529"/>
      <c r="J50" s="1529"/>
      <c r="K50" s="1189"/>
      <c r="L50" s="1188"/>
      <c r="M50" s="1160"/>
      <c r="N50" s="1160"/>
      <c r="O50" s="1160"/>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209"/>
      <c r="Y50" s="1209"/>
      <c r="Z50" s="1209"/>
      <c r="AA50" s="1209"/>
      <c r="AB50" s="1209"/>
      <c r="AC50" s="1209"/>
    </row>
    <row r="51" spans="1:29">
      <c r="G51" s="1132"/>
    </row>
    <row r="53" spans="1:29" ht="13.5" customHeight="1">
      <c r="C53" s="797" t="s">
        <v>938</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939</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940</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941</v>
      </c>
      <c r="B58" s="1209"/>
      <c r="C58" s="1228"/>
      <c r="D58" s="1228"/>
      <c r="E58" s="1228"/>
      <c r="F58" s="1228"/>
      <c r="G58" s="1228"/>
      <c r="H58" s="1228"/>
      <c r="I58" s="1228"/>
      <c r="J58" s="1228"/>
      <c r="K58" s="1542"/>
      <c r="L58" s="1543"/>
      <c r="M58" s="1228"/>
      <c r="N58" s="1544"/>
      <c r="O58" s="1544"/>
      <c r="P58" s="1282"/>
      <c r="Q58" s="1286"/>
    </row>
    <row r="59" spans="1:29" s="1477" customFormat="1" ht="15">
      <c r="A59" s="1530" t="s">
        <v>883</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942</v>
      </c>
      <c r="B61" s="1236"/>
      <c r="C61" s="1237"/>
      <c r="D61" s="1238"/>
      <c r="E61" s="1238"/>
      <c r="F61" s="1238"/>
      <c r="G61" s="1238"/>
      <c r="H61" s="1238"/>
      <c r="I61" s="1238"/>
      <c r="J61" s="1238"/>
      <c r="K61" s="1238"/>
      <c r="L61" s="1238"/>
      <c r="M61" s="1287"/>
      <c r="N61" s="1238"/>
      <c r="O61" s="1547"/>
      <c r="P61" s="1286"/>
      <c r="Q61" s="1286"/>
    </row>
    <row r="62" spans="1:29" s="1014" customFormat="1" ht="15">
      <c r="A62" s="1239" t="s">
        <v>886</v>
      </c>
      <c r="B62" s="1240"/>
      <c r="C62" s="1241" t="s">
        <v>887</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943</v>
      </c>
      <c r="B64" s="1245" t="s">
        <v>891</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894</v>
      </c>
      <c r="C66" s="1250" t="s">
        <v>944</v>
      </c>
      <c r="D66" s="1250" t="s">
        <v>945</v>
      </c>
      <c r="E66" s="1250" t="s">
        <v>946</v>
      </c>
      <c r="F66" s="1250" t="s">
        <v>947</v>
      </c>
      <c r="G66" s="1250" t="s">
        <v>948</v>
      </c>
      <c r="H66" s="1250" t="s">
        <v>949</v>
      </c>
      <c r="I66" s="1250" t="s">
        <v>950</v>
      </c>
      <c r="J66" s="1250"/>
      <c r="K66" s="973"/>
      <c r="L66" s="973"/>
      <c r="M66" s="1298"/>
      <c r="N66" s="1294"/>
      <c r="O66" s="1294"/>
      <c r="P66" s="1295"/>
      <c r="Q66" s="1286"/>
    </row>
    <row r="67" spans="1:17" ht="15">
      <c r="A67" s="1246"/>
      <c r="B67" s="1251"/>
      <c r="C67" s="1252" t="s">
        <v>1489</v>
      </c>
      <c r="D67" s="1252" t="s">
        <v>1489</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896</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897</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951</v>
      </c>
      <c r="D83" s="1250" t="s">
        <v>952</v>
      </c>
      <c r="E83" s="1250" t="s">
        <v>953</v>
      </c>
      <c r="F83" s="1250" t="s">
        <v>954</v>
      </c>
      <c r="G83" s="1250" t="s">
        <v>955</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1492</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912</v>
      </c>
      <c r="B101" s="1245" t="s">
        <v>913</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916</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917</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920</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922</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1493</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923</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924</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1495</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1486</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927</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865</v>
      </c>
      <c r="B1" s="1387" t="s">
        <v>1496</v>
      </c>
      <c r="C1" s="1465"/>
      <c r="D1" s="1325"/>
      <c r="E1" s="1326"/>
      <c r="F1" s="1327" t="s">
        <v>868</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869</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870</v>
      </c>
      <c r="B3" s="698" t="e">
        <f ca="1">ROUND(IF(D2="——",C43,IF(C2="万元",B2*10000/D3,B2/D3)),0)</f>
        <v>#DIV/0!</v>
      </c>
      <c r="C3" s="1335" t="s">
        <v>871</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872</v>
      </c>
      <c r="B4" s="700"/>
      <c r="C4" s="3646" t="s">
        <v>873</v>
      </c>
      <c r="D4" s="3647"/>
      <c r="E4" s="3648" t="s">
        <v>874</v>
      </c>
      <c r="F4" s="3649"/>
      <c r="G4" s="3646" t="s">
        <v>875</v>
      </c>
      <c r="H4" s="3647"/>
      <c r="I4" s="3646" t="s">
        <v>876</v>
      </c>
      <c r="J4" s="3647"/>
      <c r="K4" s="841" t="s">
        <v>877</v>
      </c>
      <c r="L4" s="842"/>
      <c r="M4" s="843"/>
      <c r="N4" s="843"/>
      <c r="O4" s="843"/>
      <c r="P4" s="3615" t="s">
        <v>878</v>
      </c>
      <c r="Q4" s="3616"/>
      <c r="R4" s="3621" t="s">
        <v>874</v>
      </c>
      <c r="S4" s="3622"/>
      <c r="T4" s="3621" t="s">
        <v>875</v>
      </c>
      <c r="U4" s="3622"/>
      <c r="V4" s="3627" t="s">
        <v>876</v>
      </c>
      <c r="W4" s="3627"/>
      <c r="X4" s="881"/>
      <c r="Y4" s="3621" t="s">
        <v>878</v>
      </c>
      <c r="Z4" s="3622"/>
      <c r="AA4" s="3612" t="s">
        <v>874</v>
      </c>
      <c r="AB4" s="3613" t="s">
        <v>875</v>
      </c>
      <c r="AC4" s="3612" t="s">
        <v>876</v>
      </c>
    </row>
    <row r="5" spans="1:29" ht="15">
      <c r="A5" s="701"/>
      <c r="B5" s="702"/>
      <c r="C5" s="3650" t="s">
        <v>879</v>
      </c>
      <c r="D5" s="3651"/>
      <c r="E5" s="3652" t="s">
        <v>1477</v>
      </c>
      <c r="F5" s="3653"/>
      <c r="G5" s="3650" t="s">
        <v>1478</v>
      </c>
      <c r="H5" s="3651"/>
      <c r="I5" s="3650" t="s">
        <v>1479</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881</v>
      </c>
      <c r="D6" s="3642"/>
      <c r="E6" s="3643" t="s">
        <v>881</v>
      </c>
      <c r="F6" s="3644"/>
      <c r="G6" s="3641" t="s">
        <v>881</v>
      </c>
      <c r="H6" s="3642"/>
      <c r="I6" s="3641" t="s">
        <v>881</v>
      </c>
      <c r="J6" s="3642"/>
      <c r="K6" s="841" t="s">
        <v>882</v>
      </c>
      <c r="L6" s="842"/>
      <c r="M6" s="843"/>
      <c r="N6" s="843"/>
      <c r="O6" s="843"/>
      <c r="P6" s="3619"/>
      <c r="Q6" s="3620"/>
      <c r="R6" s="3623"/>
      <c r="S6" s="3624"/>
      <c r="T6" s="3625"/>
      <c r="U6" s="3626"/>
      <c r="V6" s="3627"/>
      <c r="W6" s="3627"/>
      <c r="X6" s="881"/>
      <c r="Y6" s="3625"/>
      <c r="Z6" s="3626"/>
      <c r="AA6" s="3614"/>
      <c r="AB6" s="3614"/>
      <c r="AC6" s="3614"/>
    </row>
    <row r="7" spans="1:29" s="678" customFormat="1" ht="15">
      <c r="A7" s="705" t="s">
        <v>883</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33" t="s">
        <v>884</v>
      </c>
      <c r="Q7" s="3645"/>
      <c r="R7" s="882" t="s">
        <v>885</v>
      </c>
      <c r="S7" s="883">
        <f t="shared" ref="S7:S15" si="0">F7</f>
        <v>0</v>
      </c>
      <c r="T7" s="882" t="s">
        <v>885</v>
      </c>
      <c r="U7" s="883">
        <f t="shared" ref="U7:U15" si="1">H7</f>
        <v>0</v>
      </c>
      <c r="V7" s="882" t="s">
        <v>885</v>
      </c>
      <c r="W7" s="883">
        <f t="shared" ref="W7:W15" si="2">J7</f>
        <v>0</v>
      </c>
      <c r="X7" s="884"/>
      <c r="Y7" s="3633" t="s">
        <v>884</v>
      </c>
      <c r="Z7" s="3634"/>
      <c r="AA7" s="895" t="e">
        <f>D7/F7</f>
        <v>#DIV/0!</v>
      </c>
      <c r="AB7" s="895" t="e">
        <f>D7/H7</f>
        <v>#DIV/0!</v>
      </c>
      <c r="AC7" s="895" t="e">
        <f>D7/J7</f>
        <v>#DIV/0!</v>
      </c>
    </row>
    <row r="8" spans="1:29" s="678" customFormat="1" ht="15">
      <c r="A8" s="705" t="s">
        <v>886</v>
      </c>
      <c r="B8" s="706"/>
      <c r="C8" s="712" t="s">
        <v>888</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3" t="s">
        <v>889</v>
      </c>
      <c r="Q8" s="3634"/>
      <c r="R8" s="882" t="s">
        <v>885</v>
      </c>
      <c r="S8" s="883">
        <f t="shared" si="0"/>
        <v>0</v>
      </c>
      <c r="T8" s="882" t="s">
        <v>885</v>
      </c>
      <c r="U8" s="883">
        <f t="shared" si="1"/>
        <v>0</v>
      </c>
      <c r="V8" s="882" t="s">
        <v>885</v>
      </c>
      <c r="W8" s="883">
        <f t="shared" si="2"/>
        <v>0</v>
      </c>
      <c r="X8" s="884"/>
      <c r="Y8" s="3633" t="s">
        <v>889</v>
      </c>
      <c r="Z8" s="3634"/>
      <c r="AA8" s="895" t="e">
        <f t="shared" ref="AA8:AA40" si="3">D8/F8</f>
        <v>#DIV/0!</v>
      </c>
      <c r="AB8" s="895" t="e">
        <f t="shared" ref="AB8:AB40" si="4">D8/H8</f>
        <v>#DIV/0!</v>
      </c>
      <c r="AC8" s="895" t="e">
        <f t="shared" ref="AC8:AC40" si="5">D8/J8</f>
        <v>#DIV/0!</v>
      </c>
    </row>
    <row r="9" spans="1:29" s="678" customFormat="1">
      <c r="A9" s="713" t="s">
        <v>890</v>
      </c>
      <c r="B9" s="714" t="s">
        <v>891</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8" t="s">
        <v>892</v>
      </c>
      <c r="Q9" s="885" t="str">
        <f t="shared" ref="Q9:Q15" si="6">B9</f>
        <v>用途</v>
      </c>
      <c r="R9" s="882" t="s">
        <v>885</v>
      </c>
      <c r="S9" s="883">
        <f t="shared" si="0"/>
        <v>100</v>
      </c>
      <c r="T9" s="882" t="s">
        <v>885</v>
      </c>
      <c r="U9" s="883">
        <f t="shared" si="1"/>
        <v>100</v>
      </c>
      <c r="V9" s="882" t="s">
        <v>885</v>
      </c>
      <c r="W9" s="883">
        <f t="shared" si="2"/>
        <v>100</v>
      </c>
      <c r="X9" s="884"/>
      <c r="Y9" s="3640" t="s">
        <v>893</v>
      </c>
      <c r="Z9" s="896" t="str">
        <f t="shared" ref="Z9:Z15" si="7">Q9</f>
        <v>用途</v>
      </c>
      <c r="AA9" s="895">
        <f t="shared" si="3"/>
        <v>1</v>
      </c>
      <c r="AB9" s="895">
        <f t="shared" si="4"/>
        <v>1</v>
      </c>
      <c r="AC9" s="895">
        <f t="shared" si="5"/>
        <v>1</v>
      </c>
    </row>
    <row r="10" spans="1:29" s="679" customFormat="1" ht="27">
      <c r="A10" s="717"/>
      <c r="B10" s="718" t="s">
        <v>894</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8"/>
      <c r="Q10" s="885" t="str">
        <f t="shared" si="6"/>
        <v>土地使用年限（年）</v>
      </c>
      <c r="R10" s="882" t="s">
        <v>885</v>
      </c>
      <c r="S10" s="883">
        <f t="shared" si="0"/>
        <v>100</v>
      </c>
      <c r="T10" s="882" t="s">
        <v>885</v>
      </c>
      <c r="U10" s="883">
        <f t="shared" si="1"/>
        <v>100</v>
      </c>
      <c r="V10" s="882" t="s">
        <v>885</v>
      </c>
      <c r="W10" s="883">
        <f t="shared" si="2"/>
        <v>100</v>
      </c>
      <c r="X10" s="884"/>
      <c r="Y10" s="3640"/>
      <c r="Z10" s="896" t="str">
        <f t="shared" si="7"/>
        <v>土地使用年限（年）</v>
      </c>
      <c r="AA10" s="895">
        <f t="shared" si="3"/>
        <v>1</v>
      </c>
      <c r="AB10" s="895">
        <f t="shared" si="4"/>
        <v>1</v>
      </c>
      <c r="AC10" s="895">
        <f t="shared" si="5"/>
        <v>1</v>
      </c>
    </row>
    <row r="11" spans="1:29" ht="15">
      <c r="A11" s="721"/>
      <c r="B11" s="718" t="s">
        <v>896</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8"/>
      <c r="Q11" s="885" t="str">
        <f t="shared" si="6"/>
        <v>容积率</v>
      </c>
      <c r="R11" s="882" t="s">
        <v>885</v>
      </c>
      <c r="S11" s="883" t="e">
        <f t="shared" si="0"/>
        <v>#N/A</v>
      </c>
      <c r="T11" s="882" t="s">
        <v>885</v>
      </c>
      <c r="U11" s="883" t="e">
        <f t="shared" si="1"/>
        <v>#N/A</v>
      </c>
      <c r="V11" s="882" t="s">
        <v>885</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8"/>
      <c r="Q12" s="885">
        <f t="shared" si="6"/>
        <v>111</v>
      </c>
      <c r="R12" s="882" t="s">
        <v>885</v>
      </c>
      <c r="S12" s="883">
        <f t="shared" si="0"/>
        <v>100</v>
      </c>
      <c r="T12" s="882" t="s">
        <v>885</v>
      </c>
      <c r="U12" s="883">
        <f t="shared" si="1"/>
        <v>100</v>
      </c>
      <c r="V12" s="882" t="s">
        <v>885</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8"/>
      <c r="Q13" s="885">
        <f t="shared" si="6"/>
        <v>111</v>
      </c>
      <c r="R13" s="882" t="s">
        <v>885</v>
      </c>
      <c r="S13" s="883">
        <f t="shared" si="0"/>
        <v>100</v>
      </c>
      <c r="T13" s="882" t="s">
        <v>885</v>
      </c>
      <c r="U13" s="883">
        <f t="shared" si="1"/>
        <v>100</v>
      </c>
      <c r="V13" s="882" t="s">
        <v>885</v>
      </c>
      <c r="W13" s="883">
        <f t="shared" si="2"/>
        <v>100</v>
      </c>
      <c r="X13" s="884"/>
      <c r="Y13" s="3640"/>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8"/>
      <c r="Q14" s="885">
        <f t="shared" si="6"/>
        <v>111</v>
      </c>
      <c r="R14" s="882" t="s">
        <v>885</v>
      </c>
      <c r="S14" s="883">
        <f t="shared" si="0"/>
        <v>100</v>
      </c>
      <c r="T14" s="882" t="s">
        <v>885</v>
      </c>
      <c r="U14" s="883">
        <f t="shared" si="1"/>
        <v>100</v>
      </c>
      <c r="V14" s="882" t="s">
        <v>885</v>
      </c>
      <c r="W14" s="883">
        <f t="shared" si="2"/>
        <v>100</v>
      </c>
      <c r="X14" s="884"/>
      <c r="Y14" s="3640"/>
      <c r="Z14" s="896">
        <f t="shared" si="7"/>
        <v>111</v>
      </c>
      <c r="AA14" s="895">
        <f t="shared" si="3"/>
        <v>1</v>
      </c>
      <c r="AB14" s="895">
        <f t="shared" si="4"/>
        <v>1</v>
      </c>
      <c r="AC14" s="895">
        <f t="shared" si="5"/>
        <v>1</v>
      </c>
    </row>
    <row r="15" spans="1:29" ht="57">
      <c r="A15" s="735" t="s">
        <v>897</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35" t="s">
        <v>898</v>
      </c>
      <c r="Q15" s="848" t="str">
        <f t="shared" si="6"/>
        <v>产业集聚程度</v>
      </c>
      <c r="R15" s="886" t="s">
        <v>885</v>
      </c>
      <c r="S15" s="887">
        <f t="shared" si="0"/>
        <v>100</v>
      </c>
      <c r="T15" s="886" t="s">
        <v>885</v>
      </c>
      <c r="U15" s="887">
        <f t="shared" si="1"/>
        <v>100</v>
      </c>
      <c r="V15" s="886" t="s">
        <v>885</v>
      </c>
      <c r="W15" s="887">
        <f t="shared" si="2"/>
        <v>100</v>
      </c>
      <c r="X15" s="881"/>
      <c r="Y15" s="3635" t="s">
        <v>898</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6"/>
      <c r="Q17" s="848" t="str">
        <f>B17</f>
        <v>交通便捷度</v>
      </c>
      <c r="R17" s="886" t="s">
        <v>885</v>
      </c>
      <c r="S17" s="887">
        <f>F17</f>
        <v>100</v>
      </c>
      <c r="T17" s="886" t="s">
        <v>885</v>
      </c>
      <c r="U17" s="887">
        <f>H17</f>
        <v>100</v>
      </c>
      <c r="V17" s="886" t="s">
        <v>885</v>
      </c>
      <c r="W17" s="887">
        <f>J17</f>
        <v>100</v>
      </c>
      <c r="X17" s="881"/>
      <c r="Y17" s="3636"/>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6"/>
      <c r="Q18" s="848"/>
      <c r="R18" s="886"/>
      <c r="S18" s="887"/>
      <c r="T18" s="886"/>
      <c r="U18" s="887"/>
      <c r="V18" s="886"/>
      <c r="W18" s="887"/>
      <c r="X18" s="881"/>
      <c r="Y18" s="3636"/>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6"/>
      <c r="Q19" s="848" t="str">
        <f>B19</f>
        <v>公共配套设施</v>
      </c>
      <c r="R19" s="886" t="s">
        <v>885</v>
      </c>
      <c r="S19" s="887">
        <f>F19</f>
        <v>100</v>
      </c>
      <c r="T19" s="886" t="s">
        <v>885</v>
      </c>
      <c r="U19" s="887">
        <f>H19</f>
        <v>100</v>
      </c>
      <c r="V19" s="886" t="s">
        <v>885</v>
      </c>
      <c r="W19" s="887">
        <f>J19</f>
        <v>100</v>
      </c>
      <c r="X19" s="881"/>
      <c r="Y19" s="3636"/>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6"/>
      <c r="Q20" s="848"/>
      <c r="R20" s="886"/>
      <c r="S20" s="887"/>
      <c r="T20" s="886"/>
      <c r="U20" s="887"/>
      <c r="V20" s="886"/>
      <c r="W20" s="887"/>
      <c r="X20" s="881"/>
      <c r="Y20" s="3636"/>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6"/>
      <c r="Q21" s="848" t="str">
        <f>B21</f>
        <v>基础设施水平</v>
      </c>
      <c r="R21" s="886" t="s">
        <v>885</v>
      </c>
      <c r="S21" s="887">
        <f>F21</f>
        <v>100</v>
      </c>
      <c r="T21" s="886" t="s">
        <v>885</v>
      </c>
      <c r="U21" s="887">
        <f>H21</f>
        <v>100</v>
      </c>
      <c r="V21" s="886" t="s">
        <v>885</v>
      </c>
      <c r="W21" s="887">
        <f>J21</f>
        <v>100</v>
      </c>
      <c r="X21" s="881"/>
      <c r="Y21" s="3636"/>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6"/>
      <c r="Q22" s="848"/>
      <c r="R22" s="886"/>
      <c r="S22" s="887"/>
      <c r="T22" s="886"/>
      <c r="U22" s="887"/>
      <c r="V22" s="886"/>
      <c r="W22" s="887"/>
      <c r="X22" s="881"/>
      <c r="Y22" s="3636"/>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6"/>
      <c r="Q23" s="848" t="str">
        <f>B23</f>
        <v>环境质量</v>
      </c>
      <c r="R23" s="886" t="s">
        <v>885</v>
      </c>
      <c r="S23" s="887">
        <f>F23</f>
        <v>100</v>
      </c>
      <c r="T23" s="886" t="s">
        <v>885</v>
      </c>
      <c r="U23" s="887">
        <f>H23</f>
        <v>100</v>
      </c>
      <c r="V23" s="886" t="s">
        <v>885</v>
      </c>
      <c r="W23" s="887">
        <f>J23</f>
        <v>100</v>
      </c>
      <c r="X23" s="881"/>
      <c r="Y23" s="3636"/>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6"/>
      <c r="Q24" s="848"/>
      <c r="R24" s="886"/>
      <c r="S24" s="887"/>
      <c r="T24" s="886"/>
      <c r="U24" s="887"/>
      <c r="V24" s="886"/>
      <c r="W24" s="887"/>
      <c r="X24" s="881"/>
      <c r="Y24" s="3636"/>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6"/>
      <c r="Q25" s="848">
        <f>B25</f>
        <v>111</v>
      </c>
      <c r="R25" s="886" t="s">
        <v>885</v>
      </c>
      <c r="S25" s="887">
        <f>F25</f>
        <v>100</v>
      </c>
      <c r="T25" s="886" t="s">
        <v>885</v>
      </c>
      <c r="U25" s="887">
        <f>H25</f>
        <v>100</v>
      </c>
      <c r="V25" s="886" t="s">
        <v>885</v>
      </c>
      <c r="W25" s="887">
        <f>J25</f>
        <v>100</v>
      </c>
      <c r="X25" s="881"/>
      <c r="Y25" s="3636"/>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6"/>
      <c r="Q26" s="848">
        <f t="shared" ref="Q26:Q40" si="11">B26</f>
        <v>111</v>
      </c>
      <c r="R26" s="886" t="s">
        <v>885</v>
      </c>
      <c r="S26" s="887">
        <f>F26</f>
        <v>100</v>
      </c>
      <c r="T26" s="886" t="s">
        <v>885</v>
      </c>
      <c r="U26" s="887">
        <f>H26</f>
        <v>100</v>
      </c>
      <c r="V26" s="886" t="s">
        <v>885</v>
      </c>
      <c r="W26" s="887">
        <f>J26</f>
        <v>100</v>
      </c>
      <c r="X26" s="881"/>
      <c r="Y26" s="3636"/>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6"/>
      <c r="Q27" s="885">
        <f t="shared" si="11"/>
        <v>111</v>
      </c>
      <c r="R27" s="882" t="s">
        <v>885</v>
      </c>
      <c r="S27" s="883">
        <f>F27</f>
        <v>100</v>
      </c>
      <c r="T27" s="882" t="s">
        <v>885</v>
      </c>
      <c r="U27" s="883">
        <f>H27</f>
        <v>100</v>
      </c>
      <c r="V27" s="882" t="s">
        <v>885</v>
      </c>
      <c r="W27" s="883">
        <f>J27</f>
        <v>100</v>
      </c>
      <c r="X27" s="884"/>
      <c r="Y27" s="3636"/>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6"/>
      <c r="Q28" s="848">
        <f t="shared" si="11"/>
        <v>111</v>
      </c>
      <c r="R28" s="886" t="s">
        <v>885</v>
      </c>
      <c r="S28" s="887">
        <f t="shared" ref="S28:S40" si="12">F28</f>
        <v>100</v>
      </c>
      <c r="T28" s="886" t="s">
        <v>885</v>
      </c>
      <c r="U28" s="887">
        <f t="shared" ref="U28:U40" si="13">H28</f>
        <v>100</v>
      </c>
      <c r="V28" s="886" t="s">
        <v>885</v>
      </c>
      <c r="W28" s="887">
        <f t="shared" ref="W28:W40" si="14">J28</f>
        <v>100</v>
      </c>
      <c r="X28" s="881"/>
      <c r="Y28" s="3636"/>
      <c r="Z28" s="810">
        <f t="shared" ref="Z28:Z40" si="15">Q28</f>
        <v>111</v>
      </c>
      <c r="AA28" s="897">
        <f t="shared" si="3"/>
        <v>1</v>
      </c>
      <c r="AB28" s="897">
        <f t="shared" si="4"/>
        <v>1</v>
      </c>
      <c r="AC28" s="897">
        <f t="shared" si="5"/>
        <v>1</v>
      </c>
    </row>
    <row r="29" spans="1:29" ht="28.5">
      <c r="A29" s="1356" t="s">
        <v>912</v>
      </c>
      <c r="B29" s="714" t="s">
        <v>913</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7" t="s">
        <v>915</v>
      </c>
      <c r="Q29" s="848" t="str">
        <f t="shared" si="11"/>
        <v>建筑类型</v>
      </c>
      <c r="R29" s="886" t="s">
        <v>885</v>
      </c>
      <c r="S29" s="887">
        <f t="shared" si="12"/>
        <v>100</v>
      </c>
      <c r="T29" s="886" t="s">
        <v>885</v>
      </c>
      <c r="U29" s="887">
        <f t="shared" si="13"/>
        <v>100</v>
      </c>
      <c r="V29" s="886" t="s">
        <v>885</v>
      </c>
      <c r="W29" s="887">
        <f t="shared" si="14"/>
        <v>100</v>
      </c>
      <c r="X29" s="881"/>
      <c r="Y29" s="3638" t="s">
        <v>915</v>
      </c>
      <c r="Z29" s="810" t="str">
        <f t="shared" si="15"/>
        <v>建筑类型</v>
      </c>
      <c r="AA29" s="897">
        <f t="shared" si="3"/>
        <v>1</v>
      </c>
      <c r="AB29" s="897">
        <f t="shared" si="4"/>
        <v>1</v>
      </c>
      <c r="AC29" s="897">
        <f t="shared" si="5"/>
        <v>1</v>
      </c>
    </row>
    <row r="30" spans="1:29" s="680" customFormat="1" ht="15">
      <c r="A30" s="777"/>
      <c r="B30" s="718" t="s">
        <v>916</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8"/>
      <c r="Q30" s="1397" t="str">
        <f t="shared" si="11"/>
        <v>项目建筑规模</v>
      </c>
      <c r="R30" s="888" t="s">
        <v>885</v>
      </c>
      <c r="S30" s="889" t="e">
        <f t="shared" si="12"/>
        <v>#N/A</v>
      </c>
      <c r="T30" s="888" t="s">
        <v>885</v>
      </c>
      <c r="U30" s="889" t="e">
        <f t="shared" si="13"/>
        <v>#N/A</v>
      </c>
      <c r="V30" s="888" t="s">
        <v>885</v>
      </c>
      <c r="W30" s="889" t="e">
        <f t="shared" si="14"/>
        <v>#N/A</v>
      </c>
      <c r="X30" s="890"/>
      <c r="Y30" s="3638"/>
      <c r="Z30" s="898" t="str">
        <f t="shared" si="15"/>
        <v>项目建筑规模</v>
      </c>
      <c r="AA30" s="897" t="e">
        <f t="shared" si="3"/>
        <v>#N/A</v>
      </c>
      <c r="AB30" s="897" t="e">
        <f t="shared" si="4"/>
        <v>#N/A</v>
      </c>
      <c r="AC30" s="897" t="e">
        <f t="shared" si="5"/>
        <v>#N/A</v>
      </c>
    </row>
    <row r="31" spans="1:29" ht="15">
      <c r="A31" s="769"/>
      <c r="B31" s="718" t="s">
        <v>917</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8"/>
      <c r="Q31" s="848" t="str">
        <f t="shared" si="11"/>
        <v>建筑结构</v>
      </c>
      <c r="R31" s="886" t="s">
        <v>885</v>
      </c>
      <c r="S31" s="887">
        <f t="shared" si="12"/>
        <v>100</v>
      </c>
      <c r="T31" s="886" t="s">
        <v>885</v>
      </c>
      <c r="U31" s="887">
        <f t="shared" si="13"/>
        <v>100</v>
      </c>
      <c r="V31" s="886" t="s">
        <v>885</v>
      </c>
      <c r="W31" s="887">
        <f t="shared" si="14"/>
        <v>100</v>
      </c>
      <c r="X31" s="881"/>
      <c r="Y31" s="3638"/>
      <c r="Z31" s="810" t="str">
        <f t="shared" si="15"/>
        <v>建筑结构</v>
      </c>
      <c r="AA31" s="897">
        <f t="shared" si="3"/>
        <v>1</v>
      </c>
      <c r="AB31" s="897">
        <f t="shared" si="4"/>
        <v>1</v>
      </c>
      <c r="AC31" s="897">
        <f t="shared" si="5"/>
        <v>1</v>
      </c>
    </row>
    <row r="32" spans="1:29" ht="15">
      <c r="A32" s="769"/>
      <c r="B32" s="718" t="s">
        <v>920</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8"/>
      <c r="Q32" s="848" t="str">
        <f t="shared" si="11"/>
        <v>公共部分装修</v>
      </c>
      <c r="R32" s="886" t="s">
        <v>885</v>
      </c>
      <c r="S32" s="887">
        <f t="shared" si="12"/>
        <v>100</v>
      </c>
      <c r="T32" s="886" t="s">
        <v>885</v>
      </c>
      <c r="U32" s="887">
        <f t="shared" si="13"/>
        <v>100</v>
      </c>
      <c r="V32" s="886" t="s">
        <v>885</v>
      </c>
      <c r="W32" s="887">
        <f t="shared" si="14"/>
        <v>100</v>
      </c>
      <c r="X32" s="881"/>
      <c r="Y32" s="3638"/>
      <c r="Z32" s="810" t="str">
        <f t="shared" si="15"/>
        <v>公共部分装修</v>
      </c>
      <c r="AA32" s="897">
        <f t="shared" si="3"/>
        <v>1</v>
      </c>
      <c r="AB32" s="897">
        <f t="shared" si="4"/>
        <v>1</v>
      </c>
      <c r="AC32" s="897">
        <f t="shared" si="5"/>
        <v>1</v>
      </c>
    </row>
    <row r="33" spans="1:29" ht="15">
      <c r="A33" s="769"/>
      <c r="B33" s="718" t="s">
        <v>922</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8"/>
      <c r="Q33" s="848" t="str">
        <f t="shared" si="11"/>
        <v>成新度</v>
      </c>
      <c r="R33" s="886" t="s">
        <v>885</v>
      </c>
      <c r="S33" s="887" t="e">
        <f t="shared" si="12"/>
        <v>#N/A</v>
      </c>
      <c r="T33" s="886" t="s">
        <v>885</v>
      </c>
      <c r="U33" s="887" t="e">
        <f t="shared" si="13"/>
        <v>#N/A</v>
      </c>
      <c r="V33" s="886" t="s">
        <v>885</v>
      </c>
      <c r="W33" s="887" t="e">
        <f t="shared" si="14"/>
        <v>#N/A</v>
      </c>
      <c r="X33" s="881"/>
      <c r="Y33" s="3638"/>
      <c r="Z33" s="810" t="str">
        <f t="shared" si="15"/>
        <v>成新度</v>
      </c>
      <c r="AA33" s="897" t="e">
        <f t="shared" si="3"/>
        <v>#N/A</v>
      </c>
      <c r="AB33" s="897" t="e">
        <f t="shared" si="4"/>
        <v>#N/A</v>
      </c>
      <c r="AC33" s="897" t="e">
        <f t="shared" si="5"/>
        <v>#N/A</v>
      </c>
    </row>
    <row r="34" spans="1:29" s="678" customFormat="1" ht="15">
      <c r="A34" s="774"/>
      <c r="B34" s="718" t="s">
        <v>923</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8"/>
      <c r="Q34" s="885" t="str">
        <f t="shared" si="11"/>
        <v>物业管理</v>
      </c>
      <c r="R34" s="882" t="s">
        <v>885</v>
      </c>
      <c r="S34" s="883">
        <f t="shared" si="12"/>
        <v>100</v>
      </c>
      <c r="T34" s="882" t="s">
        <v>885</v>
      </c>
      <c r="U34" s="883">
        <f t="shared" si="13"/>
        <v>100</v>
      </c>
      <c r="V34" s="882" t="s">
        <v>885</v>
      </c>
      <c r="W34" s="883">
        <f t="shared" si="14"/>
        <v>100</v>
      </c>
      <c r="X34" s="884"/>
      <c r="Y34" s="3638"/>
      <c r="Z34" s="896" t="str">
        <f t="shared" si="15"/>
        <v>物业管理</v>
      </c>
      <c r="AA34" s="895">
        <f t="shared" si="3"/>
        <v>1</v>
      </c>
      <c r="AB34" s="895">
        <f t="shared" si="4"/>
        <v>1</v>
      </c>
      <c r="AC34" s="895">
        <f t="shared" si="5"/>
        <v>1</v>
      </c>
    </row>
    <row r="35" spans="1:29" ht="15">
      <c r="A35" s="769"/>
      <c r="B35" s="718" t="s">
        <v>924</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8" t="s">
        <v>915</v>
      </c>
      <c r="Q35" s="848" t="str">
        <f t="shared" si="11"/>
        <v>市政基础设施</v>
      </c>
      <c r="R35" s="886" t="s">
        <v>885</v>
      </c>
      <c r="S35" s="887">
        <f t="shared" si="12"/>
        <v>100</v>
      </c>
      <c r="T35" s="886" t="s">
        <v>885</v>
      </c>
      <c r="U35" s="887">
        <f t="shared" si="13"/>
        <v>100</v>
      </c>
      <c r="V35" s="886" t="s">
        <v>885</v>
      </c>
      <c r="W35" s="887">
        <f t="shared" si="14"/>
        <v>100</v>
      </c>
      <c r="X35" s="881"/>
      <c r="Y35" s="3638" t="s">
        <v>915</v>
      </c>
      <c r="Z35" s="810" t="str">
        <f t="shared" si="15"/>
        <v>市政基础设施</v>
      </c>
      <c r="AA35" s="897">
        <f t="shared" si="3"/>
        <v>1</v>
      </c>
      <c r="AB35" s="897">
        <f t="shared" si="4"/>
        <v>1</v>
      </c>
      <c r="AC35" s="897">
        <f t="shared" si="5"/>
        <v>1</v>
      </c>
    </row>
    <row r="36" spans="1:29" ht="15">
      <c r="A36" s="769"/>
      <c r="B36" s="718" t="s">
        <v>927</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8"/>
      <c r="Q36" s="848" t="str">
        <f t="shared" si="11"/>
        <v>内部装修</v>
      </c>
      <c r="R36" s="886" t="s">
        <v>885</v>
      </c>
      <c r="S36" s="887">
        <f t="shared" si="12"/>
        <v>100</v>
      </c>
      <c r="T36" s="886" t="s">
        <v>885</v>
      </c>
      <c r="U36" s="887">
        <f t="shared" si="13"/>
        <v>100</v>
      </c>
      <c r="V36" s="886" t="s">
        <v>885</v>
      </c>
      <c r="W36" s="887">
        <f t="shared" si="14"/>
        <v>100</v>
      </c>
      <c r="X36" s="881"/>
      <c r="Y36" s="3638"/>
      <c r="Z36" s="810" t="str">
        <f t="shared" si="15"/>
        <v>内部装修</v>
      </c>
      <c r="AA36" s="897">
        <f t="shared" si="3"/>
        <v>1</v>
      </c>
      <c r="AB36" s="897">
        <f t="shared" si="4"/>
        <v>1</v>
      </c>
      <c r="AC36" s="897">
        <f t="shared" si="5"/>
        <v>1</v>
      </c>
    </row>
    <row r="37" spans="1:29" ht="15">
      <c r="A37" s="769"/>
      <c r="B37" s="718" t="s">
        <v>1497</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8"/>
      <c r="Q37" s="848" t="str">
        <f t="shared" si="11"/>
        <v>内部装修状况</v>
      </c>
      <c r="R37" s="886" t="s">
        <v>885</v>
      </c>
      <c r="S37" s="887">
        <f t="shared" si="12"/>
        <v>100</v>
      </c>
      <c r="T37" s="886" t="s">
        <v>885</v>
      </c>
      <c r="U37" s="887">
        <f t="shared" si="13"/>
        <v>100</v>
      </c>
      <c r="V37" s="886" t="s">
        <v>885</v>
      </c>
      <c r="W37" s="887">
        <f t="shared" si="14"/>
        <v>100</v>
      </c>
      <c r="X37" s="881"/>
      <c r="Y37" s="3638"/>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8"/>
      <c r="Q38" s="1397">
        <f t="shared" si="11"/>
        <v>111</v>
      </c>
      <c r="R38" s="888" t="s">
        <v>885</v>
      </c>
      <c r="S38" s="889">
        <f t="shared" si="12"/>
        <v>100</v>
      </c>
      <c r="T38" s="888" t="s">
        <v>885</v>
      </c>
      <c r="U38" s="889">
        <f t="shared" si="13"/>
        <v>100</v>
      </c>
      <c r="V38" s="888" t="s">
        <v>885</v>
      </c>
      <c r="W38" s="889">
        <f t="shared" si="14"/>
        <v>100</v>
      </c>
      <c r="X38" s="890"/>
      <c r="Y38" s="3638"/>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8"/>
      <c r="Q39" s="848">
        <f t="shared" si="11"/>
        <v>111</v>
      </c>
      <c r="R39" s="886" t="s">
        <v>885</v>
      </c>
      <c r="S39" s="887">
        <f t="shared" si="12"/>
        <v>100</v>
      </c>
      <c r="T39" s="886" t="s">
        <v>885</v>
      </c>
      <c r="U39" s="887">
        <f t="shared" si="13"/>
        <v>100</v>
      </c>
      <c r="V39" s="886" t="s">
        <v>885</v>
      </c>
      <c r="W39" s="887">
        <f t="shared" si="14"/>
        <v>100</v>
      </c>
      <c r="X39" s="881"/>
      <c r="Y39" s="3638"/>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9"/>
      <c r="Q40" s="848">
        <f t="shared" si="11"/>
        <v>111</v>
      </c>
      <c r="R40" s="886" t="s">
        <v>885</v>
      </c>
      <c r="S40" s="887">
        <f t="shared" si="12"/>
        <v>100</v>
      </c>
      <c r="T40" s="886" t="s">
        <v>885</v>
      </c>
      <c r="U40" s="887">
        <f t="shared" si="13"/>
        <v>100</v>
      </c>
      <c r="V40" s="886" t="s">
        <v>885</v>
      </c>
      <c r="W40" s="887">
        <f t="shared" si="14"/>
        <v>100</v>
      </c>
      <c r="X40" s="881"/>
      <c r="Y40" s="3639"/>
      <c r="Z40" s="810">
        <f t="shared" si="15"/>
        <v>111</v>
      </c>
      <c r="AA40" s="897">
        <f t="shared" si="3"/>
        <v>1</v>
      </c>
      <c r="AB40" s="897">
        <f t="shared" si="4"/>
        <v>1</v>
      </c>
      <c r="AC40" s="897">
        <f t="shared" si="5"/>
        <v>1</v>
      </c>
    </row>
    <row r="41" spans="1:29" ht="15">
      <c r="A41" s="779" t="s">
        <v>934</v>
      </c>
      <c r="B41" s="1367"/>
      <c r="C41" s="1368" t="s">
        <v>121</v>
      </c>
      <c r="D41" s="1369"/>
      <c r="E41" s="1370"/>
      <c r="F41" s="1371"/>
      <c r="G41" s="1372"/>
      <c r="H41" s="1373"/>
      <c r="I41" s="1370"/>
      <c r="J41" s="1373"/>
      <c r="K41" s="867"/>
      <c r="L41" s="868"/>
      <c r="N41" s="843"/>
      <c r="P41" s="3628" t="str">
        <f>A41</f>
        <v>成交单价（元/平方米）</v>
      </c>
      <c r="Q41" s="3628"/>
      <c r="R41" s="3629">
        <f>E41</f>
        <v>0</v>
      </c>
      <c r="S41" s="3629"/>
      <c r="T41" s="3629">
        <f>G41</f>
        <v>0</v>
      </c>
      <c r="U41" s="3629"/>
      <c r="V41" s="3629">
        <f>I41</f>
        <v>0</v>
      </c>
      <c r="W41" s="3629"/>
      <c r="X41" s="831"/>
      <c r="Y41" s="899"/>
      <c r="Z41" s="831"/>
      <c r="AA41" s="831"/>
      <c r="AB41" s="831"/>
      <c r="AC41" s="831"/>
    </row>
    <row r="42" spans="1:29" ht="15">
      <c r="A42" s="787" t="s">
        <v>935</v>
      </c>
      <c r="B42" s="1374"/>
      <c r="C42" s="1375" t="e">
        <f>R43</f>
        <v>#DIV/0!</v>
      </c>
      <c r="D42" s="790" t="s">
        <v>936</v>
      </c>
      <c r="E42" s="1376" t="e">
        <f>R42</f>
        <v>#DIV/0!</v>
      </c>
      <c r="F42" s="791"/>
      <c r="G42" s="1375" t="e">
        <f>T42</f>
        <v>#DIV/0!</v>
      </c>
      <c r="H42" s="791"/>
      <c r="I42" s="1376" t="e">
        <f>V42</f>
        <v>#DIV/0!</v>
      </c>
      <c r="J42" s="791"/>
      <c r="K42" s="869">
        <f>F42+H42+J42</f>
        <v>0</v>
      </c>
      <c r="L42" s="868"/>
      <c r="N42" s="843"/>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31"/>
      <c r="Y42" s="831"/>
      <c r="Z42" s="831"/>
      <c r="AA42" s="831"/>
      <c r="AB42" s="831"/>
      <c r="AC42" s="831"/>
    </row>
    <row r="43" spans="1:29" ht="15">
      <c r="A43" s="793" t="s">
        <v>937</v>
      </c>
      <c r="B43" s="794"/>
      <c r="C43" s="1377" t="e">
        <f>R43</f>
        <v>#DIV/0!</v>
      </c>
      <c r="D43" s="1377"/>
      <c r="E43" s="1377"/>
      <c r="F43" s="1377"/>
      <c r="G43" s="1377"/>
      <c r="H43" s="1377"/>
      <c r="I43" s="1377"/>
      <c r="J43" s="1377"/>
      <c r="K43" s="870"/>
      <c r="L43" s="868"/>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31"/>
      <c r="Y43" s="831"/>
      <c r="Z43" s="831"/>
      <c r="AA43" s="831"/>
      <c r="AB43" s="831"/>
      <c r="AC43" s="831"/>
    </row>
    <row r="44" spans="1:29">
      <c r="G44" s="796"/>
    </row>
    <row r="46" spans="1:29" ht="13.5" customHeight="1">
      <c r="C46" s="797" t="s">
        <v>938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939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941</v>
      </c>
      <c r="B51" s="831"/>
      <c r="C51" s="832"/>
      <c r="D51" s="832"/>
      <c r="E51" s="832"/>
      <c r="F51" s="833"/>
      <c r="G51" s="833"/>
      <c r="H51" s="832"/>
      <c r="I51" s="832"/>
      <c r="J51" s="832"/>
      <c r="K51" s="1392"/>
      <c r="L51" s="1393"/>
      <c r="M51" s="832"/>
      <c r="N51" s="1394"/>
      <c r="O51" s="1394"/>
      <c r="P51" s="880"/>
      <c r="Q51" s="891"/>
    </row>
    <row r="52" spans="1:17" s="683" customFormat="1" ht="15">
      <c r="A52" s="1378" t="s">
        <v>883</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942</v>
      </c>
      <c r="B54" s="907"/>
      <c r="C54" s="908"/>
      <c r="D54" s="909"/>
      <c r="E54" s="909"/>
      <c r="F54" s="909"/>
      <c r="G54" s="909"/>
      <c r="H54" s="909"/>
      <c r="I54" s="909"/>
      <c r="J54" s="909"/>
      <c r="K54" s="909"/>
      <c r="L54" s="909"/>
      <c r="M54" s="958"/>
      <c r="N54" s="909"/>
      <c r="O54" s="1396"/>
      <c r="P54" s="891"/>
      <c r="Q54" s="891"/>
    </row>
    <row r="55" spans="1:17" s="678" customFormat="1" ht="15">
      <c r="A55" s="910" t="s">
        <v>886</v>
      </c>
      <c r="B55" s="911"/>
      <c r="C55" s="912" t="s">
        <v>887</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943</v>
      </c>
      <c r="B57" s="917" t="s">
        <v>891</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894</v>
      </c>
      <c r="C59" s="922" t="s">
        <v>944</v>
      </c>
      <c r="D59" s="922" t="s">
        <v>945</v>
      </c>
      <c r="E59" s="922" t="s">
        <v>946</v>
      </c>
      <c r="F59" s="922" t="s">
        <v>947</v>
      </c>
      <c r="G59" s="922" t="s">
        <v>948</v>
      </c>
      <c r="H59" s="922" t="s">
        <v>949</v>
      </c>
      <c r="I59" s="922" t="s">
        <v>950</v>
      </c>
      <c r="J59" s="922"/>
      <c r="K59" s="972"/>
      <c r="L59" s="973"/>
      <c r="M59" s="974"/>
      <c r="N59" s="968"/>
      <c r="O59" s="968"/>
      <c r="P59" s="969"/>
      <c r="Q59" s="891"/>
    </row>
    <row r="60" spans="1:17" ht="15">
      <c r="A60" s="918"/>
      <c r="B60" s="923"/>
      <c r="C60" s="924" t="s">
        <v>1489</v>
      </c>
      <c r="D60" s="924" t="s">
        <v>1489</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896</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897</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951</v>
      </c>
      <c r="D76" s="922" t="s">
        <v>952</v>
      </c>
      <c r="E76" s="922" t="s">
        <v>953</v>
      </c>
      <c r="F76" s="922" t="s">
        <v>954</v>
      </c>
      <c r="G76" s="922" t="s">
        <v>955</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912</v>
      </c>
      <c r="B88" s="917" t="s">
        <v>913</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916</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917</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920</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922</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923</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924</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927</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1498</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1499</v>
      </c>
      <c r="B1" s="1323"/>
      <c r="C1" s="1324"/>
      <c r="D1" s="1407"/>
      <c r="E1" s="1326"/>
      <c r="F1" s="1408" t="s">
        <v>868</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869</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870</v>
      </c>
      <c r="B3" s="698" t="e">
        <f>IF(AND(D2="——",B37="元/平方米"),C39,ROUND(F3*C39/D3,0))</f>
        <v>#DIV/0!</v>
      </c>
      <c r="C3" s="1335" t="s">
        <v>871</v>
      </c>
      <c r="D3" s="1336">
        <f>IF(C1="仅计算典型户型",'数据-取费表'!E5,'数据-取费表'!B5)</f>
        <v>167.24</v>
      </c>
      <c r="E3" s="1410" t="s">
        <v>1500</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872</v>
      </c>
      <c r="B4" s="700"/>
      <c r="C4" s="3646" t="s">
        <v>873</v>
      </c>
      <c r="D4" s="3647"/>
      <c r="E4" s="3648" t="s">
        <v>874</v>
      </c>
      <c r="F4" s="3649"/>
      <c r="G4" s="3646" t="s">
        <v>875</v>
      </c>
      <c r="H4" s="3647"/>
      <c r="I4" s="3646" t="s">
        <v>876</v>
      </c>
      <c r="J4" s="3647"/>
      <c r="K4" s="841" t="s">
        <v>877</v>
      </c>
      <c r="L4" s="842"/>
      <c r="M4" s="843"/>
      <c r="N4" s="843"/>
      <c r="O4" s="843"/>
      <c r="P4" s="3615" t="s">
        <v>878</v>
      </c>
      <c r="Q4" s="3616"/>
      <c r="R4" s="3621" t="s">
        <v>874</v>
      </c>
      <c r="S4" s="3622"/>
      <c r="T4" s="3621" t="s">
        <v>875</v>
      </c>
      <c r="U4" s="3622"/>
      <c r="V4" s="3627" t="s">
        <v>876</v>
      </c>
      <c r="W4" s="3627"/>
      <c r="X4" s="881"/>
      <c r="Y4" s="3621" t="s">
        <v>878</v>
      </c>
      <c r="Z4" s="3622"/>
      <c r="AA4" s="3612" t="s">
        <v>874</v>
      </c>
      <c r="AB4" s="3613" t="s">
        <v>875</v>
      </c>
      <c r="AC4" s="3612" t="s">
        <v>876</v>
      </c>
    </row>
    <row r="5" spans="1:29" ht="15">
      <c r="A5" s="701"/>
      <c r="B5" s="702"/>
      <c r="C5" s="3650" t="s">
        <v>879</v>
      </c>
      <c r="D5" s="3651"/>
      <c r="E5" s="3652" t="s">
        <v>1477</v>
      </c>
      <c r="F5" s="3653"/>
      <c r="G5" s="3650" t="s">
        <v>1478</v>
      </c>
      <c r="H5" s="3651"/>
      <c r="I5" s="3650" t="s">
        <v>1479</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881</v>
      </c>
      <c r="D6" s="3642"/>
      <c r="E6" s="3643" t="s">
        <v>881</v>
      </c>
      <c r="F6" s="3644"/>
      <c r="G6" s="3641" t="s">
        <v>881</v>
      </c>
      <c r="H6" s="3642"/>
      <c r="I6" s="3641" t="s">
        <v>881</v>
      </c>
      <c r="J6" s="3642"/>
      <c r="K6" s="841" t="s">
        <v>882</v>
      </c>
      <c r="L6" s="842"/>
      <c r="M6" s="843"/>
      <c r="N6" s="843"/>
      <c r="O6" s="843"/>
      <c r="P6" s="3619"/>
      <c r="Q6" s="3620"/>
      <c r="R6" s="3623"/>
      <c r="S6" s="3624"/>
      <c r="T6" s="3625"/>
      <c r="U6" s="3626"/>
      <c r="V6" s="3627"/>
      <c r="W6" s="3627"/>
      <c r="X6" s="881"/>
      <c r="Y6" s="3625"/>
      <c r="Z6" s="3626"/>
      <c r="AA6" s="3614"/>
      <c r="AB6" s="3614"/>
      <c r="AC6" s="3614"/>
    </row>
    <row r="7" spans="1:29" s="678" customFormat="1" ht="15">
      <c r="A7" s="705" t="s">
        <v>883</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33" t="s">
        <v>884</v>
      </c>
      <c r="Q7" s="3645"/>
      <c r="R7" s="882" t="s">
        <v>885</v>
      </c>
      <c r="S7" s="883">
        <f t="shared" ref="S7:S14" si="0">F7</f>
        <v>0</v>
      </c>
      <c r="T7" s="882" t="s">
        <v>885</v>
      </c>
      <c r="U7" s="883">
        <f t="shared" ref="U7:U14" si="1">H7</f>
        <v>0</v>
      </c>
      <c r="V7" s="882" t="s">
        <v>885</v>
      </c>
      <c r="W7" s="883">
        <f t="shared" ref="W7:W14" si="2">J7</f>
        <v>0</v>
      </c>
      <c r="X7" s="884"/>
      <c r="Y7" s="3633" t="s">
        <v>884</v>
      </c>
      <c r="Z7" s="3634"/>
      <c r="AA7" s="895" t="e">
        <f>D7/F7</f>
        <v>#DIV/0!</v>
      </c>
      <c r="AB7" s="895" t="e">
        <f>D7/H7</f>
        <v>#DIV/0!</v>
      </c>
      <c r="AC7" s="895" t="e">
        <f>D7/J7</f>
        <v>#DIV/0!</v>
      </c>
    </row>
    <row r="8" spans="1:29" s="678" customFormat="1" ht="15">
      <c r="A8" s="705" t="s">
        <v>886</v>
      </c>
      <c r="B8" s="706"/>
      <c r="C8" s="712" t="s">
        <v>887</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3" t="s">
        <v>889</v>
      </c>
      <c r="Q8" s="3634"/>
      <c r="R8" s="882" t="s">
        <v>885</v>
      </c>
      <c r="S8" s="883">
        <f t="shared" si="0"/>
        <v>0</v>
      </c>
      <c r="T8" s="882" t="s">
        <v>885</v>
      </c>
      <c r="U8" s="883">
        <f t="shared" si="1"/>
        <v>0</v>
      </c>
      <c r="V8" s="882" t="s">
        <v>885</v>
      </c>
      <c r="W8" s="883">
        <f t="shared" si="2"/>
        <v>0</v>
      </c>
      <c r="X8" s="884"/>
      <c r="Y8" s="3633" t="s">
        <v>889</v>
      </c>
      <c r="Z8" s="3634"/>
      <c r="AA8" s="895" t="e">
        <f t="shared" ref="AA8:AA36" si="3">D8/F8</f>
        <v>#DIV/0!</v>
      </c>
      <c r="AB8" s="895" t="e">
        <f t="shared" ref="AB8:AB36" si="4">D8/H8</f>
        <v>#DIV/0!</v>
      </c>
      <c r="AC8" s="895" t="e">
        <f t="shared" ref="AC8:AC36" si="5">D8/J8</f>
        <v>#DIV/0!</v>
      </c>
    </row>
    <row r="9" spans="1:29" s="678" customFormat="1">
      <c r="A9" s="1411" t="s">
        <v>890</v>
      </c>
      <c r="B9" s="1412" t="s">
        <v>891</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8" t="s">
        <v>892</v>
      </c>
      <c r="Q9" s="885" t="str">
        <f t="shared" ref="Q9:Q14" si="6">B9</f>
        <v>用途</v>
      </c>
      <c r="R9" s="882" t="s">
        <v>885</v>
      </c>
      <c r="S9" s="883">
        <f t="shared" si="0"/>
        <v>100</v>
      </c>
      <c r="T9" s="882" t="s">
        <v>885</v>
      </c>
      <c r="U9" s="883">
        <f t="shared" si="1"/>
        <v>100</v>
      </c>
      <c r="V9" s="882" t="s">
        <v>885</v>
      </c>
      <c r="W9" s="883">
        <f t="shared" si="2"/>
        <v>100</v>
      </c>
      <c r="X9" s="884"/>
      <c r="Y9" s="3640" t="s">
        <v>893</v>
      </c>
      <c r="Z9" s="896" t="str">
        <f t="shared" ref="Z9:Z14" si="7">Q9</f>
        <v>用途</v>
      </c>
      <c r="AA9" s="895">
        <f t="shared" si="3"/>
        <v>1</v>
      </c>
      <c r="AB9" s="895">
        <f t="shared" si="4"/>
        <v>1</v>
      </c>
      <c r="AC9" s="895">
        <f t="shared" si="5"/>
        <v>1</v>
      </c>
    </row>
    <row r="10" spans="1:29" s="679" customFormat="1" ht="27">
      <c r="A10" s="1414"/>
      <c r="B10" s="1415" t="s">
        <v>894</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8"/>
      <c r="Q10" s="885" t="str">
        <f t="shared" si="6"/>
        <v>土地使用年限（年）</v>
      </c>
      <c r="R10" s="882" t="s">
        <v>885</v>
      </c>
      <c r="S10" s="883">
        <f t="shared" si="0"/>
        <v>100</v>
      </c>
      <c r="T10" s="882" t="s">
        <v>885</v>
      </c>
      <c r="U10" s="883">
        <f t="shared" si="1"/>
        <v>100</v>
      </c>
      <c r="V10" s="882" t="s">
        <v>885</v>
      </c>
      <c r="W10" s="883">
        <f t="shared" si="2"/>
        <v>100</v>
      </c>
      <c r="X10" s="884"/>
      <c r="Y10" s="3640"/>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8"/>
      <c r="Q11" s="885">
        <f t="shared" si="6"/>
        <v>111</v>
      </c>
      <c r="R11" s="882" t="s">
        <v>885</v>
      </c>
      <c r="S11" s="883">
        <f t="shared" si="0"/>
        <v>100</v>
      </c>
      <c r="T11" s="882" t="s">
        <v>885</v>
      </c>
      <c r="U11" s="883">
        <f t="shared" si="1"/>
        <v>100</v>
      </c>
      <c r="V11" s="882" t="s">
        <v>885</v>
      </c>
      <c r="W11" s="883">
        <f t="shared" si="2"/>
        <v>100</v>
      </c>
      <c r="X11" s="884"/>
      <c r="Y11" s="3640"/>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8"/>
      <c r="Q12" s="885">
        <f t="shared" si="6"/>
        <v>111</v>
      </c>
      <c r="R12" s="882" t="s">
        <v>885</v>
      </c>
      <c r="S12" s="883">
        <f t="shared" si="0"/>
        <v>100</v>
      </c>
      <c r="T12" s="882" t="s">
        <v>885</v>
      </c>
      <c r="U12" s="883">
        <f t="shared" si="1"/>
        <v>100</v>
      </c>
      <c r="V12" s="882" t="s">
        <v>885</v>
      </c>
      <c r="W12" s="883">
        <f t="shared" si="2"/>
        <v>100</v>
      </c>
      <c r="X12" s="884"/>
      <c r="Y12" s="3640"/>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8"/>
      <c r="Q13" s="885">
        <f t="shared" si="6"/>
        <v>111</v>
      </c>
      <c r="R13" s="882" t="s">
        <v>885</v>
      </c>
      <c r="S13" s="883">
        <f t="shared" si="0"/>
        <v>100</v>
      </c>
      <c r="T13" s="882" t="s">
        <v>885</v>
      </c>
      <c r="U13" s="883">
        <f t="shared" si="1"/>
        <v>100</v>
      </c>
      <c r="V13" s="882" t="s">
        <v>885</v>
      </c>
      <c r="W13" s="883">
        <f t="shared" si="2"/>
        <v>100</v>
      </c>
      <c r="X13" s="884"/>
      <c r="Y13" s="3640"/>
      <c r="Z13" s="896">
        <f t="shared" si="7"/>
        <v>111</v>
      </c>
      <c r="AA13" s="895">
        <f t="shared" si="3"/>
        <v>1</v>
      </c>
      <c r="AB13" s="895">
        <f t="shared" si="4"/>
        <v>1</v>
      </c>
      <c r="AC13" s="895">
        <f t="shared" si="5"/>
        <v>1</v>
      </c>
    </row>
    <row r="14" spans="1:29" ht="85.5">
      <c r="A14" s="699" t="s">
        <v>897</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35" t="s">
        <v>898</v>
      </c>
      <c r="Q14" s="848" t="str">
        <f t="shared" si="6"/>
        <v>交通便捷度</v>
      </c>
      <c r="R14" s="886" t="s">
        <v>885</v>
      </c>
      <c r="S14" s="887">
        <f t="shared" si="0"/>
        <v>100</v>
      </c>
      <c r="T14" s="886" t="s">
        <v>885</v>
      </c>
      <c r="U14" s="887">
        <f t="shared" si="1"/>
        <v>100</v>
      </c>
      <c r="V14" s="886" t="s">
        <v>885</v>
      </c>
      <c r="W14" s="887">
        <f t="shared" si="2"/>
        <v>100</v>
      </c>
      <c r="X14" s="881"/>
      <c r="Y14" s="3635" t="s">
        <v>898</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6"/>
      <c r="Q16" s="848" t="str">
        <f>B16</f>
        <v>公共配套设施</v>
      </c>
      <c r="R16" s="886" t="s">
        <v>885</v>
      </c>
      <c r="S16" s="887">
        <f>F16</f>
        <v>100</v>
      </c>
      <c r="T16" s="886" t="s">
        <v>885</v>
      </c>
      <c r="U16" s="887">
        <f>H16</f>
        <v>100</v>
      </c>
      <c r="V16" s="886" t="s">
        <v>885</v>
      </c>
      <c r="W16" s="887">
        <f>J16</f>
        <v>100</v>
      </c>
      <c r="X16" s="881"/>
      <c r="Y16" s="3636"/>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6"/>
      <c r="Q18" s="848" t="str">
        <f>B18</f>
        <v>基础设施水平</v>
      </c>
      <c r="R18" s="886" t="s">
        <v>885</v>
      </c>
      <c r="S18" s="887">
        <f>F18</f>
        <v>100</v>
      </c>
      <c r="T18" s="886" t="s">
        <v>885</v>
      </c>
      <c r="U18" s="887">
        <f>H18</f>
        <v>100</v>
      </c>
      <c r="V18" s="886" t="s">
        <v>885</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01"/>
      <c r="B20" s="745" t="s">
        <v>901</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6"/>
      <c r="Q20" s="848" t="str">
        <f>B20</f>
        <v>自然及人文环境</v>
      </c>
      <c r="R20" s="886" t="s">
        <v>885</v>
      </c>
      <c r="S20" s="887">
        <f>F20</f>
        <v>100</v>
      </c>
      <c r="T20" s="886" t="s">
        <v>885</v>
      </c>
      <c r="U20" s="887">
        <f>H20</f>
        <v>100</v>
      </c>
      <c r="V20" s="886" t="s">
        <v>885</v>
      </c>
      <c r="W20" s="887">
        <f>J20</f>
        <v>100</v>
      </c>
      <c r="X20" s="881"/>
      <c r="Y20" s="3636"/>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01"/>
      <c r="B22" s="745" t="s">
        <v>1482</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6"/>
      <c r="Q22" s="848" t="str">
        <f>B22</f>
        <v>楼层</v>
      </c>
      <c r="R22" s="886" t="s">
        <v>885</v>
      </c>
      <c r="S22" s="887">
        <f>F22</f>
        <v>100</v>
      </c>
      <c r="T22" s="886" t="s">
        <v>885</v>
      </c>
      <c r="U22" s="887">
        <f>H22</f>
        <v>100</v>
      </c>
      <c r="V22" s="886" t="s">
        <v>885</v>
      </c>
      <c r="W22" s="887">
        <f>J22</f>
        <v>100</v>
      </c>
      <c r="X22" s="881"/>
      <c r="Y22" s="3636"/>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6"/>
      <c r="Q23" s="848">
        <f>B23</f>
        <v>111</v>
      </c>
      <c r="R23" s="886" t="s">
        <v>885</v>
      </c>
      <c r="S23" s="887">
        <f>F23</f>
        <v>100</v>
      </c>
      <c r="T23" s="886" t="s">
        <v>885</v>
      </c>
      <c r="U23" s="887">
        <f>H23</f>
        <v>100</v>
      </c>
      <c r="V23" s="886" t="s">
        <v>885</v>
      </c>
      <c r="W23" s="887">
        <f>J23</f>
        <v>100</v>
      </c>
      <c r="X23" s="881"/>
      <c r="Y23" s="3636"/>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6"/>
      <c r="Q24" s="848">
        <f t="shared" ref="Q24:Q36" si="11">B24</f>
        <v>111</v>
      </c>
      <c r="R24" s="886" t="s">
        <v>885</v>
      </c>
      <c r="S24" s="887">
        <f>F24</f>
        <v>100</v>
      </c>
      <c r="T24" s="886" t="s">
        <v>885</v>
      </c>
      <c r="U24" s="887">
        <f>H24</f>
        <v>100</v>
      </c>
      <c r="V24" s="886" t="s">
        <v>885</v>
      </c>
      <c r="W24" s="887">
        <f>J24</f>
        <v>100</v>
      </c>
      <c r="X24" s="881"/>
      <c r="Y24" s="3636"/>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6"/>
      <c r="Q25" s="885">
        <f t="shared" si="11"/>
        <v>111</v>
      </c>
      <c r="R25" s="882" t="s">
        <v>885</v>
      </c>
      <c r="S25" s="883">
        <f>F25</f>
        <v>100</v>
      </c>
      <c r="T25" s="882" t="s">
        <v>885</v>
      </c>
      <c r="U25" s="883">
        <f>H25</f>
        <v>100</v>
      </c>
      <c r="V25" s="882" t="s">
        <v>885</v>
      </c>
      <c r="W25" s="883">
        <f>J25</f>
        <v>100</v>
      </c>
      <c r="X25" s="884"/>
      <c r="Y25" s="3636"/>
      <c r="Z25" s="896">
        <f>Q25</f>
        <v>111</v>
      </c>
      <c r="AA25" s="897">
        <f t="shared" si="3"/>
        <v>1</v>
      </c>
      <c r="AB25" s="897">
        <f t="shared" si="4"/>
        <v>1</v>
      </c>
      <c r="AC25" s="897">
        <f t="shared" si="5"/>
        <v>1</v>
      </c>
    </row>
    <row r="26" spans="1:29" ht="28.5">
      <c r="A26" s="1441" t="s">
        <v>912</v>
      </c>
      <c r="B26" s="1442" t="s">
        <v>1501</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7" t="s">
        <v>915</v>
      </c>
      <c r="Q26" s="848" t="str">
        <f t="shared" si="11"/>
        <v>配套类型</v>
      </c>
      <c r="R26" s="886" t="s">
        <v>885</v>
      </c>
      <c r="S26" s="887">
        <f t="shared" ref="S26:S36" si="12">F26</f>
        <v>100</v>
      </c>
      <c r="T26" s="886" t="s">
        <v>885</v>
      </c>
      <c r="U26" s="887">
        <f t="shared" ref="U26:U36" si="13">H26</f>
        <v>100</v>
      </c>
      <c r="V26" s="886" t="s">
        <v>885</v>
      </c>
      <c r="W26" s="887">
        <f t="shared" ref="W26:W36" si="14">J26</f>
        <v>100</v>
      </c>
      <c r="X26" s="881"/>
      <c r="Y26" s="3638" t="s">
        <v>915</v>
      </c>
      <c r="Z26" s="810" t="str">
        <f t="shared" ref="Z26:Z36" si="15">Q26</f>
        <v>配套类型</v>
      </c>
      <c r="AA26" s="897">
        <f t="shared" si="3"/>
        <v>1</v>
      </c>
      <c r="AB26" s="897">
        <f t="shared" si="4"/>
        <v>1</v>
      </c>
      <c r="AC26" s="897">
        <f t="shared" si="5"/>
        <v>1</v>
      </c>
    </row>
    <row r="27" spans="1:29" s="680" customFormat="1" ht="15">
      <c r="A27" s="1444"/>
      <c r="B27" s="758" t="s">
        <v>1502</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8"/>
      <c r="Q27" s="1397" t="str">
        <f t="shared" si="11"/>
        <v>项目停车位配比</v>
      </c>
      <c r="R27" s="888" t="s">
        <v>885</v>
      </c>
      <c r="S27" s="889">
        <f t="shared" si="12"/>
        <v>100</v>
      </c>
      <c r="T27" s="888" t="s">
        <v>885</v>
      </c>
      <c r="U27" s="889">
        <f t="shared" si="13"/>
        <v>100</v>
      </c>
      <c r="V27" s="888" t="s">
        <v>885</v>
      </c>
      <c r="W27" s="889">
        <f t="shared" si="14"/>
        <v>100</v>
      </c>
      <c r="X27" s="890"/>
      <c r="Y27" s="3638"/>
      <c r="Z27" s="898" t="str">
        <f t="shared" si="15"/>
        <v>项目停车位配比</v>
      </c>
      <c r="AA27" s="897">
        <f t="shared" si="3"/>
        <v>1</v>
      </c>
      <c r="AB27" s="897">
        <f t="shared" si="4"/>
        <v>1</v>
      </c>
      <c r="AC27" s="897">
        <f t="shared" si="5"/>
        <v>1</v>
      </c>
    </row>
    <row r="28" spans="1:29" ht="15">
      <c r="A28" s="1446"/>
      <c r="B28" s="758" t="s">
        <v>920</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8"/>
      <c r="Q28" s="848" t="str">
        <f t="shared" si="11"/>
        <v>公共部分装修</v>
      </c>
      <c r="R28" s="886" t="s">
        <v>885</v>
      </c>
      <c r="S28" s="887">
        <f t="shared" si="12"/>
        <v>100</v>
      </c>
      <c r="T28" s="886" t="s">
        <v>885</v>
      </c>
      <c r="U28" s="887">
        <f t="shared" si="13"/>
        <v>100</v>
      </c>
      <c r="V28" s="886" t="s">
        <v>885</v>
      </c>
      <c r="W28" s="887">
        <f t="shared" si="14"/>
        <v>100</v>
      </c>
      <c r="X28" s="881"/>
      <c r="Y28" s="3638"/>
      <c r="Z28" s="810" t="str">
        <f t="shared" si="15"/>
        <v>公共部分装修</v>
      </c>
      <c r="AA28" s="897">
        <f t="shared" si="3"/>
        <v>1</v>
      </c>
      <c r="AB28" s="897">
        <f t="shared" si="4"/>
        <v>1</v>
      </c>
      <c r="AC28" s="897">
        <f t="shared" si="5"/>
        <v>1</v>
      </c>
    </row>
    <row r="29" spans="1:29" ht="15">
      <c r="A29" s="1446"/>
      <c r="B29" s="758" t="s">
        <v>1503</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8"/>
      <c r="Q29" s="848" t="str">
        <f t="shared" si="11"/>
        <v>成新率</v>
      </c>
      <c r="R29" s="886" t="s">
        <v>885</v>
      </c>
      <c r="S29" s="887" t="e">
        <f t="shared" si="12"/>
        <v>#N/A</v>
      </c>
      <c r="T29" s="886" t="s">
        <v>885</v>
      </c>
      <c r="U29" s="887" t="e">
        <f t="shared" si="13"/>
        <v>#N/A</v>
      </c>
      <c r="V29" s="886" t="s">
        <v>885</v>
      </c>
      <c r="W29" s="887" t="e">
        <f t="shared" si="14"/>
        <v>#N/A</v>
      </c>
      <c r="X29" s="881"/>
      <c r="Y29" s="3638"/>
      <c r="Z29" s="810" t="str">
        <f t="shared" si="15"/>
        <v>成新率</v>
      </c>
      <c r="AA29" s="897" t="e">
        <f t="shared" si="3"/>
        <v>#N/A</v>
      </c>
      <c r="AB29" s="897" t="e">
        <f t="shared" si="4"/>
        <v>#N/A</v>
      </c>
      <c r="AC29" s="897" t="e">
        <f t="shared" si="5"/>
        <v>#N/A</v>
      </c>
    </row>
    <row r="30" spans="1:29" ht="15">
      <c r="A30" s="1446"/>
      <c r="B30" s="758" t="s">
        <v>1504</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8"/>
      <c r="Q30" s="848" t="str">
        <f t="shared" si="11"/>
        <v>物业等级</v>
      </c>
      <c r="R30" s="886" t="s">
        <v>885</v>
      </c>
      <c r="S30" s="887">
        <f t="shared" si="12"/>
        <v>100</v>
      </c>
      <c r="T30" s="886" t="s">
        <v>885</v>
      </c>
      <c r="U30" s="887">
        <f t="shared" si="13"/>
        <v>100</v>
      </c>
      <c r="V30" s="886" t="s">
        <v>885</v>
      </c>
      <c r="W30" s="887">
        <f t="shared" si="14"/>
        <v>100</v>
      </c>
      <c r="X30" s="881"/>
      <c r="Y30" s="3638"/>
      <c r="Z30" s="810" t="str">
        <f t="shared" si="15"/>
        <v>物业等级</v>
      </c>
      <c r="AA30" s="897">
        <f t="shared" si="3"/>
        <v>1</v>
      </c>
      <c r="AB30" s="897">
        <f t="shared" si="4"/>
        <v>1</v>
      </c>
      <c r="AC30" s="897">
        <f t="shared" si="5"/>
        <v>1</v>
      </c>
    </row>
    <row r="31" spans="1:29" s="678" customFormat="1" ht="15">
      <c r="A31" s="1447"/>
      <c r="B31" s="758" t="s">
        <v>1505</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8"/>
      <c r="Q31" s="885" t="str">
        <f t="shared" si="11"/>
        <v>停车位面积</v>
      </c>
      <c r="R31" s="882" t="s">
        <v>885</v>
      </c>
      <c r="S31" s="883" t="e">
        <f t="shared" si="12"/>
        <v>#N/A</v>
      </c>
      <c r="T31" s="882" t="s">
        <v>885</v>
      </c>
      <c r="U31" s="883" t="e">
        <f t="shared" si="13"/>
        <v>#N/A</v>
      </c>
      <c r="V31" s="882" t="s">
        <v>885</v>
      </c>
      <c r="W31" s="883" t="e">
        <f t="shared" si="14"/>
        <v>#N/A</v>
      </c>
      <c r="X31" s="884"/>
      <c r="Y31" s="3638"/>
      <c r="Z31" s="896" t="str">
        <f t="shared" si="15"/>
        <v>停车位面积</v>
      </c>
      <c r="AA31" s="895" t="e">
        <f t="shared" si="3"/>
        <v>#N/A</v>
      </c>
      <c r="AB31" s="895" t="e">
        <f t="shared" si="4"/>
        <v>#N/A</v>
      </c>
      <c r="AC31" s="895" t="e">
        <f t="shared" si="5"/>
        <v>#N/A</v>
      </c>
    </row>
    <row r="32" spans="1:29" ht="15">
      <c r="A32" s="1446"/>
      <c r="B32" s="758" t="s">
        <v>1506</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8" t="s">
        <v>915</v>
      </c>
      <c r="Q32" s="848" t="str">
        <f t="shared" si="11"/>
        <v>车位类型</v>
      </c>
      <c r="R32" s="886" t="s">
        <v>885</v>
      </c>
      <c r="S32" s="887">
        <f t="shared" si="12"/>
        <v>100</v>
      </c>
      <c r="T32" s="886" t="s">
        <v>885</v>
      </c>
      <c r="U32" s="887">
        <f t="shared" si="13"/>
        <v>100</v>
      </c>
      <c r="V32" s="886" t="s">
        <v>885</v>
      </c>
      <c r="W32" s="887">
        <f t="shared" si="14"/>
        <v>100</v>
      </c>
      <c r="X32" s="881"/>
      <c r="Y32" s="3638" t="s">
        <v>915</v>
      </c>
      <c r="Z32" s="810" t="str">
        <f t="shared" si="15"/>
        <v>车位类型</v>
      </c>
      <c r="AA32" s="897">
        <f t="shared" si="3"/>
        <v>1</v>
      </c>
      <c r="AB32" s="897">
        <f t="shared" si="4"/>
        <v>1</v>
      </c>
      <c r="AC32" s="897">
        <f t="shared" si="5"/>
        <v>1</v>
      </c>
    </row>
    <row r="33" spans="1:29" ht="15">
      <c r="A33" s="1446"/>
      <c r="B33" s="758" t="s">
        <v>1507</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8"/>
      <c r="Q33" s="848" t="str">
        <f t="shared" si="11"/>
        <v>是否直接入户</v>
      </c>
      <c r="R33" s="886" t="s">
        <v>885</v>
      </c>
      <c r="S33" s="887">
        <f t="shared" si="12"/>
        <v>100</v>
      </c>
      <c r="T33" s="886" t="s">
        <v>885</v>
      </c>
      <c r="U33" s="887">
        <f t="shared" si="13"/>
        <v>100</v>
      </c>
      <c r="V33" s="886" t="s">
        <v>885</v>
      </c>
      <c r="W33" s="887">
        <f t="shared" si="14"/>
        <v>100</v>
      </c>
      <c r="X33" s="881"/>
      <c r="Y33" s="3638"/>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8"/>
      <c r="Q34" s="848">
        <f t="shared" si="11"/>
        <v>111</v>
      </c>
      <c r="R34" s="886" t="s">
        <v>885</v>
      </c>
      <c r="S34" s="887">
        <f t="shared" si="12"/>
        <v>100</v>
      </c>
      <c r="T34" s="886" t="s">
        <v>885</v>
      </c>
      <c r="U34" s="887">
        <f t="shared" si="13"/>
        <v>100</v>
      </c>
      <c r="V34" s="886" t="s">
        <v>885</v>
      </c>
      <c r="W34" s="887">
        <f t="shared" si="14"/>
        <v>100</v>
      </c>
      <c r="X34" s="881"/>
      <c r="Y34" s="3638"/>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8"/>
      <c r="Q35" s="1397">
        <f t="shared" si="11"/>
        <v>111</v>
      </c>
      <c r="R35" s="888" t="s">
        <v>885</v>
      </c>
      <c r="S35" s="889">
        <f t="shared" si="12"/>
        <v>100</v>
      </c>
      <c r="T35" s="888" t="s">
        <v>885</v>
      </c>
      <c r="U35" s="889">
        <f t="shared" si="13"/>
        <v>100</v>
      </c>
      <c r="V35" s="888" t="s">
        <v>885</v>
      </c>
      <c r="W35" s="889">
        <f t="shared" si="14"/>
        <v>100</v>
      </c>
      <c r="X35" s="890"/>
      <c r="Y35" s="3638"/>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8"/>
      <c r="Q36" s="848">
        <f t="shared" si="11"/>
        <v>111</v>
      </c>
      <c r="R36" s="886" t="s">
        <v>885</v>
      </c>
      <c r="S36" s="887">
        <f t="shared" si="12"/>
        <v>100</v>
      </c>
      <c r="T36" s="886" t="s">
        <v>885</v>
      </c>
      <c r="U36" s="887">
        <f t="shared" si="13"/>
        <v>100</v>
      </c>
      <c r="V36" s="886" t="s">
        <v>885</v>
      </c>
      <c r="W36" s="887">
        <f t="shared" si="14"/>
        <v>100</v>
      </c>
      <c r="X36" s="881"/>
      <c r="Y36" s="3638"/>
      <c r="Z36" s="810">
        <f t="shared" si="15"/>
        <v>111</v>
      </c>
      <c r="AA36" s="897">
        <f t="shared" si="3"/>
        <v>1</v>
      </c>
      <c r="AB36" s="897">
        <f t="shared" si="4"/>
        <v>1</v>
      </c>
      <c r="AC36" s="897">
        <f t="shared" si="5"/>
        <v>1</v>
      </c>
    </row>
    <row r="37" spans="1:29" ht="15">
      <c r="A37" s="779" t="s">
        <v>1508</v>
      </c>
      <c r="B37" s="1449" t="s">
        <v>1509</v>
      </c>
      <c r="C37" s="1368" t="s">
        <v>121</v>
      </c>
      <c r="D37" s="1369"/>
      <c r="E37" s="1370"/>
      <c r="F37" s="1371"/>
      <c r="G37" s="1372"/>
      <c r="H37" s="1373"/>
      <c r="I37" s="1370"/>
      <c r="J37" s="1373"/>
      <c r="K37" s="1453"/>
      <c r="L37" s="868"/>
      <c r="N37" s="843"/>
      <c r="P37" s="3628" t="str">
        <f>A37</f>
        <v>成交单价</v>
      </c>
      <c r="Q37" s="3628"/>
      <c r="R37" s="3629">
        <f>E37</f>
        <v>0</v>
      </c>
      <c r="S37" s="3629"/>
      <c r="T37" s="3629">
        <f>G37</f>
        <v>0</v>
      </c>
      <c r="U37" s="3629"/>
      <c r="V37" s="3629">
        <f>I37</f>
        <v>0</v>
      </c>
      <c r="W37" s="3629"/>
      <c r="X37" s="831"/>
      <c r="Y37" s="899"/>
      <c r="Z37" s="831"/>
      <c r="AA37" s="831"/>
      <c r="AB37" s="831"/>
      <c r="AC37" s="831"/>
    </row>
    <row r="38" spans="1:29" ht="15">
      <c r="A38" s="787" t="s">
        <v>1510</v>
      </c>
      <c r="B38" s="1374" t="str">
        <f>B37</f>
        <v>元/平方米</v>
      </c>
      <c r="C38" s="1375" t="e">
        <f>R39</f>
        <v>#DIV/0!</v>
      </c>
      <c r="D38" s="790" t="s">
        <v>936</v>
      </c>
      <c r="E38" s="1376" t="e">
        <f>R38</f>
        <v>#DIV/0!</v>
      </c>
      <c r="F38" s="791"/>
      <c r="G38" s="1375" t="e">
        <f>T38</f>
        <v>#DIV/0!</v>
      </c>
      <c r="H38" s="791"/>
      <c r="I38" s="1376" t="e">
        <f>V38</f>
        <v>#DIV/0!</v>
      </c>
      <c r="J38" s="791"/>
      <c r="K38" s="869">
        <f>F38+H38+J38</f>
        <v>0</v>
      </c>
      <c r="L38" s="868"/>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31"/>
      <c r="Y38" s="831"/>
      <c r="Z38" s="831"/>
      <c r="AA38" s="831"/>
      <c r="AB38" s="831"/>
      <c r="AC38" s="831"/>
    </row>
    <row r="39" spans="1:29" ht="15">
      <c r="A39" s="793" t="s">
        <v>937</v>
      </c>
      <c r="B39" s="794"/>
      <c r="C39" s="1377" t="e">
        <f>R39</f>
        <v>#DIV/0!</v>
      </c>
      <c r="D39" s="1377"/>
      <c r="E39" s="1377"/>
      <c r="F39" s="1377"/>
      <c r="G39" s="1377"/>
      <c r="H39" s="1377"/>
      <c r="I39" s="1377"/>
      <c r="J39" s="1377"/>
      <c r="K39" s="1454"/>
      <c r="L39" s="868"/>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938</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939</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940</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941</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883</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942</v>
      </c>
      <c r="B50" s="907"/>
      <c r="C50" s="908"/>
      <c r="D50" s="909"/>
      <c r="E50" s="909"/>
      <c r="F50" s="909"/>
      <c r="G50" s="909"/>
      <c r="H50" s="909"/>
      <c r="I50" s="909"/>
      <c r="J50" s="909"/>
      <c r="K50" s="909"/>
      <c r="L50" s="909"/>
      <c r="M50" s="958"/>
      <c r="N50" s="909"/>
      <c r="O50" s="1396"/>
      <c r="P50" s="891"/>
      <c r="Q50" s="891"/>
    </row>
    <row r="51" spans="1:17" s="678" customFormat="1" ht="15">
      <c r="A51" s="910" t="s">
        <v>886</v>
      </c>
      <c r="B51" s="911"/>
      <c r="C51" s="912" t="s">
        <v>887</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943</v>
      </c>
      <c r="B53" s="917" t="s">
        <v>891</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894</v>
      </c>
      <c r="C55" s="922" t="s">
        <v>944</v>
      </c>
      <c r="D55" s="922" t="s">
        <v>945</v>
      </c>
      <c r="E55" s="922" t="s">
        <v>946</v>
      </c>
      <c r="F55" s="922" t="s">
        <v>947</v>
      </c>
      <c r="G55" s="922" t="s">
        <v>948</v>
      </c>
      <c r="H55" s="922" t="s">
        <v>949</v>
      </c>
      <c r="I55" s="922" t="s">
        <v>950</v>
      </c>
      <c r="J55" s="922"/>
      <c r="K55" s="972"/>
      <c r="L55" s="973"/>
      <c r="M55" s="974"/>
      <c r="N55" s="968"/>
      <c r="O55" s="968"/>
      <c r="P55" s="969"/>
      <c r="Q55" s="891"/>
    </row>
    <row r="56" spans="1:17" ht="15">
      <c r="A56" s="918"/>
      <c r="B56" s="923"/>
      <c r="C56" s="924" t="s">
        <v>1489</v>
      </c>
      <c r="D56" s="924" t="s">
        <v>1489</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897</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951</v>
      </c>
      <c r="D67" s="922" t="s">
        <v>952</v>
      </c>
      <c r="E67" s="922" t="s">
        <v>953</v>
      </c>
      <c r="F67" s="922" t="s">
        <v>954</v>
      </c>
      <c r="G67" s="922" t="s">
        <v>955</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901</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1482</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912</v>
      </c>
      <c r="B79" s="917" t="s">
        <v>1511</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1502</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920</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1503</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1504</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1505</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1506</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1507</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1499</v>
      </c>
      <c r="B1" s="1323"/>
      <c r="C1" s="1324"/>
      <c r="D1" s="1325"/>
      <c r="E1" s="1326" t="s">
        <v>867</v>
      </c>
      <c r="F1" s="1327" t="s">
        <v>868</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869</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870</v>
      </c>
      <c r="B3" s="698" t="e">
        <f ca="1">ROUND(IF(D2="——",C37,IF(C2="万元",B2*10000/D3,B2/D3)),0)</f>
        <v>#DIV/0!</v>
      </c>
      <c r="C3" s="1335" t="s">
        <v>871</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872</v>
      </c>
      <c r="B4" s="700"/>
      <c r="C4" s="3646" t="s">
        <v>873</v>
      </c>
      <c r="D4" s="3647"/>
      <c r="E4" s="3648" t="s">
        <v>874</v>
      </c>
      <c r="F4" s="3649"/>
      <c r="G4" s="3646" t="s">
        <v>875</v>
      </c>
      <c r="H4" s="3647"/>
      <c r="I4" s="3646" t="s">
        <v>876</v>
      </c>
      <c r="J4" s="3647"/>
      <c r="K4" s="841" t="s">
        <v>877</v>
      </c>
      <c r="L4" s="842"/>
      <c r="M4" s="843"/>
      <c r="N4" s="843"/>
      <c r="O4" s="843"/>
      <c r="P4" s="3615" t="s">
        <v>878</v>
      </c>
      <c r="Q4" s="3616"/>
      <c r="R4" s="3621" t="s">
        <v>874</v>
      </c>
      <c r="S4" s="3622"/>
      <c r="T4" s="3621" t="s">
        <v>875</v>
      </c>
      <c r="U4" s="3622"/>
      <c r="V4" s="3627" t="s">
        <v>876</v>
      </c>
      <c r="W4" s="3627"/>
      <c r="X4" s="881"/>
      <c r="Y4" s="3621" t="s">
        <v>878</v>
      </c>
      <c r="Z4" s="3622"/>
      <c r="AA4" s="3612" t="s">
        <v>874</v>
      </c>
      <c r="AB4" s="3613" t="s">
        <v>875</v>
      </c>
      <c r="AC4" s="3612" t="s">
        <v>876</v>
      </c>
    </row>
    <row r="5" spans="1:29" ht="15">
      <c r="A5" s="701"/>
      <c r="B5" s="702"/>
      <c r="C5" s="3650" t="s">
        <v>879</v>
      </c>
      <c r="D5" s="3651"/>
      <c r="E5" s="3652" t="s">
        <v>1477</v>
      </c>
      <c r="F5" s="3653"/>
      <c r="G5" s="3650" t="s">
        <v>1478</v>
      </c>
      <c r="H5" s="3651"/>
      <c r="I5" s="3650" t="s">
        <v>1479</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881</v>
      </c>
      <c r="D6" s="3642"/>
      <c r="E6" s="3643" t="s">
        <v>881</v>
      </c>
      <c r="F6" s="3644"/>
      <c r="G6" s="3641" t="s">
        <v>881</v>
      </c>
      <c r="H6" s="3642"/>
      <c r="I6" s="3641" t="s">
        <v>881</v>
      </c>
      <c r="J6" s="3642"/>
      <c r="K6" s="841" t="s">
        <v>882</v>
      </c>
      <c r="L6" s="842"/>
      <c r="M6" s="843"/>
      <c r="N6" s="843"/>
      <c r="O6" s="843"/>
      <c r="P6" s="3619"/>
      <c r="Q6" s="3620"/>
      <c r="R6" s="3623"/>
      <c r="S6" s="3624"/>
      <c r="T6" s="3625"/>
      <c r="U6" s="3626"/>
      <c r="V6" s="3627"/>
      <c r="W6" s="3627"/>
      <c r="X6" s="881"/>
      <c r="Y6" s="3625"/>
      <c r="Z6" s="3626"/>
      <c r="AA6" s="3614"/>
      <c r="AB6" s="3614"/>
      <c r="AC6" s="3614"/>
    </row>
    <row r="7" spans="1:29" s="678" customFormat="1" ht="15">
      <c r="A7" s="705" t="s">
        <v>883</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33" t="s">
        <v>884</v>
      </c>
      <c r="Q7" s="3645"/>
      <c r="R7" s="882" t="s">
        <v>885</v>
      </c>
      <c r="S7" s="883">
        <f t="shared" ref="S7:S14" si="0">F7</f>
        <v>0</v>
      </c>
      <c r="T7" s="882" t="s">
        <v>885</v>
      </c>
      <c r="U7" s="883">
        <f t="shared" ref="U7:U14" si="1">H7</f>
        <v>0</v>
      </c>
      <c r="V7" s="882" t="s">
        <v>885</v>
      </c>
      <c r="W7" s="883">
        <f t="shared" ref="W7:W14" si="2">J7</f>
        <v>0</v>
      </c>
      <c r="X7" s="884"/>
      <c r="Y7" s="3633" t="s">
        <v>884</v>
      </c>
      <c r="Z7" s="3634"/>
      <c r="AA7" s="895" t="e">
        <f>D7/F7</f>
        <v>#DIV/0!</v>
      </c>
      <c r="AB7" s="895" t="e">
        <f>D7/H7</f>
        <v>#DIV/0!</v>
      </c>
      <c r="AC7" s="895" t="e">
        <f>D7/J7</f>
        <v>#DIV/0!</v>
      </c>
    </row>
    <row r="8" spans="1:29" s="678" customFormat="1" ht="15">
      <c r="A8" s="705" t="s">
        <v>886</v>
      </c>
      <c r="B8" s="706"/>
      <c r="C8" s="712" t="s">
        <v>887</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3" t="s">
        <v>889</v>
      </c>
      <c r="Q8" s="3634"/>
      <c r="R8" s="882" t="s">
        <v>885</v>
      </c>
      <c r="S8" s="883">
        <f t="shared" si="0"/>
        <v>0</v>
      </c>
      <c r="T8" s="882" t="s">
        <v>885</v>
      </c>
      <c r="U8" s="883">
        <f t="shared" si="1"/>
        <v>0</v>
      </c>
      <c r="V8" s="882" t="s">
        <v>885</v>
      </c>
      <c r="W8" s="883">
        <f t="shared" si="2"/>
        <v>0</v>
      </c>
      <c r="X8" s="884"/>
      <c r="Y8" s="3633" t="s">
        <v>889</v>
      </c>
      <c r="Z8" s="3634"/>
      <c r="AA8" s="895" t="e">
        <f t="shared" ref="AA8:AA34" si="3">D8/F8</f>
        <v>#DIV/0!</v>
      </c>
      <c r="AB8" s="895" t="e">
        <f t="shared" ref="AB8:AB34" si="4">D8/H8</f>
        <v>#DIV/0!</v>
      </c>
      <c r="AC8" s="895" t="e">
        <f t="shared" ref="AC8:AC34" si="5">D8/J8</f>
        <v>#DIV/0!</v>
      </c>
    </row>
    <row r="9" spans="1:29" s="678" customFormat="1">
      <c r="A9" s="713" t="s">
        <v>890</v>
      </c>
      <c r="B9" s="714" t="s">
        <v>891</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8" t="s">
        <v>892</v>
      </c>
      <c r="Q9" s="885" t="str">
        <f t="shared" ref="Q9:Q14" si="6">B9</f>
        <v>用途</v>
      </c>
      <c r="R9" s="882" t="s">
        <v>885</v>
      </c>
      <c r="S9" s="883">
        <f t="shared" si="0"/>
        <v>100</v>
      </c>
      <c r="T9" s="882" t="s">
        <v>885</v>
      </c>
      <c r="U9" s="883">
        <f t="shared" si="1"/>
        <v>100</v>
      </c>
      <c r="V9" s="882" t="s">
        <v>885</v>
      </c>
      <c r="W9" s="883">
        <f t="shared" si="2"/>
        <v>100</v>
      </c>
      <c r="X9" s="884"/>
      <c r="Y9" s="3640" t="s">
        <v>893</v>
      </c>
      <c r="Z9" s="896" t="str">
        <f t="shared" ref="Z9:Z14" si="7">Q9</f>
        <v>用途</v>
      </c>
      <c r="AA9" s="895">
        <f t="shared" si="3"/>
        <v>1</v>
      </c>
      <c r="AB9" s="895">
        <f t="shared" si="4"/>
        <v>1</v>
      </c>
      <c r="AC9" s="895">
        <f t="shared" si="5"/>
        <v>1</v>
      </c>
    </row>
    <row r="10" spans="1:29" s="679" customFormat="1" ht="27">
      <c r="A10" s="717"/>
      <c r="B10" s="718" t="s">
        <v>894</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8"/>
      <c r="Q10" s="885" t="str">
        <f t="shared" si="6"/>
        <v>土地使用年限（年）</v>
      </c>
      <c r="R10" s="882" t="s">
        <v>885</v>
      </c>
      <c r="S10" s="883">
        <f t="shared" si="0"/>
        <v>100</v>
      </c>
      <c r="T10" s="882" t="s">
        <v>885</v>
      </c>
      <c r="U10" s="883">
        <f t="shared" si="1"/>
        <v>100</v>
      </c>
      <c r="V10" s="882" t="s">
        <v>885</v>
      </c>
      <c r="W10" s="883">
        <f t="shared" si="2"/>
        <v>100</v>
      </c>
      <c r="X10" s="884"/>
      <c r="Y10" s="3640"/>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8"/>
      <c r="Q11" s="885">
        <f t="shared" si="6"/>
        <v>111</v>
      </c>
      <c r="R11" s="882" t="s">
        <v>885</v>
      </c>
      <c r="S11" s="883">
        <f t="shared" si="0"/>
        <v>100</v>
      </c>
      <c r="T11" s="882" t="s">
        <v>885</v>
      </c>
      <c r="U11" s="883">
        <f t="shared" si="1"/>
        <v>100</v>
      </c>
      <c r="V11" s="882" t="s">
        <v>885</v>
      </c>
      <c r="W11" s="883">
        <f t="shared" si="2"/>
        <v>100</v>
      </c>
      <c r="X11" s="884"/>
      <c r="Y11" s="3640"/>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8"/>
      <c r="Q12" s="885">
        <f t="shared" si="6"/>
        <v>111</v>
      </c>
      <c r="R12" s="882" t="s">
        <v>885</v>
      </c>
      <c r="S12" s="883">
        <f t="shared" si="0"/>
        <v>100</v>
      </c>
      <c r="T12" s="882" t="s">
        <v>885</v>
      </c>
      <c r="U12" s="883">
        <f t="shared" si="1"/>
        <v>100</v>
      </c>
      <c r="V12" s="882" t="s">
        <v>885</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8"/>
      <c r="Q13" s="885">
        <f t="shared" si="6"/>
        <v>111</v>
      </c>
      <c r="R13" s="882" t="s">
        <v>885</v>
      </c>
      <c r="S13" s="883">
        <f t="shared" si="0"/>
        <v>100</v>
      </c>
      <c r="T13" s="882" t="s">
        <v>885</v>
      </c>
      <c r="U13" s="883">
        <f t="shared" si="1"/>
        <v>100</v>
      </c>
      <c r="V13" s="882" t="s">
        <v>885</v>
      </c>
      <c r="W13" s="883">
        <f t="shared" si="2"/>
        <v>100</v>
      </c>
      <c r="X13" s="884"/>
      <c r="Y13" s="3640"/>
      <c r="Z13" s="896">
        <f t="shared" si="7"/>
        <v>111</v>
      </c>
      <c r="AA13" s="895">
        <f t="shared" si="3"/>
        <v>1</v>
      </c>
      <c r="AB13" s="895">
        <f t="shared" si="4"/>
        <v>1</v>
      </c>
      <c r="AC13" s="895">
        <f t="shared" si="5"/>
        <v>1</v>
      </c>
    </row>
    <row r="14" spans="1:29" ht="85.5">
      <c r="A14" s="735" t="s">
        <v>897</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35" t="s">
        <v>898</v>
      </c>
      <c r="Q14" s="848" t="str">
        <f t="shared" si="6"/>
        <v>交通便捷度</v>
      </c>
      <c r="R14" s="886" t="s">
        <v>885</v>
      </c>
      <c r="S14" s="887">
        <f t="shared" si="0"/>
        <v>100</v>
      </c>
      <c r="T14" s="886" t="s">
        <v>885</v>
      </c>
      <c r="U14" s="887">
        <f t="shared" si="1"/>
        <v>100</v>
      </c>
      <c r="V14" s="886" t="s">
        <v>885</v>
      </c>
      <c r="W14" s="887">
        <f t="shared" si="2"/>
        <v>100</v>
      </c>
      <c r="X14" s="881"/>
      <c r="Y14" s="3635" t="s">
        <v>898</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6"/>
      <c r="Q16" s="848" t="str">
        <f>B16</f>
        <v>公共配套设施</v>
      </c>
      <c r="R16" s="886" t="s">
        <v>885</v>
      </c>
      <c r="S16" s="887">
        <f>F16</f>
        <v>100</v>
      </c>
      <c r="T16" s="886" t="s">
        <v>885</v>
      </c>
      <c r="U16" s="887">
        <f>H16</f>
        <v>100</v>
      </c>
      <c r="V16" s="886" t="s">
        <v>885</v>
      </c>
      <c r="W16" s="887">
        <f>J16</f>
        <v>100</v>
      </c>
      <c r="X16" s="881"/>
      <c r="Y16" s="3636"/>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6"/>
      <c r="Q18" s="848" t="str">
        <f>B18</f>
        <v>基础设施水平</v>
      </c>
      <c r="R18" s="886" t="s">
        <v>885</v>
      </c>
      <c r="S18" s="887">
        <f>F18</f>
        <v>100</v>
      </c>
      <c r="T18" s="886" t="s">
        <v>885</v>
      </c>
      <c r="U18" s="887">
        <f>H18</f>
        <v>100</v>
      </c>
      <c r="V18" s="886" t="s">
        <v>885</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21"/>
      <c r="B20" s="1348" t="s">
        <v>901</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6"/>
      <c r="Q20" s="848" t="str">
        <f>B20</f>
        <v>自然及人文环境</v>
      </c>
      <c r="R20" s="886" t="s">
        <v>885</v>
      </c>
      <c r="S20" s="887">
        <f>F20</f>
        <v>100</v>
      </c>
      <c r="T20" s="886" t="s">
        <v>885</v>
      </c>
      <c r="U20" s="887">
        <f>H20</f>
        <v>100</v>
      </c>
      <c r="V20" s="886" t="s">
        <v>885</v>
      </c>
      <c r="W20" s="887">
        <f>J20</f>
        <v>100</v>
      </c>
      <c r="X20" s="881"/>
      <c r="Y20" s="3636"/>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21"/>
      <c r="B22" s="1348" t="s">
        <v>1482</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6"/>
      <c r="Q22" s="848" t="str">
        <f>B22</f>
        <v>楼层</v>
      </c>
      <c r="R22" s="886" t="s">
        <v>885</v>
      </c>
      <c r="S22" s="887">
        <f>F22</f>
        <v>100</v>
      </c>
      <c r="T22" s="886" t="s">
        <v>885</v>
      </c>
      <c r="U22" s="887">
        <f>H22</f>
        <v>100</v>
      </c>
      <c r="V22" s="886" t="s">
        <v>885</v>
      </c>
      <c r="W22" s="887">
        <f>J22</f>
        <v>100</v>
      </c>
      <c r="X22" s="881"/>
      <c r="Y22" s="3636"/>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6"/>
      <c r="Q23" s="848">
        <f>B23</f>
        <v>111</v>
      </c>
      <c r="R23" s="886" t="s">
        <v>885</v>
      </c>
      <c r="S23" s="887">
        <f>F23</f>
        <v>100</v>
      </c>
      <c r="T23" s="886" t="s">
        <v>885</v>
      </c>
      <c r="U23" s="887">
        <f>H23</f>
        <v>100</v>
      </c>
      <c r="V23" s="886" t="s">
        <v>885</v>
      </c>
      <c r="W23" s="887">
        <f>J23</f>
        <v>100</v>
      </c>
      <c r="X23" s="881"/>
      <c r="Y23" s="3636"/>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6"/>
      <c r="Q24" s="848">
        <f t="shared" ref="Q24:Q34" si="11">B24</f>
        <v>111</v>
      </c>
      <c r="R24" s="886" t="s">
        <v>885</v>
      </c>
      <c r="S24" s="887">
        <f>F24</f>
        <v>100</v>
      </c>
      <c r="T24" s="886" t="s">
        <v>885</v>
      </c>
      <c r="U24" s="887">
        <f>H24</f>
        <v>100</v>
      </c>
      <c r="V24" s="886" t="s">
        <v>885</v>
      </c>
      <c r="W24" s="887">
        <f>J24</f>
        <v>100</v>
      </c>
      <c r="X24" s="881"/>
      <c r="Y24" s="3636"/>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6"/>
      <c r="Q25" s="885">
        <f t="shared" si="11"/>
        <v>111</v>
      </c>
      <c r="R25" s="882" t="s">
        <v>885</v>
      </c>
      <c r="S25" s="883">
        <f>F25</f>
        <v>100</v>
      </c>
      <c r="T25" s="882" t="s">
        <v>885</v>
      </c>
      <c r="U25" s="883">
        <f>H25</f>
        <v>100</v>
      </c>
      <c r="V25" s="882" t="s">
        <v>885</v>
      </c>
      <c r="W25" s="883">
        <f>J25</f>
        <v>100</v>
      </c>
      <c r="X25" s="884"/>
      <c r="Y25" s="3636"/>
      <c r="Z25" s="896">
        <f>Q25</f>
        <v>111</v>
      </c>
      <c r="AA25" s="897">
        <f t="shared" si="3"/>
        <v>1</v>
      </c>
      <c r="AB25" s="897">
        <f t="shared" si="4"/>
        <v>1</v>
      </c>
      <c r="AC25" s="897">
        <f t="shared" si="5"/>
        <v>1</v>
      </c>
    </row>
    <row r="26" spans="1:29" ht="28.5">
      <c r="A26" s="1356" t="s">
        <v>912</v>
      </c>
      <c r="B26" s="714" t="s">
        <v>920</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7" t="s">
        <v>915</v>
      </c>
      <c r="Q26" s="848" t="str">
        <f t="shared" si="11"/>
        <v>公共部分装修</v>
      </c>
      <c r="R26" s="886" t="s">
        <v>885</v>
      </c>
      <c r="S26" s="887">
        <f t="shared" ref="S26:S34" si="12">F26</f>
        <v>100</v>
      </c>
      <c r="T26" s="886" t="s">
        <v>885</v>
      </c>
      <c r="U26" s="887">
        <f t="shared" ref="U26:U34" si="13">H26</f>
        <v>100</v>
      </c>
      <c r="V26" s="886" t="s">
        <v>885</v>
      </c>
      <c r="W26" s="887">
        <f t="shared" ref="W26:W34" si="14">J26</f>
        <v>100</v>
      </c>
      <c r="X26" s="881"/>
      <c r="Y26" s="3638" t="s">
        <v>915</v>
      </c>
      <c r="Z26" s="810" t="str">
        <f t="shared" ref="Z26:Z34" si="15">Q26</f>
        <v>公共部分装修</v>
      </c>
      <c r="AA26" s="897">
        <f t="shared" si="3"/>
        <v>1</v>
      </c>
      <c r="AB26" s="897">
        <f t="shared" si="4"/>
        <v>1</v>
      </c>
      <c r="AC26" s="897">
        <f t="shared" si="5"/>
        <v>1</v>
      </c>
    </row>
    <row r="27" spans="1:29" s="680" customFormat="1" ht="15">
      <c r="A27" s="777"/>
      <c r="B27" s="718" t="s">
        <v>1503</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8"/>
      <c r="Q27" s="1397" t="str">
        <f t="shared" si="11"/>
        <v>成新率</v>
      </c>
      <c r="R27" s="888" t="s">
        <v>885</v>
      </c>
      <c r="S27" s="889" t="e">
        <f t="shared" si="12"/>
        <v>#N/A</v>
      </c>
      <c r="T27" s="888" t="s">
        <v>885</v>
      </c>
      <c r="U27" s="889" t="e">
        <f t="shared" si="13"/>
        <v>#N/A</v>
      </c>
      <c r="V27" s="888" t="s">
        <v>885</v>
      </c>
      <c r="W27" s="889" t="e">
        <f t="shared" si="14"/>
        <v>#N/A</v>
      </c>
      <c r="X27" s="890"/>
      <c r="Y27" s="3638"/>
      <c r="Z27" s="898" t="str">
        <f t="shared" si="15"/>
        <v>成新率</v>
      </c>
      <c r="AA27" s="897" t="e">
        <f t="shared" si="3"/>
        <v>#N/A</v>
      </c>
      <c r="AB27" s="897" t="e">
        <f t="shared" si="4"/>
        <v>#N/A</v>
      </c>
      <c r="AC27" s="897" t="e">
        <f t="shared" si="5"/>
        <v>#N/A</v>
      </c>
    </row>
    <row r="28" spans="1:29" ht="15">
      <c r="A28" s="769"/>
      <c r="B28" s="718" t="s">
        <v>1504</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8"/>
      <c r="Q28" s="848" t="str">
        <f t="shared" si="11"/>
        <v>物业等级</v>
      </c>
      <c r="R28" s="886" t="s">
        <v>885</v>
      </c>
      <c r="S28" s="887">
        <f t="shared" si="12"/>
        <v>100</v>
      </c>
      <c r="T28" s="886" t="s">
        <v>885</v>
      </c>
      <c r="U28" s="887">
        <f t="shared" si="13"/>
        <v>100</v>
      </c>
      <c r="V28" s="886" t="s">
        <v>885</v>
      </c>
      <c r="W28" s="887">
        <f t="shared" si="14"/>
        <v>100</v>
      </c>
      <c r="X28" s="881"/>
      <c r="Y28" s="3638"/>
      <c r="Z28" s="810" t="str">
        <f t="shared" si="15"/>
        <v>物业等级</v>
      </c>
      <c r="AA28" s="897">
        <f t="shared" si="3"/>
        <v>1</v>
      </c>
      <c r="AB28" s="897">
        <f t="shared" si="4"/>
        <v>1</v>
      </c>
      <c r="AC28" s="897">
        <f t="shared" si="5"/>
        <v>1</v>
      </c>
    </row>
    <row r="29" spans="1:29" ht="15">
      <c r="A29" s="769"/>
      <c r="B29" s="718" t="s">
        <v>1512</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8"/>
      <c r="Q29" s="848" t="str">
        <f t="shared" si="11"/>
        <v>有无电梯</v>
      </c>
      <c r="R29" s="886" t="s">
        <v>885</v>
      </c>
      <c r="S29" s="887">
        <f t="shared" si="12"/>
        <v>100</v>
      </c>
      <c r="T29" s="886" t="s">
        <v>885</v>
      </c>
      <c r="U29" s="887">
        <f t="shared" si="13"/>
        <v>100</v>
      </c>
      <c r="V29" s="886" t="s">
        <v>885</v>
      </c>
      <c r="W29" s="887">
        <f t="shared" si="14"/>
        <v>100</v>
      </c>
      <c r="X29" s="881"/>
      <c r="Y29" s="3638"/>
      <c r="Z29" s="810" t="str">
        <f t="shared" si="15"/>
        <v>有无电梯</v>
      </c>
      <c r="AA29" s="897">
        <f t="shared" si="3"/>
        <v>1</v>
      </c>
      <c r="AB29" s="897">
        <f t="shared" si="4"/>
        <v>1</v>
      </c>
      <c r="AC29" s="897">
        <f t="shared" si="5"/>
        <v>1</v>
      </c>
    </row>
    <row r="30" spans="1:29" ht="15">
      <c r="A30" s="769"/>
      <c r="B30" s="718" t="s">
        <v>1513</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8"/>
      <c r="Q30" s="848" t="str">
        <f t="shared" si="11"/>
        <v>建筑面积</v>
      </c>
      <c r="R30" s="886" t="s">
        <v>885</v>
      </c>
      <c r="S30" s="887" t="e">
        <f t="shared" si="12"/>
        <v>#N/A</v>
      </c>
      <c r="T30" s="886" t="s">
        <v>885</v>
      </c>
      <c r="U30" s="887" t="e">
        <f t="shared" si="13"/>
        <v>#N/A</v>
      </c>
      <c r="V30" s="886" t="s">
        <v>885</v>
      </c>
      <c r="W30" s="887" t="e">
        <f t="shared" si="14"/>
        <v>#N/A</v>
      </c>
      <c r="X30" s="881"/>
      <c r="Y30" s="3638"/>
      <c r="Z30" s="810" t="str">
        <f t="shared" si="15"/>
        <v>建筑面积</v>
      </c>
      <c r="AA30" s="897" t="e">
        <f t="shared" si="3"/>
        <v>#N/A</v>
      </c>
      <c r="AB30" s="897" t="e">
        <f t="shared" si="4"/>
        <v>#N/A</v>
      </c>
      <c r="AC30" s="897" t="e">
        <f t="shared" si="5"/>
        <v>#N/A</v>
      </c>
    </row>
    <row r="31" spans="1:29" s="678" customFormat="1" ht="15">
      <c r="A31" s="774"/>
      <c r="B31" s="718" t="s">
        <v>1514</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8"/>
      <c r="Q31" s="885" t="str">
        <f t="shared" si="11"/>
        <v>是否封闭</v>
      </c>
      <c r="R31" s="882" t="s">
        <v>885</v>
      </c>
      <c r="S31" s="883">
        <f t="shared" si="12"/>
        <v>100</v>
      </c>
      <c r="T31" s="882" t="s">
        <v>885</v>
      </c>
      <c r="U31" s="883">
        <f t="shared" si="13"/>
        <v>100</v>
      </c>
      <c r="V31" s="882" t="s">
        <v>885</v>
      </c>
      <c r="W31" s="883">
        <f t="shared" si="14"/>
        <v>100</v>
      </c>
      <c r="X31" s="884"/>
      <c r="Y31" s="3638"/>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8" t="s">
        <v>915</v>
      </c>
      <c r="Q32" s="848">
        <f t="shared" si="11"/>
        <v>111</v>
      </c>
      <c r="R32" s="886" t="s">
        <v>885</v>
      </c>
      <c r="S32" s="887">
        <f t="shared" si="12"/>
        <v>100</v>
      </c>
      <c r="T32" s="886" t="s">
        <v>885</v>
      </c>
      <c r="U32" s="887">
        <f t="shared" si="13"/>
        <v>100</v>
      </c>
      <c r="V32" s="886" t="s">
        <v>885</v>
      </c>
      <c r="W32" s="887">
        <f t="shared" si="14"/>
        <v>100</v>
      </c>
      <c r="X32" s="881"/>
      <c r="Y32" s="3638" t="s">
        <v>915</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8"/>
      <c r="Q33" s="848">
        <f t="shared" si="11"/>
        <v>111</v>
      </c>
      <c r="R33" s="886" t="s">
        <v>885</v>
      </c>
      <c r="S33" s="887">
        <f t="shared" si="12"/>
        <v>100</v>
      </c>
      <c r="T33" s="886" t="s">
        <v>885</v>
      </c>
      <c r="U33" s="887">
        <f t="shared" si="13"/>
        <v>100</v>
      </c>
      <c r="V33" s="886" t="s">
        <v>885</v>
      </c>
      <c r="W33" s="887">
        <f t="shared" si="14"/>
        <v>100</v>
      </c>
      <c r="X33" s="881"/>
      <c r="Y33" s="3638"/>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8"/>
      <c r="Q34" s="848">
        <f t="shared" si="11"/>
        <v>111</v>
      </c>
      <c r="R34" s="886" t="s">
        <v>885</v>
      </c>
      <c r="S34" s="887">
        <f t="shared" si="12"/>
        <v>100</v>
      </c>
      <c r="T34" s="886" t="s">
        <v>885</v>
      </c>
      <c r="U34" s="887">
        <f t="shared" si="13"/>
        <v>100</v>
      </c>
      <c r="V34" s="886" t="s">
        <v>885</v>
      </c>
      <c r="W34" s="887">
        <f t="shared" si="14"/>
        <v>100</v>
      </c>
      <c r="X34" s="881"/>
      <c r="Y34" s="3638"/>
      <c r="Z34" s="810">
        <f t="shared" si="15"/>
        <v>111</v>
      </c>
      <c r="AA34" s="897">
        <f t="shared" si="3"/>
        <v>1</v>
      </c>
      <c r="AB34" s="897">
        <f t="shared" si="4"/>
        <v>1</v>
      </c>
      <c r="AC34" s="897">
        <f t="shared" si="5"/>
        <v>1</v>
      </c>
    </row>
    <row r="35" spans="1:29" ht="15">
      <c r="A35" s="779" t="s">
        <v>934</v>
      </c>
      <c r="B35" s="1367"/>
      <c r="C35" s="1368" t="s">
        <v>121</v>
      </c>
      <c r="D35" s="1369"/>
      <c r="E35" s="1370"/>
      <c r="F35" s="1371"/>
      <c r="G35" s="1372"/>
      <c r="H35" s="1373"/>
      <c r="I35" s="1370"/>
      <c r="J35" s="1373"/>
      <c r="K35" s="867"/>
      <c r="L35" s="868"/>
      <c r="N35" s="843"/>
      <c r="P35" s="3628" t="str">
        <f>A35</f>
        <v>成交单价（元/平方米）</v>
      </c>
      <c r="Q35" s="3628"/>
      <c r="R35" s="3629">
        <f>E35</f>
        <v>0</v>
      </c>
      <c r="S35" s="3629"/>
      <c r="T35" s="3629">
        <f>G35</f>
        <v>0</v>
      </c>
      <c r="U35" s="3629"/>
      <c r="V35" s="3629">
        <f>I35</f>
        <v>0</v>
      </c>
      <c r="W35" s="3629"/>
      <c r="X35" s="831"/>
      <c r="Y35" s="899"/>
      <c r="Z35" s="831"/>
      <c r="AA35" s="831"/>
      <c r="AB35" s="831"/>
      <c r="AC35" s="831"/>
    </row>
    <row r="36" spans="1:29" ht="15">
      <c r="A36" s="787" t="s">
        <v>935</v>
      </c>
      <c r="B36" s="1374"/>
      <c r="C36" s="1375" t="e">
        <f>R37</f>
        <v>#DIV/0!</v>
      </c>
      <c r="D36" s="790" t="s">
        <v>936</v>
      </c>
      <c r="E36" s="1376" t="e">
        <f>R36</f>
        <v>#DIV/0!</v>
      </c>
      <c r="F36" s="791"/>
      <c r="G36" s="1375" t="e">
        <f>T36</f>
        <v>#DIV/0!</v>
      </c>
      <c r="H36" s="791"/>
      <c r="I36" s="1376" t="e">
        <f>V36</f>
        <v>#DIV/0!</v>
      </c>
      <c r="J36" s="791"/>
      <c r="K36" s="869">
        <f>F36+H36+J36</f>
        <v>0</v>
      </c>
      <c r="L36" s="868"/>
      <c r="N36" s="843"/>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31"/>
      <c r="Y36" s="831"/>
      <c r="Z36" s="831"/>
      <c r="AA36" s="831"/>
      <c r="AB36" s="831"/>
      <c r="AC36" s="831"/>
    </row>
    <row r="37" spans="1:29" ht="15">
      <c r="A37" s="793" t="s">
        <v>937</v>
      </c>
      <c r="B37" s="794"/>
      <c r="C37" s="1377" t="e">
        <f>R37</f>
        <v>#DIV/0!</v>
      </c>
      <c r="D37" s="1377"/>
      <c r="E37" s="1377"/>
      <c r="F37" s="1377"/>
      <c r="G37" s="1377"/>
      <c r="H37" s="1377"/>
      <c r="I37" s="1377"/>
      <c r="J37" s="1377"/>
      <c r="K37" s="870"/>
      <c r="L37" s="868"/>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31"/>
      <c r="Y37" s="831"/>
      <c r="Z37" s="831"/>
      <c r="AA37" s="831"/>
      <c r="AB37" s="831"/>
      <c r="AC37" s="831"/>
    </row>
    <row r="38" spans="1:29">
      <c r="G38" s="796"/>
    </row>
    <row r="40" spans="1:29" ht="13.5" customHeight="1">
      <c r="C40" s="797" t="s">
        <v>938</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939</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940</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941</v>
      </c>
      <c r="B45" s="831"/>
      <c r="C45" s="832"/>
      <c r="D45" s="832"/>
      <c r="E45" s="832"/>
      <c r="F45" s="833"/>
      <c r="G45" s="833"/>
      <c r="H45" s="832"/>
      <c r="I45" s="832"/>
      <c r="J45" s="832"/>
      <c r="K45" s="1392"/>
      <c r="L45" s="1393"/>
      <c r="M45" s="832"/>
      <c r="N45" s="1394"/>
      <c r="O45" s="1394"/>
      <c r="P45" s="880"/>
      <c r="Q45" s="891"/>
    </row>
    <row r="46" spans="1:29" s="683" customFormat="1" ht="15">
      <c r="A46" s="1378" t="s">
        <v>883</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942</v>
      </c>
      <c r="B48" s="907"/>
      <c r="C48" s="908"/>
      <c r="D48" s="909"/>
      <c r="E48" s="909"/>
      <c r="F48" s="909"/>
      <c r="G48" s="909"/>
      <c r="H48" s="909"/>
      <c r="I48" s="909"/>
      <c r="J48" s="909"/>
      <c r="K48" s="909"/>
      <c r="L48" s="909"/>
      <c r="M48" s="958"/>
      <c r="N48" s="909"/>
      <c r="O48" s="1396"/>
      <c r="P48" s="891"/>
      <c r="Q48" s="891"/>
    </row>
    <row r="49" spans="1:17" s="678" customFormat="1" ht="15">
      <c r="A49" s="910" t="s">
        <v>886</v>
      </c>
      <c r="B49" s="911"/>
      <c r="C49" s="912" t="s">
        <v>887</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943</v>
      </c>
      <c r="B51" s="917" t="s">
        <v>891</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894</v>
      </c>
      <c r="C53" s="922" t="s">
        <v>944</v>
      </c>
      <c r="D53" s="922" t="s">
        <v>945</v>
      </c>
      <c r="E53" s="922" t="s">
        <v>946</v>
      </c>
      <c r="F53" s="922" t="s">
        <v>947</v>
      </c>
      <c r="G53" s="922" t="s">
        <v>948</v>
      </c>
      <c r="H53" s="922" t="s">
        <v>949</v>
      </c>
      <c r="I53" s="922" t="s">
        <v>950</v>
      </c>
      <c r="J53" s="922"/>
      <c r="K53" s="972"/>
      <c r="L53" s="973"/>
      <c r="M53" s="974"/>
      <c r="N53" s="968"/>
      <c r="O53" s="968"/>
      <c r="P53" s="969"/>
      <c r="Q53" s="891"/>
    </row>
    <row r="54" spans="1:17" ht="15">
      <c r="A54" s="918"/>
      <c r="B54" s="923"/>
      <c r="C54" s="924" t="s">
        <v>1489</v>
      </c>
      <c r="D54" s="924" t="s">
        <v>1489</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897</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951</v>
      </c>
      <c r="D65" s="922" t="s">
        <v>952</v>
      </c>
      <c r="E65" s="922" t="s">
        <v>953</v>
      </c>
      <c r="F65" s="922" t="s">
        <v>954</v>
      </c>
      <c r="G65" s="922" t="s">
        <v>955</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901</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1482</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912</v>
      </c>
      <c r="B77" s="917" t="s">
        <v>920</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1503</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1504</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1512</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1513</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1514</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1515</v>
      </c>
      <c r="B1" s="1024"/>
      <c r="C1" s="1025" t="s">
        <v>1516</v>
      </c>
      <c r="D1" s="1024"/>
      <c r="E1" s="1024"/>
      <c r="F1" s="1026" t="s">
        <v>868</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869</v>
      </c>
      <c r="B2" s="1027" t="e">
        <f>F66</f>
        <v>#DIV/0!</v>
      </c>
      <c r="C2" s="1028" t="s">
        <v>1517</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870</v>
      </c>
      <c r="B3" s="1031" t="e">
        <f>ROUND(B2/'数据-取费表'!B5,0)</f>
        <v>#DIV/0!</v>
      </c>
      <c r="C3" s="1028" t="s">
        <v>1192</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872</v>
      </c>
      <c r="B4" s="1033"/>
      <c r="C4" s="3571" t="s">
        <v>873</v>
      </c>
      <c r="D4" s="3572"/>
      <c r="E4" s="3573" t="s">
        <v>874</v>
      </c>
      <c r="F4" s="3574"/>
      <c r="G4" s="3571" t="s">
        <v>875</v>
      </c>
      <c r="H4" s="3572"/>
      <c r="I4" s="3571" t="s">
        <v>876</v>
      </c>
      <c r="J4" s="3572"/>
      <c r="K4" s="1158" t="s">
        <v>877</v>
      </c>
      <c r="L4" s="1159"/>
      <c r="M4" s="1160"/>
      <c r="N4" s="1160"/>
      <c r="O4" s="1160"/>
      <c r="P4" s="3534" t="s">
        <v>878</v>
      </c>
      <c r="Q4" s="3535"/>
      <c r="R4" s="3540" t="s">
        <v>874</v>
      </c>
      <c r="S4" s="3541"/>
      <c r="T4" s="3540" t="s">
        <v>875</v>
      </c>
      <c r="U4" s="3541"/>
      <c r="V4" s="3546" t="s">
        <v>876</v>
      </c>
      <c r="W4" s="3546"/>
      <c r="X4" s="1197"/>
      <c r="Y4" s="3540" t="s">
        <v>878</v>
      </c>
      <c r="Z4" s="3541"/>
      <c r="AA4" s="3531" t="s">
        <v>874</v>
      </c>
      <c r="AB4" s="3532" t="s">
        <v>875</v>
      </c>
      <c r="AC4" s="3531" t="s">
        <v>876</v>
      </c>
    </row>
    <row r="5" spans="1:30" ht="15">
      <c r="A5" s="1034"/>
      <c r="B5" s="1035"/>
      <c r="C5" s="3575" t="s">
        <v>879</v>
      </c>
      <c r="D5" s="3576"/>
      <c r="E5" s="3610" t="s">
        <v>1477</v>
      </c>
      <c r="F5" s="3578"/>
      <c r="G5" s="3575" t="s">
        <v>1478</v>
      </c>
      <c r="H5" s="3576"/>
      <c r="I5" s="3575" t="s">
        <v>1479</v>
      </c>
      <c r="J5" s="3576"/>
      <c r="K5" s="1158"/>
      <c r="L5" s="1159"/>
      <c r="M5" s="1160"/>
      <c r="N5" s="1160"/>
      <c r="O5" s="1160"/>
      <c r="P5" s="3536"/>
      <c r="Q5" s="3537"/>
      <c r="R5" s="3542"/>
      <c r="S5" s="3543"/>
      <c r="T5" s="3542"/>
      <c r="U5" s="3543"/>
      <c r="V5" s="3546"/>
      <c r="W5" s="3546"/>
      <c r="X5" s="1197"/>
      <c r="Y5" s="3542"/>
      <c r="Z5" s="3543"/>
      <c r="AA5" s="3532"/>
      <c r="AB5" s="3532"/>
      <c r="AC5" s="3532"/>
    </row>
    <row r="6" spans="1:30" ht="15">
      <c r="A6" s="1036"/>
      <c r="B6" s="1037"/>
      <c r="C6" s="3566" t="s">
        <v>881</v>
      </c>
      <c r="D6" s="3567"/>
      <c r="E6" s="3568" t="s">
        <v>881</v>
      </c>
      <c r="F6" s="3569"/>
      <c r="G6" s="3566" t="s">
        <v>881</v>
      </c>
      <c r="H6" s="3567"/>
      <c r="I6" s="3566" t="s">
        <v>881</v>
      </c>
      <c r="J6" s="3567"/>
      <c r="K6" s="1158" t="s">
        <v>882</v>
      </c>
      <c r="L6" s="1159"/>
      <c r="M6" s="1160"/>
      <c r="N6" s="1160"/>
      <c r="O6" s="1160"/>
      <c r="P6" s="3538"/>
      <c r="Q6" s="3539"/>
      <c r="R6" s="3542"/>
      <c r="S6" s="3543"/>
      <c r="T6" s="3544"/>
      <c r="U6" s="3545"/>
      <c r="V6" s="3546"/>
      <c r="W6" s="3546"/>
      <c r="X6" s="1197"/>
      <c r="Y6" s="3544"/>
      <c r="Z6" s="3545"/>
      <c r="AA6" s="3533"/>
      <c r="AB6" s="3533"/>
      <c r="AC6" s="3533"/>
    </row>
    <row r="7" spans="1:30" s="1014" customFormat="1" ht="15">
      <c r="A7" s="1038" t="s">
        <v>883</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4" t="s">
        <v>884</v>
      </c>
      <c r="Q7" s="3570"/>
      <c r="R7" s="1199" t="s">
        <v>885</v>
      </c>
      <c r="S7" s="1200">
        <f t="shared" ref="S7:S15" si="0">F7</f>
        <v>0</v>
      </c>
      <c r="T7" s="1199" t="s">
        <v>885</v>
      </c>
      <c r="U7" s="1200">
        <f t="shared" ref="U7:U15" si="1">H7</f>
        <v>0</v>
      </c>
      <c r="V7" s="1199" t="s">
        <v>885</v>
      </c>
      <c r="W7" s="1200">
        <f t="shared" ref="W7:W15" si="2">J7</f>
        <v>0</v>
      </c>
      <c r="X7" s="1201"/>
      <c r="Y7" s="3554" t="s">
        <v>884</v>
      </c>
      <c r="Z7" s="3555"/>
      <c r="AA7" s="1214" t="e">
        <f>D7/F7</f>
        <v>#DIV/0!</v>
      </c>
      <c r="AB7" s="1214" t="e">
        <f>D7/H7</f>
        <v>#DIV/0!</v>
      </c>
      <c r="AC7" s="1214" t="e">
        <f>D7/J7</f>
        <v>#DIV/0!</v>
      </c>
    </row>
    <row r="8" spans="1:30" s="1014" customFormat="1" ht="15">
      <c r="A8" s="1038" t="s">
        <v>886</v>
      </c>
      <c r="B8" s="1039"/>
      <c r="C8" s="1045" t="s">
        <v>887</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4" t="s">
        <v>889</v>
      </c>
      <c r="Q8" s="3555"/>
      <c r="R8" s="1199" t="s">
        <v>885</v>
      </c>
      <c r="S8" s="1200">
        <f t="shared" si="0"/>
        <v>0</v>
      </c>
      <c r="T8" s="1199" t="s">
        <v>885</v>
      </c>
      <c r="U8" s="1200">
        <f t="shared" si="1"/>
        <v>0</v>
      </c>
      <c r="V8" s="1199" t="s">
        <v>885</v>
      </c>
      <c r="W8" s="1200">
        <f t="shared" si="2"/>
        <v>0</v>
      </c>
      <c r="X8" s="1201"/>
      <c r="Y8" s="3554" t="s">
        <v>889</v>
      </c>
      <c r="Z8" s="3555"/>
      <c r="AA8" s="1214" t="e">
        <f t="shared" ref="AA8:AA45" si="3">D8/F8</f>
        <v>#DIV/0!</v>
      </c>
      <c r="AB8" s="1214" t="e">
        <f t="shared" ref="AB8:AB45" si="4">D8/H8</f>
        <v>#DIV/0!</v>
      </c>
      <c r="AC8" s="1214" t="e">
        <f t="shared" ref="AC8:AC45" si="5">D8/J8</f>
        <v>#DIV/0!</v>
      </c>
    </row>
    <row r="9" spans="1:30" s="1014" customFormat="1">
      <c r="A9" s="1046" t="s">
        <v>890</v>
      </c>
      <c r="B9" s="1047" t="s">
        <v>891</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892</v>
      </c>
      <c r="Q9" s="1203" t="str">
        <f t="shared" ref="Q9:Q15" si="6">B9</f>
        <v>用途</v>
      </c>
      <c r="R9" s="1199" t="s">
        <v>885</v>
      </c>
      <c r="S9" s="1200">
        <f t="shared" si="0"/>
        <v>100</v>
      </c>
      <c r="T9" s="1199" t="s">
        <v>885</v>
      </c>
      <c r="U9" s="1200">
        <f t="shared" si="1"/>
        <v>100</v>
      </c>
      <c r="V9" s="1199" t="s">
        <v>885</v>
      </c>
      <c r="W9" s="1200">
        <f t="shared" si="2"/>
        <v>100</v>
      </c>
      <c r="X9" s="1201"/>
      <c r="Y9" s="3412" t="s">
        <v>893</v>
      </c>
      <c r="Z9" s="1215" t="str">
        <f t="shared" ref="Z9:Z15" si="7">Q9</f>
        <v>用途</v>
      </c>
      <c r="AA9" s="1214">
        <f t="shared" si="3"/>
        <v>1</v>
      </c>
      <c r="AB9" s="1214">
        <f t="shared" si="4"/>
        <v>1</v>
      </c>
      <c r="AC9" s="1214">
        <f t="shared" si="5"/>
        <v>1</v>
      </c>
    </row>
    <row r="10" spans="1:30" s="1015" customFormat="1" ht="27">
      <c r="A10" s="1050"/>
      <c r="B10" s="1051" t="s">
        <v>894</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885</v>
      </c>
      <c r="S10" s="1200">
        <f t="shared" si="0"/>
        <v>115</v>
      </c>
      <c r="T10" s="1199" t="s">
        <v>885</v>
      </c>
      <c r="U10" s="1200">
        <f t="shared" si="1"/>
        <v>115</v>
      </c>
      <c r="V10" s="1199" t="s">
        <v>885</v>
      </c>
      <c r="W10" s="1200">
        <f t="shared" si="2"/>
        <v>115</v>
      </c>
      <c r="X10" s="1201"/>
      <c r="Y10" s="3412"/>
      <c r="Z10" s="1215" t="str">
        <f t="shared" si="7"/>
        <v>土地使用年限（年）</v>
      </c>
      <c r="AA10" s="1214">
        <f t="shared" si="3"/>
        <v>0.86956521739130432</v>
      </c>
      <c r="AB10" s="1214">
        <f t="shared" si="4"/>
        <v>0.86956521739130432</v>
      </c>
      <c r="AC10" s="1214">
        <f t="shared" si="5"/>
        <v>0.86956521739130432</v>
      </c>
    </row>
    <row r="11" spans="1:30" ht="15">
      <c r="A11" s="483"/>
      <c r="B11" s="1051" t="s">
        <v>896</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885</v>
      </c>
      <c r="S11" s="1200" t="e">
        <f t="shared" si="0"/>
        <v>#N/A</v>
      </c>
      <c r="T11" s="1199" t="s">
        <v>885</v>
      </c>
      <c r="U11" s="1200" t="e">
        <f t="shared" si="1"/>
        <v>#N/A</v>
      </c>
      <c r="V11" s="1199" t="s">
        <v>885</v>
      </c>
      <c r="W11" s="1200" t="e">
        <f t="shared" si="2"/>
        <v>#N/A</v>
      </c>
      <c r="X11" s="1201"/>
      <c r="Y11" s="3412"/>
      <c r="Z11" s="1215" t="str">
        <f t="shared" si="7"/>
        <v>容积率</v>
      </c>
      <c r="AA11" s="1214" t="e">
        <f t="shared" si="3"/>
        <v>#N/A</v>
      </c>
      <c r="AB11" s="1214" t="e">
        <f t="shared" si="4"/>
        <v>#N/A</v>
      </c>
      <c r="AC11" s="1214" t="e">
        <f t="shared" si="5"/>
        <v>#N/A</v>
      </c>
    </row>
    <row r="12" spans="1:30" s="1014" customFormat="1" ht="15">
      <c r="A12" s="1058"/>
      <c r="B12" s="1059" t="s">
        <v>1518</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885</v>
      </c>
      <c r="S12" s="1200">
        <f t="shared" si="0"/>
        <v>100</v>
      </c>
      <c r="T12" s="1199" t="s">
        <v>885</v>
      </c>
      <c r="U12" s="1200">
        <f t="shared" si="1"/>
        <v>100</v>
      </c>
      <c r="V12" s="1199" t="s">
        <v>885</v>
      </c>
      <c r="W12" s="1200">
        <f t="shared" si="2"/>
        <v>100</v>
      </c>
      <c r="X12" s="1201"/>
      <c r="Y12" s="3412"/>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885</v>
      </c>
      <c r="S13" s="1200">
        <f t="shared" si="0"/>
        <v>100</v>
      </c>
      <c r="T13" s="1199" t="s">
        <v>885</v>
      </c>
      <c r="U13" s="1200">
        <f t="shared" si="1"/>
        <v>100</v>
      </c>
      <c r="V13" s="1199" t="s">
        <v>885</v>
      </c>
      <c r="W13" s="1200">
        <f t="shared" si="2"/>
        <v>100</v>
      </c>
      <c r="X13" s="1201"/>
      <c r="Y13" s="3412"/>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885</v>
      </c>
      <c r="S14" s="1200">
        <f t="shared" si="0"/>
        <v>100</v>
      </c>
      <c r="T14" s="1199" t="s">
        <v>885</v>
      </c>
      <c r="U14" s="1200">
        <f t="shared" si="1"/>
        <v>100</v>
      </c>
      <c r="V14" s="1199" t="s">
        <v>885</v>
      </c>
      <c r="W14" s="1200">
        <f t="shared" si="2"/>
        <v>100</v>
      </c>
      <c r="X14" s="1201"/>
      <c r="Y14" s="3412"/>
      <c r="Z14" s="1215">
        <f t="shared" si="7"/>
        <v>111</v>
      </c>
      <c r="AA14" s="1214">
        <f t="shared" si="3"/>
        <v>1</v>
      </c>
      <c r="AB14" s="1214">
        <f t="shared" si="4"/>
        <v>1</v>
      </c>
      <c r="AC14" s="1214">
        <f t="shared" si="5"/>
        <v>1</v>
      </c>
    </row>
    <row r="15" spans="1:30" ht="99.75">
      <c r="A15" s="1032" t="s">
        <v>897</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62" t="s">
        <v>898</v>
      </c>
      <c r="Q15" s="470" t="str">
        <f t="shared" si="6"/>
        <v>居住社区成熟度</v>
      </c>
      <c r="R15" s="1204" t="s">
        <v>885</v>
      </c>
      <c r="S15" s="1205">
        <f t="shared" si="0"/>
        <v>100</v>
      </c>
      <c r="T15" s="1204" t="s">
        <v>885</v>
      </c>
      <c r="U15" s="1205">
        <f t="shared" si="1"/>
        <v>100</v>
      </c>
      <c r="V15" s="1204" t="s">
        <v>885</v>
      </c>
      <c r="W15" s="1205">
        <f t="shared" si="2"/>
        <v>100</v>
      </c>
      <c r="X15" s="1197"/>
      <c r="Y15" s="3562" t="s">
        <v>898</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63"/>
      <c r="Q16" s="470"/>
      <c r="R16" s="1204"/>
      <c r="S16" s="1205"/>
      <c r="T16" s="1204"/>
      <c r="U16" s="1205"/>
      <c r="V16" s="1204"/>
      <c r="W16" s="1205"/>
      <c r="X16" s="1197"/>
      <c r="Y16" s="356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63"/>
      <c r="Q17" s="470" t="str">
        <f>B17</f>
        <v>商业繁华度</v>
      </c>
      <c r="R17" s="1204" t="s">
        <v>885</v>
      </c>
      <c r="S17" s="1205">
        <f>F17</f>
        <v>100</v>
      </c>
      <c r="T17" s="1204" t="s">
        <v>885</v>
      </c>
      <c r="U17" s="1205">
        <f>H17</f>
        <v>100</v>
      </c>
      <c r="V17" s="1204" t="s">
        <v>885</v>
      </c>
      <c r="W17" s="1205">
        <f>J17</f>
        <v>100</v>
      </c>
      <c r="X17" s="1197"/>
      <c r="Y17" s="356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63"/>
      <c r="Q18" s="470"/>
      <c r="R18" s="1204"/>
      <c r="S18" s="1205"/>
      <c r="T18" s="1204"/>
      <c r="U18" s="1205"/>
      <c r="V18" s="1204"/>
      <c r="W18" s="1205"/>
      <c r="X18" s="1197"/>
      <c r="Y18" s="356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63"/>
      <c r="Q19" s="470" t="str">
        <f>B19</f>
        <v>办公集聚程度</v>
      </c>
      <c r="R19" s="1204" t="s">
        <v>885</v>
      </c>
      <c r="S19" s="1205">
        <f>F19</f>
        <v>100</v>
      </c>
      <c r="T19" s="1204" t="s">
        <v>885</v>
      </c>
      <c r="U19" s="1205">
        <f>H19</f>
        <v>100</v>
      </c>
      <c r="V19" s="1204" t="s">
        <v>885</v>
      </c>
      <c r="W19" s="1205">
        <f>J19</f>
        <v>100</v>
      </c>
      <c r="X19" s="1197"/>
      <c r="Y19" s="356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63"/>
      <c r="Q20" s="470"/>
      <c r="R20" s="1204"/>
      <c r="S20" s="1205"/>
      <c r="T20" s="1204"/>
      <c r="U20" s="1205"/>
      <c r="V20" s="1204"/>
      <c r="W20" s="1205"/>
      <c r="X20" s="1197"/>
      <c r="Y20" s="356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63"/>
      <c r="Q21" s="470" t="str">
        <f>B21</f>
        <v>交通便捷度</v>
      </c>
      <c r="R21" s="1204" t="s">
        <v>885</v>
      </c>
      <c r="S21" s="1205">
        <f>F21</f>
        <v>100</v>
      </c>
      <c r="T21" s="1204" t="s">
        <v>885</v>
      </c>
      <c r="U21" s="1205">
        <f>H21</f>
        <v>100</v>
      </c>
      <c r="V21" s="1204" t="s">
        <v>885</v>
      </c>
      <c r="W21" s="1205">
        <f>J21</f>
        <v>100</v>
      </c>
      <c r="X21" s="1197"/>
      <c r="Y21" s="356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63"/>
      <c r="Q22" s="470"/>
      <c r="R22" s="1204"/>
      <c r="S22" s="1205"/>
      <c r="T22" s="1204"/>
      <c r="U22" s="1205"/>
      <c r="V22" s="1204"/>
      <c r="W22" s="1205"/>
      <c r="X22" s="1197"/>
      <c r="Y22" s="356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63"/>
      <c r="Q23" s="470" t="str">
        <f t="shared" ref="Q23:Q38" si="8">B23</f>
        <v>区域土地利用方向</v>
      </c>
      <c r="R23" s="1204" t="s">
        <v>885</v>
      </c>
      <c r="S23" s="1205">
        <f>F23</f>
        <v>100</v>
      </c>
      <c r="T23" s="1204" t="s">
        <v>885</v>
      </c>
      <c r="U23" s="1205">
        <f>H23</f>
        <v>100</v>
      </c>
      <c r="V23" s="1204" t="s">
        <v>885</v>
      </c>
      <c r="W23" s="1205">
        <f>J23</f>
        <v>100</v>
      </c>
      <c r="X23" s="1197"/>
      <c r="Y23" s="356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63"/>
      <c r="Q24" s="470"/>
      <c r="R24" s="1204"/>
      <c r="S24" s="1205"/>
      <c r="T24" s="1204"/>
      <c r="U24" s="1205"/>
      <c r="V24" s="1204"/>
      <c r="W24" s="1205"/>
      <c r="X24" s="1197"/>
      <c r="Y24" s="3563"/>
      <c r="Z24" s="1196"/>
      <c r="AA24" s="1216"/>
      <c r="AB24" s="1216"/>
      <c r="AC24" s="1216"/>
    </row>
    <row r="25" spans="1:29" ht="57">
      <c r="A25" s="1034"/>
      <c r="B25" s="1087" t="s">
        <v>1519</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63"/>
      <c r="Q25" s="470" t="str">
        <f t="shared" si="8"/>
        <v>自然及人文环境状况</v>
      </c>
      <c r="R25" s="1204" t="s">
        <v>885</v>
      </c>
      <c r="S25" s="1205">
        <f>F25</f>
        <v>100</v>
      </c>
      <c r="T25" s="1204" t="s">
        <v>885</v>
      </c>
      <c r="U25" s="1205">
        <f>H25</f>
        <v>100</v>
      </c>
      <c r="V25" s="1204" t="s">
        <v>885</v>
      </c>
      <c r="W25" s="1205">
        <f>J25</f>
        <v>100</v>
      </c>
      <c r="X25" s="1197"/>
      <c r="Y25" s="356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63"/>
      <c r="Q26" s="470"/>
      <c r="R26" s="1204"/>
      <c r="S26" s="1205"/>
      <c r="T26" s="1204"/>
      <c r="U26" s="1205"/>
      <c r="V26" s="1204"/>
      <c r="W26" s="1205"/>
      <c r="X26" s="1197"/>
      <c r="Y26" s="356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63"/>
      <c r="Q27" s="1203" t="str">
        <f t="shared" ref="Q27" si="9">B27</f>
        <v>公共配套设施</v>
      </c>
      <c r="R27" s="1199" t="s">
        <v>885</v>
      </c>
      <c r="S27" s="1200">
        <f>F27</f>
        <v>100</v>
      </c>
      <c r="T27" s="1199" t="s">
        <v>885</v>
      </c>
      <c r="U27" s="1200">
        <f>H27</f>
        <v>100</v>
      </c>
      <c r="V27" s="1199" t="s">
        <v>885</v>
      </c>
      <c r="W27" s="1200">
        <f>J27</f>
        <v>100</v>
      </c>
      <c r="X27" s="1197"/>
      <c r="Y27" s="356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63"/>
      <c r="Q28" s="470"/>
      <c r="R28" s="1204"/>
      <c r="S28" s="1205"/>
      <c r="T28" s="1204"/>
      <c r="U28" s="1205"/>
      <c r="V28" s="1204"/>
      <c r="W28" s="1205"/>
      <c r="X28" s="1197"/>
      <c r="Y28" s="356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63"/>
      <c r="Q29" s="1203" t="str">
        <f t="shared" si="8"/>
        <v>基础设施水平</v>
      </c>
      <c r="R29" s="1199" t="s">
        <v>885</v>
      </c>
      <c r="S29" s="1200">
        <f>F29</f>
        <v>100</v>
      </c>
      <c r="T29" s="1199" t="s">
        <v>885</v>
      </c>
      <c r="U29" s="1200">
        <f>H29</f>
        <v>100</v>
      </c>
      <c r="V29" s="1199" t="s">
        <v>885</v>
      </c>
      <c r="W29" s="1200">
        <f>J29</f>
        <v>100</v>
      </c>
      <c r="X29" s="1201"/>
      <c r="Y29" s="356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63"/>
      <c r="Q30" s="1203"/>
      <c r="R30" s="1199"/>
      <c r="S30" s="1200"/>
      <c r="T30" s="1199"/>
      <c r="U30" s="1200"/>
      <c r="V30" s="1199"/>
      <c r="W30" s="1200"/>
      <c r="X30" s="1201"/>
      <c r="Y30" s="356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63"/>
      <c r="Q31" s="470" t="str">
        <f t="shared" si="8"/>
        <v>临街状况</v>
      </c>
      <c r="R31" s="1204" t="s">
        <v>885</v>
      </c>
      <c r="S31" s="1205">
        <f t="shared" ref="S31:S45" si="10">F31</f>
        <v>100</v>
      </c>
      <c r="T31" s="1204" t="s">
        <v>885</v>
      </c>
      <c r="U31" s="1205">
        <f t="shared" ref="U31:U45" si="11">H31</f>
        <v>100</v>
      </c>
      <c r="V31" s="1204" t="s">
        <v>885</v>
      </c>
      <c r="W31" s="1205">
        <f t="shared" ref="W31:W45" si="12">J31</f>
        <v>100</v>
      </c>
      <c r="X31" s="1197"/>
      <c r="Y31" s="3563"/>
      <c r="Z31" s="1196" t="str">
        <f t="shared" ref="Z31:Z45" si="13">Q31</f>
        <v>临街状况</v>
      </c>
      <c r="AA31" s="1216">
        <f t="shared" si="3"/>
        <v>1</v>
      </c>
      <c r="AB31" s="1216">
        <f t="shared" si="4"/>
        <v>1</v>
      </c>
      <c r="AC31" s="1216">
        <f t="shared" si="5"/>
        <v>1</v>
      </c>
    </row>
    <row r="32" spans="1:29" ht="27">
      <c r="A32" s="1034"/>
      <c r="B32" s="1087" t="s">
        <v>1492</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63"/>
      <c r="Q32" s="470" t="str">
        <f t="shared" si="8"/>
        <v>毗邻道路的类型与等级</v>
      </c>
      <c r="R32" s="1204" t="s">
        <v>885</v>
      </c>
      <c r="S32" s="1205">
        <f t="shared" si="10"/>
        <v>100</v>
      </c>
      <c r="T32" s="1204" t="s">
        <v>885</v>
      </c>
      <c r="U32" s="1205">
        <f t="shared" si="11"/>
        <v>100</v>
      </c>
      <c r="V32" s="1204" t="s">
        <v>885</v>
      </c>
      <c r="W32" s="1205">
        <f t="shared" si="12"/>
        <v>100</v>
      </c>
      <c r="X32" s="1197"/>
      <c r="Y32" s="356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63"/>
      <c r="Q33" s="470"/>
      <c r="R33" s="1204"/>
      <c r="S33" s="1205"/>
      <c r="T33" s="1204"/>
      <c r="U33" s="1205"/>
      <c r="V33" s="1204"/>
      <c r="W33" s="1205"/>
      <c r="X33" s="1197"/>
      <c r="Y33" s="3563"/>
      <c r="Z33" s="1196"/>
      <c r="AA33" s="1216">
        <v>1</v>
      </c>
      <c r="AB33" s="1216">
        <v>1</v>
      </c>
      <c r="AC33" s="1216">
        <v>1</v>
      </c>
    </row>
    <row r="34" spans="1:29" ht="15">
      <c r="A34" s="1034"/>
      <c r="B34" s="1097" t="s">
        <v>1520</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63"/>
      <c r="Q34" s="470" t="str">
        <f t="shared" si="8"/>
        <v>土地级别</v>
      </c>
      <c r="R34" s="1204" t="s">
        <v>885</v>
      </c>
      <c r="S34" s="1205">
        <f t="shared" si="10"/>
        <v>100</v>
      </c>
      <c r="T34" s="1204" t="s">
        <v>885</v>
      </c>
      <c r="U34" s="1205">
        <f t="shared" si="11"/>
        <v>100</v>
      </c>
      <c r="V34" s="1204" t="s">
        <v>885</v>
      </c>
      <c r="W34" s="1205">
        <f t="shared" si="12"/>
        <v>100</v>
      </c>
      <c r="X34" s="1197"/>
      <c r="Y34" s="356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63"/>
      <c r="Q35" s="470">
        <f t="shared" si="8"/>
        <v>111</v>
      </c>
      <c r="R35" s="1204" t="s">
        <v>885</v>
      </c>
      <c r="S35" s="1205">
        <f t="shared" si="10"/>
        <v>100</v>
      </c>
      <c r="T35" s="1204" t="s">
        <v>885</v>
      </c>
      <c r="U35" s="1205">
        <f t="shared" si="11"/>
        <v>100</v>
      </c>
      <c r="V35" s="1204" t="s">
        <v>885</v>
      </c>
      <c r="W35" s="1205">
        <f t="shared" si="12"/>
        <v>100</v>
      </c>
      <c r="X35" s="1197"/>
      <c r="Y35" s="356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915</v>
      </c>
      <c r="Q36" s="470">
        <f t="shared" si="8"/>
        <v>111</v>
      </c>
      <c r="R36" s="1204" t="s">
        <v>885</v>
      </c>
      <c r="S36" s="1205">
        <f t="shared" si="10"/>
        <v>100</v>
      </c>
      <c r="T36" s="1204" t="s">
        <v>885</v>
      </c>
      <c r="U36" s="1205">
        <f t="shared" si="11"/>
        <v>100</v>
      </c>
      <c r="V36" s="1204" t="s">
        <v>885</v>
      </c>
      <c r="W36" s="1205">
        <f t="shared" si="12"/>
        <v>100</v>
      </c>
      <c r="X36" s="1197"/>
      <c r="Y36" s="3564" t="s">
        <v>915</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64"/>
      <c r="Q37" s="470">
        <f t="shared" si="8"/>
        <v>111</v>
      </c>
      <c r="R37" s="1206" t="s">
        <v>885</v>
      </c>
      <c r="S37" s="1207">
        <f t="shared" si="10"/>
        <v>100</v>
      </c>
      <c r="T37" s="1206" t="s">
        <v>885</v>
      </c>
      <c r="U37" s="1207">
        <f t="shared" si="11"/>
        <v>100</v>
      </c>
      <c r="V37" s="1206" t="s">
        <v>885</v>
      </c>
      <c r="W37" s="1207">
        <f t="shared" si="12"/>
        <v>100</v>
      </c>
      <c r="X37" s="1208"/>
      <c r="Y37" s="3564"/>
      <c r="Z37" s="1217">
        <f t="shared" si="13"/>
        <v>111</v>
      </c>
      <c r="AA37" s="1216">
        <f t="shared" si="3"/>
        <v>1</v>
      </c>
      <c r="AB37" s="1216">
        <f t="shared" si="4"/>
        <v>1</v>
      </c>
      <c r="AC37" s="1216">
        <f t="shared" si="5"/>
        <v>1</v>
      </c>
    </row>
    <row r="38" spans="1:29" ht="15">
      <c r="A38" s="1032" t="s">
        <v>912</v>
      </c>
      <c r="B38" s="1106" t="s">
        <v>1521</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64"/>
      <c r="Q38" s="470" t="str">
        <f t="shared" si="8"/>
        <v>宗地面积</v>
      </c>
      <c r="R38" s="1204" t="s">
        <v>885</v>
      </c>
      <c r="S38" s="1205" t="e">
        <f t="shared" si="10"/>
        <v>#N/A</v>
      </c>
      <c r="T38" s="1204" t="s">
        <v>885</v>
      </c>
      <c r="U38" s="1205" t="e">
        <f t="shared" si="11"/>
        <v>#N/A</v>
      </c>
      <c r="V38" s="1204" t="s">
        <v>885</v>
      </c>
      <c r="W38" s="1205" t="e">
        <f t="shared" si="12"/>
        <v>#N/A</v>
      </c>
      <c r="X38" s="1197"/>
      <c r="Y38" s="3564"/>
      <c r="Z38" s="1196" t="str">
        <f t="shared" si="13"/>
        <v>宗地面积</v>
      </c>
      <c r="AA38" s="1216" t="e">
        <f t="shared" si="3"/>
        <v>#N/A</v>
      </c>
      <c r="AB38" s="1216" t="e">
        <f t="shared" si="4"/>
        <v>#N/A</v>
      </c>
      <c r="AC38" s="1216" t="e">
        <f t="shared" si="5"/>
        <v>#N/A</v>
      </c>
    </row>
    <row r="39" spans="1:29" ht="15">
      <c r="A39" s="1109"/>
      <c r="B39" s="1051" t="s">
        <v>1522</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64"/>
      <c r="Q39" s="470" t="str">
        <f t="shared" ref="Q39:Q45" si="14">B39</f>
        <v>宗地形状</v>
      </c>
      <c r="R39" s="1204" t="s">
        <v>885</v>
      </c>
      <c r="S39" s="1205">
        <f t="shared" si="10"/>
        <v>100</v>
      </c>
      <c r="T39" s="1204" t="s">
        <v>885</v>
      </c>
      <c r="U39" s="1205">
        <f t="shared" si="11"/>
        <v>100</v>
      </c>
      <c r="V39" s="1204" t="s">
        <v>885</v>
      </c>
      <c r="W39" s="1205">
        <f t="shared" si="12"/>
        <v>100</v>
      </c>
      <c r="X39" s="1197"/>
      <c r="Y39" s="3564"/>
      <c r="Z39" s="1196" t="str">
        <f t="shared" si="13"/>
        <v>宗地形状</v>
      </c>
      <c r="AA39" s="1216">
        <f t="shared" si="3"/>
        <v>1</v>
      </c>
      <c r="AB39" s="1216">
        <f t="shared" si="4"/>
        <v>1</v>
      </c>
      <c r="AC39" s="1216">
        <f t="shared" si="5"/>
        <v>1</v>
      </c>
    </row>
    <row r="40" spans="1:29" ht="15">
      <c r="A40" s="1109"/>
      <c r="B40" s="1051" t="s">
        <v>1523</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64"/>
      <c r="Q40" s="470" t="str">
        <f t="shared" si="14"/>
        <v>临街宽度及深度</v>
      </c>
      <c r="R40" s="1204" t="s">
        <v>885</v>
      </c>
      <c r="S40" s="1205">
        <f t="shared" si="10"/>
        <v>100</v>
      </c>
      <c r="T40" s="1204" t="s">
        <v>885</v>
      </c>
      <c r="U40" s="1205">
        <f t="shared" si="11"/>
        <v>100</v>
      </c>
      <c r="V40" s="1204" t="s">
        <v>885</v>
      </c>
      <c r="W40" s="1205">
        <f t="shared" si="12"/>
        <v>100</v>
      </c>
      <c r="X40" s="1197"/>
      <c r="Y40" s="3564"/>
      <c r="Z40" s="1196" t="str">
        <f t="shared" si="13"/>
        <v>临街宽度及深度</v>
      </c>
      <c r="AA40" s="1216">
        <f t="shared" si="3"/>
        <v>1</v>
      </c>
      <c r="AB40" s="1216">
        <f t="shared" si="4"/>
        <v>1</v>
      </c>
      <c r="AC40" s="1216">
        <f t="shared" si="5"/>
        <v>1</v>
      </c>
    </row>
    <row r="41" spans="1:29" s="1014" customFormat="1" ht="15">
      <c r="A41" s="1111"/>
      <c r="B41" s="1051" t="s">
        <v>1524</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64"/>
      <c r="Q41" s="470" t="str">
        <f t="shared" si="14"/>
        <v>宗地开发程度</v>
      </c>
      <c r="R41" s="1199" t="s">
        <v>885</v>
      </c>
      <c r="S41" s="1200">
        <f t="shared" si="10"/>
        <v>100</v>
      </c>
      <c r="T41" s="1199" t="s">
        <v>885</v>
      </c>
      <c r="U41" s="1200">
        <f t="shared" si="11"/>
        <v>100</v>
      </c>
      <c r="V41" s="1199" t="s">
        <v>885</v>
      </c>
      <c r="W41" s="1200">
        <f t="shared" si="12"/>
        <v>100</v>
      </c>
      <c r="X41" s="1201"/>
      <c r="Y41" s="3564"/>
      <c r="Z41" s="1215" t="str">
        <f t="shared" si="13"/>
        <v>宗地开发程度</v>
      </c>
      <c r="AA41" s="1214">
        <f t="shared" si="3"/>
        <v>1</v>
      </c>
      <c r="AB41" s="1214">
        <f t="shared" si="4"/>
        <v>1</v>
      </c>
      <c r="AC41" s="1214">
        <f t="shared" si="5"/>
        <v>1</v>
      </c>
    </row>
    <row r="42" spans="1:29" ht="15">
      <c r="A42" s="1109"/>
      <c r="B42" s="1051" t="s">
        <v>1525</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64" t="s">
        <v>915</v>
      </c>
      <c r="Q42" s="470" t="str">
        <f t="shared" si="14"/>
        <v>工程地质条件</v>
      </c>
      <c r="R42" s="1204" t="s">
        <v>885</v>
      </c>
      <c r="S42" s="1205">
        <f t="shared" si="10"/>
        <v>100</v>
      </c>
      <c r="T42" s="1204" t="s">
        <v>885</v>
      </c>
      <c r="U42" s="1205">
        <f t="shared" si="11"/>
        <v>100</v>
      </c>
      <c r="V42" s="1204" t="s">
        <v>885</v>
      </c>
      <c r="W42" s="1205">
        <f t="shared" si="12"/>
        <v>100</v>
      </c>
      <c r="X42" s="1197"/>
      <c r="Y42" s="3564" t="s">
        <v>915</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64"/>
      <c r="Q43" s="470">
        <f t="shared" si="14"/>
        <v>111</v>
      </c>
      <c r="R43" s="1204" t="s">
        <v>885</v>
      </c>
      <c r="S43" s="1205">
        <f t="shared" si="10"/>
        <v>100</v>
      </c>
      <c r="T43" s="1204" t="s">
        <v>885</v>
      </c>
      <c r="U43" s="1205">
        <f t="shared" si="11"/>
        <v>100</v>
      </c>
      <c r="V43" s="1204" t="s">
        <v>885</v>
      </c>
      <c r="W43" s="1205">
        <f t="shared" si="12"/>
        <v>100</v>
      </c>
      <c r="X43" s="1197"/>
      <c r="Y43" s="356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64"/>
      <c r="Q44" s="470">
        <f t="shared" si="14"/>
        <v>111</v>
      </c>
      <c r="R44" s="1204" t="s">
        <v>885</v>
      </c>
      <c r="S44" s="1205">
        <f t="shared" si="10"/>
        <v>100</v>
      </c>
      <c r="T44" s="1204" t="s">
        <v>885</v>
      </c>
      <c r="U44" s="1205">
        <f t="shared" si="11"/>
        <v>100</v>
      </c>
      <c r="V44" s="1204" t="s">
        <v>885</v>
      </c>
      <c r="W44" s="1205">
        <f t="shared" si="12"/>
        <v>100</v>
      </c>
      <c r="X44" s="1197"/>
      <c r="Y44" s="356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64"/>
      <c r="Q45" s="470">
        <f t="shared" si="14"/>
        <v>111</v>
      </c>
      <c r="R45" s="1206" t="s">
        <v>885</v>
      </c>
      <c r="S45" s="1207">
        <f t="shared" si="10"/>
        <v>100</v>
      </c>
      <c r="T45" s="1206" t="s">
        <v>885</v>
      </c>
      <c r="U45" s="1207">
        <f t="shared" si="11"/>
        <v>100</v>
      </c>
      <c r="V45" s="1206" t="s">
        <v>885</v>
      </c>
      <c r="W45" s="1207">
        <f t="shared" si="12"/>
        <v>100</v>
      </c>
      <c r="X45" s="1208"/>
      <c r="Y45" s="3564"/>
      <c r="Z45" s="1217">
        <f t="shared" si="13"/>
        <v>111</v>
      </c>
      <c r="AA45" s="1216">
        <f t="shared" si="3"/>
        <v>1</v>
      </c>
      <c r="AB45" s="1216">
        <f t="shared" si="4"/>
        <v>1</v>
      </c>
      <c r="AC45" s="1216">
        <f t="shared" si="5"/>
        <v>1</v>
      </c>
    </row>
    <row r="46" spans="1:29" ht="15">
      <c r="A46" s="1117" t="s">
        <v>1508</v>
      </c>
      <c r="B46" s="1118" t="s">
        <v>1526</v>
      </c>
      <c r="C46" s="1119" t="s">
        <v>121</v>
      </c>
      <c r="D46" s="1120"/>
      <c r="E46" s="1121"/>
      <c r="F46" s="1122"/>
      <c r="G46" s="1123"/>
      <c r="H46" s="1124"/>
      <c r="I46" s="1121"/>
      <c r="J46" s="1124"/>
      <c r="K46" s="1187"/>
      <c r="L46" s="1188"/>
      <c r="N46" s="1160"/>
      <c r="P46" s="3547" t="str">
        <f>A46</f>
        <v>成交单价</v>
      </c>
      <c r="Q46" s="3547"/>
      <c r="R46" s="3546">
        <f>E46</f>
        <v>0</v>
      </c>
      <c r="S46" s="3546"/>
      <c r="T46" s="3546">
        <f>G46</f>
        <v>0</v>
      </c>
      <c r="U46" s="3546"/>
      <c r="V46" s="3546">
        <f>I46</f>
        <v>0</v>
      </c>
      <c r="W46" s="3546"/>
      <c r="X46" s="1209"/>
      <c r="Y46" s="1218"/>
      <c r="Z46" s="1209"/>
      <c r="AA46" s="1209"/>
      <c r="AB46" s="1209"/>
      <c r="AC46" s="1209"/>
    </row>
    <row r="47" spans="1:29" ht="15">
      <c r="A47" s="1125" t="s">
        <v>935</v>
      </c>
      <c r="B47" s="1126"/>
      <c r="C47" s="1127" t="e">
        <f>R48</f>
        <v>#DIV/0!</v>
      </c>
      <c r="D47" s="790" t="s">
        <v>936</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5">
      <c r="A48" s="1129" t="s">
        <v>937</v>
      </c>
      <c r="B48" s="1130"/>
      <c r="C48" s="1131" t="e">
        <f>R48</f>
        <v>#DIV/0!</v>
      </c>
      <c r="D48" s="1131"/>
      <c r="E48" s="1131"/>
      <c r="F48" s="1131"/>
      <c r="G48" s="1131"/>
      <c r="H48" s="1131"/>
      <c r="I48" s="1131"/>
      <c r="J48" s="1131"/>
      <c r="K48" s="1189"/>
      <c r="L48" s="1188"/>
      <c r="P48" s="3551" t="str">
        <f>A48</f>
        <v>估价对象XX用房的比较价值（楼面单价，元/平方米）</v>
      </c>
      <c r="Q48" s="355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938</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939</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940</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1527</v>
      </c>
      <c r="B55" s="1137" t="s">
        <v>1528</v>
      </c>
      <c r="C55" s="1138" t="s">
        <v>1529</v>
      </c>
      <c r="D55" s="1139" t="s">
        <v>1530</v>
      </c>
      <c r="E55" s="1140" t="s">
        <v>1531</v>
      </c>
      <c r="F55" s="1141" t="s">
        <v>1532</v>
      </c>
      <c r="G55" s="1142" t="s">
        <v>1533</v>
      </c>
      <c r="H55" s="1142" t="str">
        <f>项目基本情况!G8</f>
        <v>XX</v>
      </c>
      <c r="I55" s="1193" t="s">
        <v>1534</v>
      </c>
      <c r="J55" s="1194"/>
      <c r="K55" s="1195"/>
    </row>
    <row r="56" spans="1:14" s="1018" customFormat="1">
      <c r="A56" s="1143" t="s">
        <v>1535</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1536</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1537</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1538</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1539</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1540</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1541</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1542</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1543</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1544</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1545</v>
      </c>
      <c r="B66" s="1220" t="s">
        <v>1489</v>
      </c>
      <c r="C66" s="1220" t="s">
        <v>1489</v>
      </c>
      <c r="D66" s="1220" t="s">
        <v>1489</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941</v>
      </c>
      <c r="B69" s="1209"/>
      <c r="C69" s="1228"/>
      <c r="D69" s="1228"/>
      <c r="E69" s="1228"/>
      <c r="F69" s="1228"/>
      <c r="G69" s="1228"/>
      <c r="H69" s="1228"/>
      <c r="I69" s="1279"/>
      <c r="J69" s="1279"/>
      <c r="K69" s="1280"/>
      <c r="L69" s="1281"/>
      <c r="M69" s="1279"/>
      <c r="N69" s="1279"/>
      <c r="O69" s="1279"/>
      <c r="P69" s="1282"/>
      <c r="Q69" s="1286"/>
    </row>
    <row r="70" spans="1:17" s="1020" customFormat="1" ht="15">
      <c r="A70" s="1229" t="s">
        <v>1546</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1547</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942</v>
      </c>
      <c r="B72" s="1236"/>
      <c r="C72" s="1237"/>
      <c r="D72" s="1238"/>
      <c r="E72" s="1238"/>
      <c r="F72" s="1238"/>
      <c r="G72" s="1238"/>
      <c r="H72" s="1238"/>
      <c r="I72" s="1238"/>
      <c r="J72" s="1238"/>
      <c r="K72" s="1238"/>
      <c r="L72" s="1238"/>
      <c r="M72" s="1287"/>
      <c r="N72" s="1238"/>
      <c r="O72" s="1288"/>
      <c r="P72" s="1286"/>
      <c r="Q72" s="1286"/>
    </row>
    <row r="73" spans="1:17" s="1014" customFormat="1" ht="15">
      <c r="A73" s="1239" t="s">
        <v>886</v>
      </c>
      <c r="B73" s="1240"/>
      <c r="C73" s="1241" t="s">
        <v>887</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943</v>
      </c>
      <c r="B75" s="1245" t="s">
        <v>891</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894</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896</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897</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1519</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951</v>
      </c>
      <c r="D102" s="1250" t="s">
        <v>952</v>
      </c>
      <c r="E102" s="1250" t="s">
        <v>953</v>
      </c>
      <c r="F102" s="1250" t="s">
        <v>954</v>
      </c>
      <c r="G102" s="1250" t="s">
        <v>955</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1548</v>
      </c>
      <c r="D104" s="1250" t="s">
        <v>1549</v>
      </c>
      <c r="E104" s="1250" t="s">
        <v>1550</v>
      </c>
      <c r="F104" s="1250" t="s">
        <v>1551</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1492</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1520</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912</v>
      </c>
      <c r="B116" s="1245" t="s">
        <v>1521</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1522</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1523</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1524</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1525</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8.75">
      <c r="A7" s="3256" t="s">
        <v>80</v>
      </c>
    </row>
    <row r="8" spans="1:7" ht="18">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2022年2月28日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8">
      <c r="A14" s="3257" t="str">
        <f>IF(项目基本情况!D5="房地产市场价值","——",IF(项目基本情况!F5="房地产抵押价值",定义!C54,IF(项目基本情况!F5="已注销",定义!C55,定义!C56)))</f>
        <v>——</v>
      </c>
      <c r="B14" s="3262"/>
      <c r="C14" s="3262"/>
      <c r="D14" s="3262"/>
      <c r="E14" s="3262"/>
      <c r="F14" s="3262"/>
      <c r="G14" s="3262"/>
    </row>
    <row r="15" spans="1:7" ht="56.25">
      <c r="A15" s="3255" t="s">
        <v>84</v>
      </c>
      <c r="B15" s="3255"/>
      <c r="C15" s="3255"/>
      <c r="D15" s="3255"/>
      <c r="E15" s="3255"/>
      <c r="F15" s="3255"/>
      <c r="G15" s="3255"/>
    </row>
    <row r="16" spans="1:7" ht="18">
      <c r="A16" s="3258" t="str">
        <f>IF(项目基本情况!D5="房地产市场价值","——",IF(项目基本情况!G5="——","",定义!C57))</f>
        <v>——</v>
      </c>
      <c r="B16" s="3262"/>
      <c r="C16" s="3262"/>
      <c r="D16" s="3262"/>
      <c r="E16" s="3262"/>
      <c r="F16" s="3262"/>
      <c r="G16" s="3262"/>
    </row>
    <row r="17" spans="1:1" ht="18.75">
      <c r="A17" s="3254"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1515</v>
      </c>
      <c r="B1" s="688"/>
      <c r="C1" s="689" t="s">
        <v>1496</v>
      </c>
      <c r="D1" s="690"/>
      <c r="E1" s="690"/>
      <c r="F1" s="691" t="s">
        <v>868</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869</v>
      </c>
      <c r="B2" s="693" t="e">
        <f>F61</f>
        <v>#DIV/0!</v>
      </c>
      <c r="C2" s="694" t="s">
        <v>1517</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870</v>
      </c>
      <c r="B3" s="698" t="e">
        <f>ROUND(B2/'数据-取费表'!B5,0)</f>
        <v>#DIV/0!</v>
      </c>
      <c r="C3" s="694" t="s">
        <v>1192</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872</v>
      </c>
      <c r="B4" s="700"/>
      <c r="C4" s="3646" t="s">
        <v>873</v>
      </c>
      <c r="D4" s="3647"/>
      <c r="E4" s="3648" t="s">
        <v>874</v>
      </c>
      <c r="F4" s="3649"/>
      <c r="G4" s="3646" t="s">
        <v>875</v>
      </c>
      <c r="H4" s="3647"/>
      <c r="I4" s="3646" t="s">
        <v>876</v>
      </c>
      <c r="J4" s="3647"/>
      <c r="K4" s="841" t="s">
        <v>877</v>
      </c>
      <c r="L4" s="842"/>
      <c r="M4" s="843"/>
      <c r="N4" s="843"/>
      <c r="O4" s="843"/>
      <c r="P4" s="3615" t="s">
        <v>878</v>
      </c>
      <c r="Q4" s="3616"/>
      <c r="R4" s="3621" t="s">
        <v>874</v>
      </c>
      <c r="S4" s="3622"/>
      <c r="T4" s="3621" t="s">
        <v>875</v>
      </c>
      <c r="U4" s="3622"/>
      <c r="V4" s="3627" t="s">
        <v>876</v>
      </c>
      <c r="W4" s="3627"/>
      <c r="X4" s="881"/>
      <c r="Y4" s="3621" t="s">
        <v>878</v>
      </c>
      <c r="Z4" s="3622"/>
      <c r="AA4" s="3612" t="s">
        <v>874</v>
      </c>
      <c r="AB4" s="3613" t="s">
        <v>875</v>
      </c>
      <c r="AC4" s="3612" t="s">
        <v>876</v>
      </c>
    </row>
    <row r="5" spans="1:29" ht="15">
      <c r="A5" s="701"/>
      <c r="B5" s="702"/>
      <c r="C5" s="3650" t="s">
        <v>879</v>
      </c>
      <c r="D5" s="3651"/>
      <c r="E5" s="3652" t="s">
        <v>1477</v>
      </c>
      <c r="F5" s="3653"/>
      <c r="G5" s="3650" t="s">
        <v>1478</v>
      </c>
      <c r="H5" s="3651"/>
      <c r="I5" s="3650" t="s">
        <v>1479</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881</v>
      </c>
      <c r="D6" s="3642"/>
      <c r="E6" s="3643" t="s">
        <v>881</v>
      </c>
      <c r="F6" s="3644"/>
      <c r="G6" s="3641" t="s">
        <v>881</v>
      </c>
      <c r="H6" s="3642"/>
      <c r="I6" s="3641" t="s">
        <v>881</v>
      </c>
      <c r="J6" s="3642"/>
      <c r="K6" s="841" t="s">
        <v>882</v>
      </c>
      <c r="L6" s="842"/>
      <c r="M6" s="843"/>
      <c r="N6" s="843"/>
      <c r="O6" s="843"/>
      <c r="P6" s="3619"/>
      <c r="Q6" s="3620"/>
      <c r="R6" s="3623"/>
      <c r="S6" s="3624"/>
      <c r="T6" s="3625"/>
      <c r="U6" s="3626"/>
      <c r="V6" s="3627"/>
      <c r="W6" s="3627"/>
      <c r="X6" s="881"/>
      <c r="Y6" s="3625"/>
      <c r="Z6" s="3626"/>
      <c r="AA6" s="3614"/>
      <c r="AB6" s="3614"/>
      <c r="AC6" s="3614"/>
    </row>
    <row r="7" spans="1:29" s="678" customFormat="1" ht="15">
      <c r="A7" s="705" t="s">
        <v>883</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3" t="s">
        <v>884</v>
      </c>
      <c r="Q7" s="3645"/>
      <c r="R7" s="882" t="s">
        <v>885</v>
      </c>
      <c r="S7" s="883">
        <f t="shared" ref="S7:S15" si="0">F7</f>
        <v>0</v>
      </c>
      <c r="T7" s="882" t="s">
        <v>885</v>
      </c>
      <c r="U7" s="883">
        <f t="shared" ref="U7:U15" si="1">H7</f>
        <v>0</v>
      </c>
      <c r="V7" s="882" t="s">
        <v>885</v>
      </c>
      <c r="W7" s="883">
        <f t="shared" ref="W7:W15" si="2">J7</f>
        <v>0</v>
      </c>
      <c r="X7" s="884"/>
      <c r="Y7" s="3633" t="s">
        <v>884</v>
      </c>
      <c r="Z7" s="3634"/>
      <c r="AA7" s="895" t="e">
        <f>D7/F7</f>
        <v>#DIV/0!</v>
      </c>
      <c r="AB7" s="895" t="e">
        <f>D7/H7</f>
        <v>#DIV/0!</v>
      </c>
      <c r="AC7" s="895" t="e">
        <f>D7/J7</f>
        <v>#DIV/0!</v>
      </c>
    </row>
    <row r="8" spans="1:29" s="678" customFormat="1" ht="15">
      <c r="A8" s="705" t="s">
        <v>886</v>
      </c>
      <c r="B8" s="706"/>
      <c r="C8" s="712" t="s">
        <v>887</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3" t="s">
        <v>889</v>
      </c>
      <c r="Q8" s="3634"/>
      <c r="R8" s="882" t="s">
        <v>885</v>
      </c>
      <c r="S8" s="883">
        <f t="shared" si="0"/>
        <v>0</v>
      </c>
      <c r="T8" s="882" t="s">
        <v>885</v>
      </c>
      <c r="U8" s="883">
        <f t="shared" si="1"/>
        <v>0</v>
      </c>
      <c r="V8" s="882" t="s">
        <v>885</v>
      </c>
      <c r="W8" s="883">
        <f t="shared" si="2"/>
        <v>0</v>
      </c>
      <c r="X8" s="884"/>
      <c r="Y8" s="3633" t="s">
        <v>889</v>
      </c>
      <c r="Z8" s="3634"/>
      <c r="AA8" s="895" t="e">
        <f t="shared" ref="AA8:AA40" si="3">D8/F8</f>
        <v>#DIV/0!</v>
      </c>
      <c r="AB8" s="895" t="e">
        <f t="shared" ref="AB8:AB40" si="4">D8/H8</f>
        <v>#DIV/0!</v>
      </c>
      <c r="AC8" s="895" t="e">
        <f t="shared" ref="AC8:AC40" si="5">D8/J8</f>
        <v>#DIV/0!</v>
      </c>
    </row>
    <row r="9" spans="1:29" s="678" customFormat="1">
      <c r="A9" s="713" t="s">
        <v>890</v>
      </c>
      <c r="B9" s="714" t="s">
        <v>891</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8" t="s">
        <v>892</v>
      </c>
      <c r="Q9" s="885" t="str">
        <f t="shared" ref="Q9:Q15" si="6">B9</f>
        <v>用途</v>
      </c>
      <c r="R9" s="882" t="s">
        <v>885</v>
      </c>
      <c r="S9" s="883">
        <f t="shared" si="0"/>
        <v>100</v>
      </c>
      <c r="T9" s="882" t="s">
        <v>885</v>
      </c>
      <c r="U9" s="883">
        <f t="shared" si="1"/>
        <v>100</v>
      </c>
      <c r="V9" s="882" t="s">
        <v>885</v>
      </c>
      <c r="W9" s="883">
        <f t="shared" si="2"/>
        <v>100</v>
      </c>
      <c r="X9" s="884"/>
      <c r="Y9" s="3640" t="s">
        <v>893</v>
      </c>
      <c r="Z9" s="896" t="str">
        <f t="shared" ref="Z9:Z15" si="7">Q9</f>
        <v>用途</v>
      </c>
      <c r="AA9" s="895">
        <f t="shared" si="3"/>
        <v>1</v>
      </c>
      <c r="AB9" s="895">
        <f t="shared" si="4"/>
        <v>1</v>
      </c>
      <c r="AC9" s="895">
        <f t="shared" si="5"/>
        <v>1</v>
      </c>
    </row>
    <row r="10" spans="1:29" s="679" customFormat="1" ht="27">
      <c r="A10" s="717"/>
      <c r="B10" s="718" t="s">
        <v>894</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8"/>
      <c r="Q10" s="885" t="str">
        <f t="shared" si="6"/>
        <v>土地使用年限（年）</v>
      </c>
      <c r="R10" s="882" t="s">
        <v>885</v>
      </c>
      <c r="S10" s="883">
        <f t="shared" si="0"/>
        <v>115</v>
      </c>
      <c r="T10" s="882" t="s">
        <v>885</v>
      </c>
      <c r="U10" s="883">
        <f t="shared" si="1"/>
        <v>115</v>
      </c>
      <c r="V10" s="882" t="s">
        <v>885</v>
      </c>
      <c r="W10" s="883">
        <f t="shared" si="2"/>
        <v>115</v>
      </c>
      <c r="X10" s="884"/>
      <c r="Y10" s="3640"/>
      <c r="Z10" s="896" t="str">
        <f t="shared" si="7"/>
        <v>土地使用年限（年）</v>
      </c>
      <c r="AA10" s="895">
        <f t="shared" si="3"/>
        <v>0.86956521739130432</v>
      </c>
      <c r="AB10" s="895">
        <f t="shared" si="4"/>
        <v>0.86956521739130432</v>
      </c>
      <c r="AC10" s="895">
        <f t="shared" si="5"/>
        <v>0.86956521739130432</v>
      </c>
    </row>
    <row r="11" spans="1:29" ht="15">
      <c r="A11" s="721"/>
      <c r="B11" s="718" t="s">
        <v>896</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8"/>
      <c r="Q11" s="885" t="str">
        <f t="shared" si="6"/>
        <v>容积率</v>
      </c>
      <c r="R11" s="882" t="s">
        <v>885</v>
      </c>
      <c r="S11" s="883" t="e">
        <f t="shared" si="0"/>
        <v>#N/A</v>
      </c>
      <c r="T11" s="882" t="s">
        <v>885</v>
      </c>
      <c r="U11" s="883" t="e">
        <f t="shared" si="1"/>
        <v>#N/A</v>
      </c>
      <c r="V11" s="882" t="s">
        <v>885</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8"/>
      <c r="Q12" s="885">
        <f t="shared" si="6"/>
        <v>111</v>
      </c>
      <c r="R12" s="882" t="s">
        <v>885</v>
      </c>
      <c r="S12" s="883">
        <f t="shared" si="0"/>
        <v>100</v>
      </c>
      <c r="T12" s="882" t="s">
        <v>885</v>
      </c>
      <c r="U12" s="883">
        <f t="shared" si="1"/>
        <v>100</v>
      </c>
      <c r="V12" s="882" t="s">
        <v>885</v>
      </c>
      <c r="W12" s="883">
        <f t="shared" si="2"/>
        <v>100</v>
      </c>
      <c r="X12" s="884"/>
      <c r="Y12" s="3640"/>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8"/>
      <c r="Q13" s="885">
        <f t="shared" si="6"/>
        <v>111</v>
      </c>
      <c r="R13" s="882" t="s">
        <v>885</v>
      </c>
      <c r="S13" s="883">
        <f t="shared" si="0"/>
        <v>100</v>
      </c>
      <c r="T13" s="882" t="s">
        <v>885</v>
      </c>
      <c r="U13" s="883">
        <f t="shared" si="1"/>
        <v>100</v>
      </c>
      <c r="V13" s="882" t="s">
        <v>885</v>
      </c>
      <c r="W13" s="883">
        <f t="shared" si="2"/>
        <v>100</v>
      </c>
      <c r="X13" s="884"/>
      <c r="Y13" s="3640"/>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8"/>
      <c r="Q14" s="885">
        <f t="shared" si="6"/>
        <v>111</v>
      </c>
      <c r="R14" s="882" t="s">
        <v>885</v>
      </c>
      <c r="S14" s="883">
        <f t="shared" si="0"/>
        <v>100</v>
      </c>
      <c r="T14" s="882" t="s">
        <v>885</v>
      </c>
      <c r="U14" s="883">
        <f t="shared" si="1"/>
        <v>100</v>
      </c>
      <c r="V14" s="882" t="s">
        <v>885</v>
      </c>
      <c r="W14" s="883">
        <f t="shared" si="2"/>
        <v>100</v>
      </c>
      <c r="X14" s="884"/>
      <c r="Y14" s="3640"/>
      <c r="Z14" s="896">
        <f t="shared" si="7"/>
        <v>111</v>
      </c>
      <c r="AA14" s="895">
        <f t="shared" si="3"/>
        <v>1</v>
      </c>
      <c r="AB14" s="895">
        <f t="shared" si="4"/>
        <v>1</v>
      </c>
      <c r="AC14" s="895">
        <f t="shared" si="5"/>
        <v>1</v>
      </c>
    </row>
    <row r="15" spans="1:29" ht="57">
      <c r="A15" s="735" t="s">
        <v>897</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35" t="s">
        <v>898</v>
      </c>
      <c r="Q15" s="848" t="str">
        <f t="shared" si="6"/>
        <v>产业集聚程度</v>
      </c>
      <c r="R15" s="886" t="s">
        <v>885</v>
      </c>
      <c r="S15" s="887">
        <f t="shared" si="0"/>
        <v>100</v>
      </c>
      <c r="T15" s="886" t="s">
        <v>885</v>
      </c>
      <c r="U15" s="887">
        <f t="shared" si="1"/>
        <v>100</v>
      </c>
      <c r="V15" s="886" t="s">
        <v>885</v>
      </c>
      <c r="W15" s="887">
        <f t="shared" si="2"/>
        <v>100</v>
      </c>
      <c r="X15" s="881"/>
      <c r="Y15" s="3635" t="s">
        <v>898</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6"/>
      <c r="Q17" s="848" t="str">
        <f>B17</f>
        <v>交通便捷度</v>
      </c>
      <c r="R17" s="886" t="s">
        <v>885</v>
      </c>
      <c r="S17" s="887">
        <f>F17</f>
        <v>100</v>
      </c>
      <c r="T17" s="886" t="s">
        <v>885</v>
      </c>
      <c r="U17" s="887">
        <f>H17</f>
        <v>100</v>
      </c>
      <c r="V17" s="886" t="s">
        <v>885</v>
      </c>
      <c r="W17" s="887">
        <f>J17</f>
        <v>100</v>
      </c>
      <c r="X17" s="881"/>
      <c r="Y17" s="3636"/>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6"/>
      <c r="Q18" s="848"/>
      <c r="R18" s="886"/>
      <c r="S18" s="887"/>
      <c r="T18" s="886"/>
      <c r="U18" s="887"/>
      <c r="V18" s="886"/>
      <c r="W18" s="887"/>
      <c r="X18" s="881"/>
      <c r="Y18" s="3636"/>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6"/>
      <c r="Q19" s="848" t="str">
        <f t="shared" ref="Q19:Q34" si="8">B19</f>
        <v>区域土地利用方向</v>
      </c>
      <c r="R19" s="886" t="s">
        <v>885</v>
      </c>
      <c r="S19" s="887">
        <f>F19</f>
        <v>100</v>
      </c>
      <c r="T19" s="886" t="s">
        <v>885</v>
      </c>
      <c r="U19" s="887">
        <f>H19</f>
        <v>100</v>
      </c>
      <c r="V19" s="886" t="s">
        <v>885</v>
      </c>
      <c r="W19" s="887">
        <f>J19</f>
        <v>100</v>
      </c>
      <c r="X19" s="881"/>
      <c r="Y19" s="3636"/>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6"/>
      <c r="Q20" s="848"/>
      <c r="R20" s="886"/>
      <c r="S20" s="887"/>
      <c r="T20" s="886"/>
      <c r="U20" s="887"/>
      <c r="V20" s="886"/>
      <c r="W20" s="887"/>
      <c r="X20" s="881"/>
      <c r="Y20" s="3636"/>
      <c r="Z20" s="810"/>
      <c r="AA20" s="897"/>
      <c r="AB20" s="897"/>
      <c r="AC20" s="897"/>
    </row>
    <row r="21" spans="1:29" ht="71.25">
      <c r="A21" s="701"/>
      <c r="B21" s="745" t="s">
        <v>1552</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6"/>
      <c r="Q21" s="848" t="str">
        <f t="shared" si="8"/>
        <v>环境状况</v>
      </c>
      <c r="R21" s="886" t="s">
        <v>885</v>
      </c>
      <c r="S21" s="887">
        <f>F21</f>
        <v>100</v>
      </c>
      <c r="T21" s="886" t="s">
        <v>885</v>
      </c>
      <c r="U21" s="887">
        <f>H21</f>
        <v>100</v>
      </c>
      <c r="V21" s="886" t="s">
        <v>885</v>
      </c>
      <c r="W21" s="887">
        <f>J21</f>
        <v>100</v>
      </c>
      <c r="X21" s="881"/>
      <c r="Y21" s="3636"/>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6"/>
      <c r="Q22" s="848"/>
      <c r="R22" s="886"/>
      <c r="S22" s="887"/>
      <c r="T22" s="886"/>
      <c r="U22" s="887"/>
      <c r="V22" s="886"/>
      <c r="W22" s="887"/>
      <c r="X22" s="881"/>
      <c r="Y22" s="3636"/>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6"/>
      <c r="Q23" s="885" t="str">
        <f t="shared" si="8"/>
        <v>公共配套设施</v>
      </c>
      <c r="R23" s="882" t="s">
        <v>885</v>
      </c>
      <c r="S23" s="883">
        <f>F23</f>
        <v>100</v>
      </c>
      <c r="T23" s="882" t="s">
        <v>885</v>
      </c>
      <c r="U23" s="883">
        <f>H23</f>
        <v>100</v>
      </c>
      <c r="V23" s="882" t="s">
        <v>885</v>
      </c>
      <c r="W23" s="883">
        <f>J23</f>
        <v>100</v>
      </c>
      <c r="X23" s="884"/>
      <c r="Y23" s="3636"/>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6"/>
      <c r="Q24" s="885"/>
      <c r="R24" s="882"/>
      <c r="S24" s="883"/>
      <c r="T24" s="882"/>
      <c r="U24" s="883"/>
      <c r="V24" s="882"/>
      <c r="W24" s="883"/>
      <c r="X24" s="884"/>
      <c r="Y24" s="3636"/>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6"/>
      <c r="Q25" s="885" t="str">
        <f t="shared" ref="Q25" si="9">B25</f>
        <v>基础设施水平</v>
      </c>
      <c r="R25" s="882" t="s">
        <v>885</v>
      </c>
      <c r="S25" s="883">
        <f>F25</f>
        <v>100</v>
      </c>
      <c r="T25" s="882" t="s">
        <v>885</v>
      </c>
      <c r="U25" s="883">
        <f>H25</f>
        <v>100</v>
      </c>
      <c r="V25" s="882" t="s">
        <v>885</v>
      </c>
      <c r="W25" s="883">
        <f>J25</f>
        <v>100</v>
      </c>
      <c r="X25" s="884"/>
      <c r="Y25" s="3636"/>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6"/>
      <c r="Q26" s="885"/>
      <c r="R26" s="882"/>
      <c r="S26" s="883"/>
      <c r="T26" s="882"/>
      <c r="U26" s="883"/>
      <c r="V26" s="882"/>
      <c r="W26" s="883"/>
      <c r="X26" s="884"/>
      <c r="Y26" s="3636"/>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6"/>
      <c r="Q27" s="848" t="str">
        <f t="shared" si="8"/>
        <v>临街状况</v>
      </c>
      <c r="R27" s="886" t="s">
        <v>885</v>
      </c>
      <c r="S27" s="887">
        <f t="shared" ref="S27:S40" si="10">F27</f>
        <v>100</v>
      </c>
      <c r="T27" s="886" t="s">
        <v>885</v>
      </c>
      <c r="U27" s="887">
        <f t="shared" ref="U27:U40" si="11">H27</f>
        <v>100</v>
      </c>
      <c r="V27" s="886" t="s">
        <v>885</v>
      </c>
      <c r="W27" s="887">
        <f t="shared" ref="W27:W40" si="12">J27</f>
        <v>100</v>
      </c>
      <c r="X27" s="881"/>
      <c r="Y27" s="3636"/>
      <c r="Z27" s="810" t="str">
        <f t="shared" ref="Z27:Z40" si="13">Q27</f>
        <v>临街状况</v>
      </c>
      <c r="AA27" s="897">
        <f t="shared" si="3"/>
        <v>1</v>
      </c>
      <c r="AB27" s="897">
        <f t="shared" si="4"/>
        <v>1</v>
      </c>
      <c r="AC27" s="897">
        <f t="shared" si="5"/>
        <v>1</v>
      </c>
    </row>
    <row r="28" spans="1:29" ht="27">
      <c r="A28" s="721"/>
      <c r="B28" s="753" t="s">
        <v>1492</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6"/>
      <c r="Q28" s="848" t="str">
        <f t="shared" si="8"/>
        <v>毗邻道路的类型与等级</v>
      </c>
      <c r="R28" s="886" t="s">
        <v>885</v>
      </c>
      <c r="S28" s="887">
        <f t="shared" si="10"/>
        <v>100</v>
      </c>
      <c r="T28" s="886" t="s">
        <v>885</v>
      </c>
      <c r="U28" s="887">
        <f t="shared" si="11"/>
        <v>100</v>
      </c>
      <c r="V28" s="886" t="s">
        <v>885</v>
      </c>
      <c r="W28" s="887">
        <f t="shared" si="12"/>
        <v>100</v>
      </c>
      <c r="X28" s="881"/>
      <c r="Y28" s="3636"/>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6"/>
      <c r="Q29" s="848"/>
      <c r="R29" s="886"/>
      <c r="S29" s="887"/>
      <c r="T29" s="886"/>
      <c r="U29" s="887"/>
      <c r="V29" s="886"/>
      <c r="W29" s="887"/>
      <c r="X29" s="881"/>
      <c r="Y29" s="3636"/>
      <c r="Z29" s="810"/>
      <c r="AA29" s="897">
        <v>1</v>
      </c>
      <c r="AB29" s="897">
        <v>1</v>
      </c>
      <c r="AC29" s="897">
        <v>1</v>
      </c>
    </row>
    <row r="30" spans="1:29" ht="15">
      <c r="A30" s="721"/>
      <c r="B30" s="758" t="s">
        <v>1520</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6"/>
      <c r="Q30" s="848" t="str">
        <f t="shared" si="8"/>
        <v>土地级别</v>
      </c>
      <c r="R30" s="886" t="s">
        <v>885</v>
      </c>
      <c r="S30" s="887">
        <f t="shared" si="10"/>
        <v>100</v>
      </c>
      <c r="T30" s="886" t="s">
        <v>885</v>
      </c>
      <c r="U30" s="887">
        <f t="shared" si="11"/>
        <v>100</v>
      </c>
      <c r="V30" s="886" t="s">
        <v>885</v>
      </c>
      <c r="W30" s="887">
        <f t="shared" si="12"/>
        <v>100</v>
      </c>
      <c r="X30" s="881"/>
      <c r="Y30" s="3636"/>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6"/>
      <c r="Q31" s="848">
        <f t="shared" si="8"/>
        <v>111</v>
      </c>
      <c r="R31" s="886" t="s">
        <v>885</v>
      </c>
      <c r="S31" s="887">
        <f t="shared" si="10"/>
        <v>100</v>
      </c>
      <c r="T31" s="886" t="s">
        <v>885</v>
      </c>
      <c r="U31" s="887">
        <f t="shared" si="11"/>
        <v>100</v>
      </c>
      <c r="V31" s="886" t="s">
        <v>885</v>
      </c>
      <c r="W31" s="887">
        <f t="shared" si="12"/>
        <v>100</v>
      </c>
      <c r="X31" s="881"/>
      <c r="Y31" s="3636"/>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7" t="s">
        <v>915</v>
      </c>
      <c r="Q32" s="848">
        <f t="shared" si="8"/>
        <v>111</v>
      </c>
      <c r="R32" s="886" t="s">
        <v>885</v>
      </c>
      <c r="S32" s="887">
        <f t="shared" si="10"/>
        <v>100</v>
      </c>
      <c r="T32" s="886" t="s">
        <v>885</v>
      </c>
      <c r="U32" s="887">
        <f t="shared" si="11"/>
        <v>100</v>
      </c>
      <c r="V32" s="886" t="s">
        <v>885</v>
      </c>
      <c r="W32" s="887">
        <f t="shared" si="12"/>
        <v>100</v>
      </c>
      <c r="X32" s="881"/>
      <c r="Y32" s="3638" t="s">
        <v>915</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8"/>
      <c r="Q33" s="848">
        <f t="shared" si="8"/>
        <v>111</v>
      </c>
      <c r="R33" s="888" t="s">
        <v>885</v>
      </c>
      <c r="S33" s="889">
        <f t="shared" si="10"/>
        <v>100</v>
      </c>
      <c r="T33" s="888" t="s">
        <v>885</v>
      </c>
      <c r="U33" s="889">
        <f t="shared" si="11"/>
        <v>100</v>
      </c>
      <c r="V33" s="888" t="s">
        <v>885</v>
      </c>
      <c r="W33" s="889">
        <f t="shared" si="12"/>
        <v>100</v>
      </c>
      <c r="X33" s="890"/>
      <c r="Y33" s="3638"/>
      <c r="Z33" s="898">
        <f t="shared" si="13"/>
        <v>111</v>
      </c>
      <c r="AA33" s="897">
        <f t="shared" si="3"/>
        <v>1</v>
      </c>
      <c r="AB33" s="897">
        <f t="shared" si="4"/>
        <v>1</v>
      </c>
      <c r="AC33" s="897">
        <f t="shared" si="5"/>
        <v>1</v>
      </c>
    </row>
    <row r="34" spans="1:29" ht="15">
      <c r="A34" s="769" t="s">
        <v>912</v>
      </c>
      <c r="B34" s="770" t="s">
        <v>1521</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8"/>
      <c r="Q34" s="848" t="str">
        <f t="shared" si="8"/>
        <v>宗地面积</v>
      </c>
      <c r="R34" s="886" t="s">
        <v>885</v>
      </c>
      <c r="S34" s="887" t="e">
        <f t="shared" si="10"/>
        <v>#N/A</v>
      </c>
      <c r="T34" s="886" t="s">
        <v>885</v>
      </c>
      <c r="U34" s="887" t="e">
        <f t="shared" si="11"/>
        <v>#N/A</v>
      </c>
      <c r="V34" s="886" t="s">
        <v>885</v>
      </c>
      <c r="W34" s="887" t="e">
        <f t="shared" si="12"/>
        <v>#N/A</v>
      </c>
      <c r="X34" s="881"/>
      <c r="Y34" s="3638"/>
      <c r="Z34" s="810" t="str">
        <f t="shared" si="13"/>
        <v>宗地面积</v>
      </c>
      <c r="AA34" s="897" t="e">
        <f t="shared" si="3"/>
        <v>#N/A</v>
      </c>
      <c r="AB34" s="897" t="e">
        <f t="shared" si="4"/>
        <v>#N/A</v>
      </c>
      <c r="AC34" s="897" t="e">
        <f t="shared" si="5"/>
        <v>#N/A</v>
      </c>
    </row>
    <row r="35" spans="1:29" ht="15">
      <c r="A35" s="769"/>
      <c r="B35" s="718" t="s">
        <v>1522</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8"/>
      <c r="Q35" s="848" t="str">
        <f t="shared" ref="Q35:Q40" si="14">B35</f>
        <v>宗地形状</v>
      </c>
      <c r="R35" s="886" t="s">
        <v>885</v>
      </c>
      <c r="S35" s="887">
        <f t="shared" si="10"/>
        <v>100</v>
      </c>
      <c r="T35" s="886" t="s">
        <v>885</v>
      </c>
      <c r="U35" s="887">
        <f t="shared" si="11"/>
        <v>100</v>
      </c>
      <c r="V35" s="886" t="s">
        <v>885</v>
      </c>
      <c r="W35" s="887">
        <f t="shared" si="12"/>
        <v>100</v>
      </c>
      <c r="X35" s="881"/>
      <c r="Y35" s="3638"/>
      <c r="Z35" s="810" t="str">
        <f t="shared" si="13"/>
        <v>宗地形状</v>
      </c>
      <c r="AA35" s="897">
        <f t="shared" si="3"/>
        <v>1</v>
      </c>
      <c r="AB35" s="897">
        <f t="shared" si="4"/>
        <v>1</v>
      </c>
      <c r="AC35" s="897">
        <f t="shared" si="5"/>
        <v>1</v>
      </c>
    </row>
    <row r="36" spans="1:29" s="678" customFormat="1" ht="15">
      <c r="A36" s="774"/>
      <c r="B36" s="718" t="s">
        <v>1524</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8"/>
      <c r="Q36" s="848" t="str">
        <f t="shared" si="14"/>
        <v>宗地开发程度</v>
      </c>
      <c r="R36" s="882" t="s">
        <v>885</v>
      </c>
      <c r="S36" s="883">
        <f t="shared" si="10"/>
        <v>100</v>
      </c>
      <c r="T36" s="882" t="s">
        <v>885</v>
      </c>
      <c r="U36" s="883">
        <f t="shared" si="11"/>
        <v>100</v>
      </c>
      <c r="V36" s="882" t="s">
        <v>885</v>
      </c>
      <c r="W36" s="883">
        <f t="shared" si="12"/>
        <v>100</v>
      </c>
      <c r="X36" s="884"/>
      <c r="Y36" s="3638"/>
      <c r="Z36" s="896" t="str">
        <f t="shared" si="13"/>
        <v>宗地开发程度</v>
      </c>
      <c r="AA36" s="895">
        <f t="shared" si="3"/>
        <v>1</v>
      </c>
      <c r="AB36" s="895">
        <f t="shared" si="4"/>
        <v>1</v>
      </c>
      <c r="AC36" s="895">
        <f t="shared" si="5"/>
        <v>1</v>
      </c>
    </row>
    <row r="37" spans="1:29" ht="15">
      <c r="A37" s="769"/>
      <c r="B37" s="718" t="s">
        <v>1525</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8" t="s">
        <v>915</v>
      </c>
      <c r="Q37" s="848" t="str">
        <f t="shared" si="14"/>
        <v>工程地质条件</v>
      </c>
      <c r="R37" s="886" t="s">
        <v>885</v>
      </c>
      <c r="S37" s="887">
        <f t="shared" si="10"/>
        <v>100</v>
      </c>
      <c r="T37" s="886" t="s">
        <v>885</v>
      </c>
      <c r="U37" s="887">
        <f t="shared" si="11"/>
        <v>100</v>
      </c>
      <c r="V37" s="886" t="s">
        <v>885</v>
      </c>
      <c r="W37" s="887">
        <f t="shared" si="12"/>
        <v>100</v>
      </c>
      <c r="X37" s="881"/>
      <c r="Y37" s="3638" t="s">
        <v>915</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8"/>
      <c r="Q38" s="848">
        <f t="shared" si="14"/>
        <v>111</v>
      </c>
      <c r="R38" s="886" t="s">
        <v>885</v>
      </c>
      <c r="S38" s="887">
        <f t="shared" si="10"/>
        <v>100</v>
      </c>
      <c r="T38" s="886" t="s">
        <v>885</v>
      </c>
      <c r="U38" s="887">
        <f t="shared" si="11"/>
        <v>100</v>
      </c>
      <c r="V38" s="886" t="s">
        <v>885</v>
      </c>
      <c r="W38" s="887">
        <f t="shared" si="12"/>
        <v>100</v>
      </c>
      <c r="X38" s="881"/>
      <c r="Y38" s="3638"/>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8"/>
      <c r="Q39" s="848">
        <f t="shared" si="14"/>
        <v>111</v>
      </c>
      <c r="R39" s="886" t="s">
        <v>885</v>
      </c>
      <c r="S39" s="887">
        <f t="shared" si="10"/>
        <v>100</v>
      </c>
      <c r="T39" s="886" t="s">
        <v>885</v>
      </c>
      <c r="U39" s="887">
        <f t="shared" si="11"/>
        <v>100</v>
      </c>
      <c r="V39" s="886" t="s">
        <v>885</v>
      </c>
      <c r="W39" s="887">
        <f t="shared" si="12"/>
        <v>100</v>
      </c>
      <c r="X39" s="881"/>
      <c r="Y39" s="3638"/>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8"/>
      <c r="Q40" s="848">
        <f t="shared" si="14"/>
        <v>111</v>
      </c>
      <c r="R40" s="888" t="s">
        <v>885</v>
      </c>
      <c r="S40" s="889">
        <f t="shared" si="10"/>
        <v>100</v>
      </c>
      <c r="T40" s="888" t="s">
        <v>885</v>
      </c>
      <c r="U40" s="889">
        <f t="shared" si="11"/>
        <v>100</v>
      </c>
      <c r="V40" s="888" t="s">
        <v>885</v>
      </c>
      <c r="W40" s="889">
        <f t="shared" si="12"/>
        <v>100</v>
      </c>
      <c r="X40" s="890"/>
      <c r="Y40" s="3638"/>
      <c r="Z40" s="898">
        <f t="shared" si="13"/>
        <v>111</v>
      </c>
      <c r="AA40" s="897">
        <f t="shared" si="3"/>
        <v>1</v>
      </c>
      <c r="AB40" s="897">
        <f t="shared" si="4"/>
        <v>1</v>
      </c>
      <c r="AC40" s="897">
        <f t="shared" si="5"/>
        <v>1</v>
      </c>
    </row>
    <row r="41" spans="1:29" ht="15">
      <c r="A41" s="779" t="s">
        <v>1508</v>
      </c>
      <c r="B41" s="780" t="s">
        <v>1553</v>
      </c>
      <c r="C41" s="781" t="s">
        <v>121</v>
      </c>
      <c r="D41" s="782"/>
      <c r="E41" s="783"/>
      <c r="F41" s="784"/>
      <c r="G41" s="785"/>
      <c r="H41" s="786"/>
      <c r="I41" s="783"/>
      <c r="J41" s="786"/>
      <c r="K41" s="867"/>
      <c r="L41" s="868"/>
      <c r="M41" s="843"/>
      <c r="N41" s="843"/>
      <c r="P41" s="3628" t="str">
        <f>A41</f>
        <v>成交单价</v>
      </c>
      <c r="Q41" s="3628"/>
      <c r="R41" s="3627">
        <f>E41</f>
        <v>0</v>
      </c>
      <c r="S41" s="3627"/>
      <c r="T41" s="3627">
        <f>G41</f>
        <v>0</v>
      </c>
      <c r="U41" s="3627"/>
      <c r="V41" s="3627">
        <f>I41</f>
        <v>0</v>
      </c>
      <c r="W41" s="3627"/>
      <c r="X41" s="831"/>
      <c r="Y41" s="899"/>
      <c r="Z41" s="831"/>
      <c r="AA41" s="831"/>
      <c r="AB41" s="831"/>
      <c r="AC41" s="831"/>
    </row>
    <row r="42" spans="1:29" ht="15">
      <c r="A42" s="787" t="s">
        <v>935</v>
      </c>
      <c r="B42" s="788"/>
      <c r="C42" s="789" t="e">
        <f>R43</f>
        <v>#DIV/0!</v>
      </c>
      <c r="D42" s="790" t="s">
        <v>936</v>
      </c>
      <c r="E42" s="789" t="e">
        <f>R42</f>
        <v>#DIV/0!</v>
      </c>
      <c r="F42" s="791"/>
      <c r="G42" s="792" t="e">
        <f>T42</f>
        <v>#DIV/0!</v>
      </c>
      <c r="H42" s="791"/>
      <c r="I42" s="789" t="e">
        <f>V42</f>
        <v>#DIV/0!</v>
      </c>
      <c r="J42" s="791"/>
      <c r="K42" s="869">
        <f>F42+H42+J42</f>
        <v>0</v>
      </c>
      <c r="L42" s="868"/>
      <c r="M42" s="843"/>
      <c r="N42" s="843"/>
      <c r="P42" s="3628" t="str">
        <f>A42</f>
        <v>比较价值（元/平方米）</v>
      </c>
      <c r="Q42" s="3628"/>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5">
      <c r="A43" s="793" t="s">
        <v>937</v>
      </c>
      <c r="B43" s="794"/>
      <c r="C43" s="795" t="e">
        <f>R43</f>
        <v>#DIV/0!</v>
      </c>
      <c r="D43" s="795"/>
      <c r="E43" s="795"/>
      <c r="F43" s="795"/>
      <c r="G43" s="795"/>
      <c r="H43" s="795"/>
      <c r="I43" s="795"/>
      <c r="J43" s="795"/>
      <c r="K43" s="870"/>
      <c r="L43" s="868"/>
      <c r="M43" s="843"/>
      <c r="N43" s="843"/>
      <c r="P43" s="3630" t="str">
        <f>A43</f>
        <v>估价对象XX用房的比较价值（楼面单价，元/平方米）</v>
      </c>
      <c r="Q43" s="3631"/>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938</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939</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940</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1527</v>
      </c>
      <c r="B50" s="805" t="s">
        <v>1528</v>
      </c>
      <c r="C50" s="806" t="s">
        <v>1529</v>
      </c>
      <c r="D50" s="807" t="s">
        <v>1530</v>
      </c>
      <c r="E50" s="808" t="s">
        <v>1531</v>
      </c>
      <c r="F50" s="809" t="s">
        <v>1532</v>
      </c>
      <c r="G50" s="810" t="s">
        <v>1554</v>
      </c>
      <c r="H50" s="810" t="str">
        <f>项目基本情况!G8</f>
        <v>XX</v>
      </c>
      <c r="I50" s="873" t="s">
        <v>1534</v>
      </c>
      <c r="J50" s="874"/>
      <c r="K50" s="875"/>
    </row>
    <row r="51" spans="1:17" s="682" customFormat="1">
      <c r="A51" s="811" t="s">
        <v>1535</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1536</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1537</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1538</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1539</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1540</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1541</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1542</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1543</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1544</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1545</v>
      </c>
      <c r="B61" s="823" t="s">
        <v>1489</v>
      </c>
      <c r="C61" s="823" t="s">
        <v>1489</v>
      </c>
      <c r="D61" s="823" t="s">
        <v>1489</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941</v>
      </c>
      <c r="B64" s="831"/>
      <c r="C64" s="832"/>
      <c r="D64" s="832"/>
      <c r="E64" s="832"/>
      <c r="F64" s="833"/>
      <c r="G64" s="833"/>
      <c r="H64" s="832"/>
      <c r="I64" s="877"/>
      <c r="J64" s="877"/>
      <c r="K64" s="878"/>
      <c r="L64" s="879"/>
      <c r="M64" s="877"/>
      <c r="N64" s="877"/>
      <c r="O64" s="877"/>
      <c r="P64" s="880"/>
      <c r="Q64" s="891"/>
    </row>
    <row r="65" spans="1:17" s="683" customFormat="1" ht="15">
      <c r="A65" s="900" t="s">
        <v>1546</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1555</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942</v>
      </c>
      <c r="B67" s="907"/>
      <c r="C67" s="908"/>
      <c r="D67" s="909"/>
      <c r="E67" s="909"/>
      <c r="F67" s="909"/>
      <c r="G67" s="909"/>
      <c r="H67" s="909"/>
      <c r="I67" s="909"/>
      <c r="J67" s="909"/>
      <c r="K67" s="909"/>
      <c r="L67" s="909"/>
      <c r="M67" s="958"/>
      <c r="N67" s="909"/>
      <c r="O67" s="959"/>
      <c r="P67" s="891"/>
      <c r="Q67" s="891"/>
    </row>
    <row r="68" spans="1:17" s="678" customFormat="1" ht="15">
      <c r="A68" s="910" t="s">
        <v>886</v>
      </c>
      <c r="B68" s="911"/>
      <c r="C68" s="912" t="s">
        <v>887</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943</v>
      </c>
      <c r="B70" s="917" t="s">
        <v>891</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894</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896</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897</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1519</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951</v>
      </c>
      <c r="D93" s="922" t="s">
        <v>952</v>
      </c>
      <c r="E93" s="922" t="s">
        <v>953</v>
      </c>
      <c r="F93" s="922" t="s">
        <v>954</v>
      </c>
      <c r="G93" s="922" t="s">
        <v>955</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1548</v>
      </c>
      <c r="D95" s="922" t="s">
        <v>1549</v>
      </c>
      <c r="E95" s="922" t="s">
        <v>1550</v>
      </c>
      <c r="F95" s="922" t="s">
        <v>1551</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1492</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1520</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912</v>
      </c>
      <c r="B107" s="917" t="s">
        <v>1521</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1522</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1524</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1525</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1556</v>
      </c>
      <c r="B1" s="386"/>
      <c r="C1" s="387" t="s">
        <v>871</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1557</v>
      </c>
      <c r="S1" s="621" t="s">
        <v>1558</v>
      </c>
      <c r="T1" s="621" t="s">
        <v>1559</v>
      </c>
      <c r="U1" s="621" t="s">
        <v>1560</v>
      </c>
      <c r="V1" s="621" t="s">
        <v>1561</v>
      </c>
      <c r="W1" s="622"/>
      <c r="X1" s="622"/>
      <c r="Y1" s="622"/>
      <c r="Z1" s="622"/>
      <c r="AA1" s="622"/>
      <c r="AB1" s="622"/>
      <c r="AC1" s="622"/>
      <c r="AD1" s="629"/>
      <c r="AE1" s="629"/>
      <c r="AF1" s="629"/>
      <c r="AG1" s="629"/>
      <c r="AH1" s="629"/>
      <c r="AI1" s="629"/>
      <c r="AJ1" s="640"/>
    </row>
    <row r="2" spans="1:36" ht="24.75">
      <c r="A2" s="389" t="s">
        <v>869</v>
      </c>
      <c r="B2" s="390">
        <f>C26</f>
        <v>0</v>
      </c>
      <c r="C2" s="391" t="s">
        <v>1517</v>
      </c>
      <c r="D2" s="392" t="s">
        <v>1562</v>
      </c>
      <c r="E2" s="393" t="s">
        <v>461</v>
      </c>
      <c r="F2" s="392" t="s">
        <v>1563</v>
      </c>
      <c r="G2" s="394">
        <f>项目基本情况!F9</f>
        <v>0</v>
      </c>
      <c r="H2" s="395" t="s">
        <v>1564</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870</v>
      </c>
      <c r="B3" s="390">
        <f>ROUND(B2/D1,0)</f>
        <v>0</v>
      </c>
      <c r="C3" s="391" t="s">
        <v>1192</v>
      </c>
      <c r="D3" s="392" t="s">
        <v>1565</v>
      </c>
      <c r="E3" s="393" t="s">
        <v>1566</v>
      </c>
      <c r="F3" s="396" t="s">
        <v>1567</v>
      </c>
      <c r="G3" s="397">
        <f>项目基本情况!C15</f>
        <v>0</v>
      </c>
      <c r="H3" s="398" t="s">
        <v>1568</v>
      </c>
      <c r="I3" s="554"/>
      <c r="J3" s="550" t="s">
        <v>1569</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74"/>
      <c r="B4" s="3675"/>
      <c r="C4" s="3675"/>
      <c r="D4" s="3676"/>
      <c r="E4" s="3676"/>
      <c r="F4" s="3676"/>
      <c r="G4" s="3676"/>
      <c r="H4" s="3676"/>
      <c r="I4" s="3676"/>
      <c r="J4" s="3677"/>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1570</v>
      </c>
      <c r="B5" s="399" t="s">
        <v>1571</v>
      </c>
      <c r="C5" s="400">
        <f>ROUND(IF(E2="商业",C6*C7+C16,(IF(E2="住宅",C6*C12+C16,C6+C16))),0)</f>
        <v>0</v>
      </c>
      <c r="D5" s="401">
        <f>ROUND(C6+C16,0)</f>
        <v>0</v>
      </c>
      <c r="E5" s="401"/>
      <c r="F5" s="402"/>
      <c r="G5" s="403"/>
      <c r="H5" s="403"/>
      <c r="I5" s="403"/>
      <c r="J5" s="555"/>
      <c r="K5" s="556"/>
      <c r="L5" s="551" t="s">
        <v>1572</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1573</v>
      </c>
      <c r="C6" s="406">
        <f>SUMIF(L1:L12,G2,M1:M12)</f>
        <v>0</v>
      </c>
      <c r="D6" s="407" t="s">
        <v>1574</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9" t="str">
        <f>IF(E2="商业",IF(C8="不临58条商业街","",2),"")</f>
        <v/>
      </c>
      <c r="B7" s="409" t="s">
        <v>1575</v>
      </c>
      <c r="C7" s="410" t="e">
        <f>IF(C8="不临58条商业街",1,ROUND(1+(1.6*E8+1.2*E9+0.8*E10+0.4*E11)*C9,4))</f>
        <v>#DIV/0!</v>
      </c>
      <c r="D7" s="411" t="s">
        <v>1576</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1577</v>
      </c>
      <c r="X7" s="625">
        <f>G2</f>
        <v>0</v>
      </c>
      <c r="Y7" s="625" t="s">
        <v>1567</v>
      </c>
      <c r="Z7" s="632">
        <f>G3</f>
        <v>0</v>
      </c>
      <c r="AA7" s="622"/>
      <c r="AB7" s="622"/>
      <c r="AC7" s="622"/>
      <c r="AD7" s="629"/>
      <c r="AE7" s="629"/>
      <c r="AF7" s="629"/>
      <c r="AG7" s="629"/>
      <c r="AH7" s="629"/>
      <c r="AI7" s="629"/>
      <c r="AJ7" s="640"/>
    </row>
    <row r="8" spans="1:36" ht="15">
      <c r="A8" s="3660"/>
      <c r="B8" s="398" t="s">
        <v>1578</v>
      </c>
      <c r="C8" s="415"/>
      <c r="D8" s="416" t="s">
        <v>1579</v>
      </c>
      <c r="E8" s="417" t="e">
        <f>ROUND(C11/E7,4)</f>
        <v>#DIV/0!</v>
      </c>
      <c r="F8" s="418" t="s">
        <v>1580</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8" t="s">
        <v>1581</v>
      </c>
      <c r="X8" s="3679"/>
      <c r="Y8" s="633" t="s">
        <v>1582</v>
      </c>
      <c r="Z8" s="633" t="s">
        <v>1583</v>
      </c>
      <c r="AA8" s="633" t="s">
        <v>1584</v>
      </c>
      <c r="AB8" s="633" t="s">
        <v>1585</v>
      </c>
      <c r="AC8" s="633" t="s">
        <v>1586</v>
      </c>
      <c r="AD8" s="633" t="s">
        <v>1587</v>
      </c>
      <c r="AE8" s="633" t="s">
        <v>1588</v>
      </c>
      <c r="AF8" s="633" t="s">
        <v>1589</v>
      </c>
      <c r="AG8" s="633" t="s">
        <v>1590</v>
      </c>
      <c r="AH8" s="633" t="s">
        <v>1591</v>
      </c>
      <c r="AI8" s="633" t="s">
        <v>1592</v>
      </c>
      <c r="AJ8" s="633" t="s">
        <v>1593</v>
      </c>
    </row>
    <row r="9" spans="1:36" ht="15">
      <c r="A9" s="3660"/>
      <c r="B9" s="398" t="s">
        <v>1594</v>
      </c>
      <c r="C9" s="420">
        <f>SUMIF(修正!C59:C119,C8,修正!E59:E119)</f>
        <v>0</v>
      </c>
      <c r="D9" s="398" t="s">
        <v>1595</v>
      </c>
      <c r="E9" s="398" t="e">
        <f>ROUND(C11/E7,4)</f>
        <v>#DIV/0!</v>
      </c>
      <c r="F9" s="418" t="s">
        <v>1596</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9" t="s">
        <v>1597</v>
      </c>
      <c r="X9" s="626" t="s">
        <v>1598</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0"/>
      <c r="B10" s="398" t="s">
        <v>1599</v>
      </c>
      <c r="C10" s="398">
        <f>SUMIF(修正!C59:C119,C8,修正!F59:F119)</f>
        <v>0</v>
      </c>
      <c r="D10" s="398" t="s">
        <v>1600</v>
      </c>
      <c r="E10" s="398" t="e">
        <f>ROUND(C11/E7,4)</f>
        <v>#DIV/0!</v>
      </c>
      <c r="F10" s="418" t="s">
        <v>1601</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9"/>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0"/>
      <c r="B11" s="421" t="s">
        <v>1602</v>
      </c>
      <c r="C11" s="421">
        <f>C10/4</f>
        <v>0</v>
      </c>
      <c r="D11" s="421" t="s">
        <v>1603</v>
      </c>
      <c r="E11" s="421" t="e">
        <f>ROUND(C11/E7,4)</f>
        <v>#DIV/0!</v>
      </c>
      <c r="F11" s="422" t="s">
        <v>1604</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9" t="s">
        <v>1605</v>
      </c>
      <c r="X11" s="627" t="s">
        <v>1567</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9">
        <f>IF(E2="住宅",2,"")</f>
        <v>2</v>
      </c>
      <c r="B12" s="424" t="s">
        <v>1606</v>
      </c>
      <c r="C12" s="410">
        <f>ROUND(C15*D15*E15*F15*G15*H15*I15*J15,4)</f>
        <v>1.32</v>
      </c>
      <c r="D12" s="425" t="s">
        <v>1607</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9"/>
      <c r="X12" s="628" t="s">
        <v>1608</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1"/>
      <c r="B13" s="427" t="s">
        <v>1609</v>
      </c>
      <c r="C13" s="428" t="s">
        <v>1610</v>
      </c>
      <c r="D13" s="429" t="s">
        <v>1611</v>
      </c>
      <c r="E13" s="429" t="s">
        <v>1612</v>
      </c>
      <c r="F13" s="430" t="s">
        <v>1613</v>
      </c>
      <c r="G13" s="431" t="s">
        <v>1614</v>
      </c>
      <c r="H13" s="431" t="s">
        <v>1614</v>
      </c>
      <c r="I13" s="431" t="s">
        <v>1614</v>
      </c>
      <c r="J13" s="566" t="s">
        <v>1614</v>
      </c>
      <c r="K13" s="517"/>
      <c r="L13" s="517"/>
      <c r="M13" s="517"/>
      <c r="N13" s="517"/>
      <c r="O13" s="517"/>
      <c r="P13" s="517"/>
      <c r="Q13" s="517"/>
      <c r="R13" s="621">
        <v>12</v>
      </c>
      <c r="S13" s="623"/>
      <c r="T13" s="621">
        <f t="shared" si="1"/>
        <v>0</v>
      </c>
      <c r="U13" s="623"/>
      <c r="V13" s="621">
        <f t="shared" si="2"/>
        <v>0</v>
      </c>
      <c r="W13" s="3679"/>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1"/>
      <c r="B14" s="429"/>
      <c r="C14" s="432" t="s">
        <v>1615</v>
      </c>
      <c r="D14" s="433" t="s">
        <v>1616</v>
      </c>
      <c r="E14" s="433" t="s">
        <v>1616</v>
      </c>
      <c r="F14" s="434" t="s">
        <v>1617</v>
      </c>
      <c r="G14" s="435" t="s">
        <v>1618</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2"/>
      <c r="B15" s="437" t="s">
        <v>1451</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3">
        <f>IF(E2="办公",2,IF(E2="工业",2,IF(E2="住宅",3,IF(E2="商业",IF(C8="不临58条商业街",2,3)))))</f>
        <v>3</v>
      </c>
      <c r="B16" s="440" t="s">
        <v>1619</v>
      </c>
      <c r="C16" s="409">
        <f>ROUND(IF(F17="与级别开发程度一致",0,(G17-E17)/C17),0)</f>
        <v>0</v>
      </c>
      <c r="D16" s="3680" t="s">
        <v>1620</v>
      </c>
      <c r="E16" s="3681"/>
      <c r="F16" s="3680" t="s">
        <v>1621</v>
      </c>
      <c r="G16" s="3681"/>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4"/>
      <c r="B17" s="443" t="s">
        <v>1622</v>
      </c>
      <c r="C17" s="444">
        <f>SUMPRODUCT((修正!A2:A5=E2)*(修正!B1:M1=G2)*(修正!B2:M5))</f>
        <v>0</v>
      </c>
      <c r="D17" s="438" t="str">
        <f>IF(OR(G2="八级",G2="九级",G2="十级",G2="十一级",G2="十二级"),"五通一平","七通一平")</f>
        <v>七通一平</v>
      </c>
      <c r="E17" s="445">
        <f>SUMPRODUCT((修正!B1:M1=G2)*(修正!B15:M15))</f>
        <v>0</v>
      </c>
      <c r="F17" s="446" t="s">
        <v>1623</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1624</v>
      </c>
      <c r="B18" s="449" t="s">
        <v>1625</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1626</v>
      </c>
      <c r="B19" s="453" t="s">
        <v>1627</v>
      </c>
      <c r="C19" s="454">
        <f>ROUND(IF(H19="按公示增长率计算",SUMPRODUCT((地价!A3:A37=YEAR(G19)&amp;"-"&amp;ROUNDUP(MONTH(G19)/3,0))*(地价!X2:AB2=E2)*(地价!X3:AB37)),IF(H19="地价指数",M20/M19,(1+I19)^O19)),4)</f>
        <v>1.7232000000000001</v>
      </c>
      <c r="D19" s="455" t="s">
        <v>1628</v>
      </c>
      <c r="E19" s="456">
        <v>41640</v>
      </c>
      <c r="F19" s="455" t="s">
        <v>1629</v>
      </c>
      <c r="G19" s="457">
        <f>'数据-取费表'!B2</f>
        <v>44620</v>
      </c>
      <c r="H19" s="458" t="s">
        <v>1630</v>
      </c>
      <c r="I19" s="575" t="str">
        <f>IF(H19="季度增幅（自定义）",SUMIF(N21:N24,E2,O21:O24),"")</f>
        <v/>
      </c>
      <c r="J19" s="576"/>
      <c r="K19" s="574"/>
      <c r="L19" s="577" t="s">
        <v>1631</v>
      </c>
      <c r="M19" s="578">
        <f>ROUND(SUMIF(地价!B2:F2,E2,地价!B37:F37),0)</f>
        <v>423</v>
      </c>
      <c r="N19" s="579" t="s">
        <v>1632</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1633</v>
      </c>
      <c r="B20" s="460" t="s">
        <v>1634</v>
      </c>
      <c r="C20" s="461">
        <f>ROUND(POWER(1+G20,J20-I20)*(POWER(1+G20,I20)-1)/(POWER(1+G20,J20)-1),4)</f>
        <v>0.90600000000000003</v>
      </c>
      <c r="D20" s="462" t="s">
        <v>1635</v>
      </c>
      <c r="E20" s="463">
        <f>存贷款利率!E20/100</f>
        <v>4.3499999999999997E-2</v>
      </c>
      <c r="F20" s="462" t="s">
        <v>1636</v>
      </c>
      <c r="G20" s="464">
        <f>SUMIF(M26:P26,E2,M28:P28)</f>
        <v>0.05</v>
      </c>
      <c r="H20" s="462" t="s">
        <v>1637</v>
      </c>
      <c r="I20" s="441">
        <f>'数据-取费表'!B13</f>
        <v>42.82</v>
      </c>
      <c r="J20" s="581">
        <f>IF(E2="住宅",70,IF(E2="商业",40,50))</f>
        <v>70</v>
      </c>
      <c r="K20" s="574"/>
      <c r="L20" s="582" t="s">
        <v>1638</v>
      </c>
      <c r="M20" s="583">
        <f>ROUND(SUMPRODUCT((地价!A4:A37=YEAR(G19)&amp;"-"&amp;ROUNDUP(MONTH(G19)/3,0))*(地价!B2:F2=E2)*(地价!B4:F37)),0)</f>
        <v>729</v>
      </c>
      <c r="N20" s="584" t="s">
        <v>1639</v>
      </c>
      <c r="O20" s="585" t="s">
        <v>1640</v>
      </c>
      <c r="P20" s="586" t="s">
        <v>1641</v>
      </c>
      <c r="Q20" s="574"/>
      <c r="R20" s="517"/>
      <c r="S20" s="517"/>
      <c r="T20" s="517"/>
      <c r="U20" s="517"/>
      <c r="V20" s="517"/>
      <c r="W20" s="517"/>
      <c r="X20" s="384"/>
      <c r="Y20" s="384"/>
      <c r="Z20" s="384"/>
      <c r="AA20" s="384"/>
      <c r="AB20" s="384"/>
      <c r="AC20" s="384"/>
      <c r="AD20" s="384"/>
      <c r="AE20" s="638"/>
      <c r="AF20" s="638"/>
    </row>
    <row r="21" spans="1:35" s="381" customFormat="1" ht="14.25">
      <c r="A21" s="465" t="s">
        <v>1642</v>
      </c>
      <c r="B21" s="466" t="s">
        <v>1643</v>
      </c>
      <c r="C21" s="467">
        <f>IF(B21="容积率修正",IF(G3&lt;=10,D22,J22),C23)</f>
        <v>0</v>
      </c>
      <c r="D21" s="468"/>
      <c r="E21" s="468"/>
      <c r="F21" s="468"/>
      <c r="G21" s="468"/>
      <c r="H21" s="468"/>
      <c r="I21" s="468"/>
      <c r="J21" s="587"/>
      <c r="K21" s="574"/>
      <c r="L21" s="574"/>
      <c r="M21" s="574"/>
      <c r="N21" s="588" t="s">
        <v>1644</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1645</v>
      </c>
      <c r="C22" s="470" t="s">
        <v>1646</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1647</v>
      </c>
      <c r="J22" s="591" t="str">
        <f>IF(G3&gt;10,D113,"——")</f>
        <v>——</v>
      </c>
      <c r="K22" s="574"/>
      <c r="L22" s="574"/>
      <c r="M22" s="574"/>
      <c r="N22" s="588" t="s">
        <v>1648</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1649</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1650</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1651</v>
      </c>
      <c r="B24" s="476" t="s">
        <v>1652</v>
      </c>
      <c r="C24" s="477">
        <f>SUMIF(A46:A88,E2,B46:B88)</f>
        <v>1</v>
      </c>
      <c r="D24" s="478"/>
      <c r="E24" s="479"/>
      <c r="F24" s="479"/>
      <c r="G24" s="479"/>
      <c r="H24" s="479"/>
      <c r="I24" s="479"/>
      <c r="J24" s="592"/>
      <c r="K24" s="574"/>
      <c r="L24" s="574"/>
      <c r="M24" s="574"/>
      <c r="N24" s="593" t="s">
        <v>1653</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1654</v>
      </c>
      <c r="B25" s="480" t="s">
        <v>1655</v>
      </c>
      <c r="C25" s="481"/>
      <c r="D25" s="413"/>
      <c r="E25" s="413"/>
      <c r="F25" s="482"/>
      <c r="G25" s="413"/>
      <c r="H25" s="413"/>
      <c r="I25" s="413"/>
      <c r="J25" s="559"/>
      <c r="K25" s="517"/>
      <c r="L25" s="517"/>
      <c r="M25" s="517"/>
      <c r="N25" s="596" t="s">
        <v>1656</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1657</v>
      </c>
      <c r="C26" s="484">
        <f>IF(B21="容积率修正",E29+SUM(E33:E39),SUM(V2:V16)+SUM(E33:E39))</f>
        <v>0</v>
      </c>
      <c r="D26" s="485"/>
      <c r="E26" s="436"/>
      <c r="F26" s="486"/>
      <c r="G26" s="436"/>
      <c r="H26" s="436"/>
      <c r="I26" s="436"/>
      <c r="J26" s="599"/>
      <c r="K26" s="517"/>
      <c r="L26" s="600" t="s">
        <v>1658</v>
      </c>
      <c r="M26" s="411" t="s">
        <v>1659</v>
      </c>
      <c r="N26" s="411" t="s">
        <v>1660</v>
      </c>
      <c r="O26" s="411" t="s">
        <v>1661</v>
      </c>
      <c r="P26" s="601" t="s">
        <v>1662</v>
      </c>
      <c r="Q26" s="517"/>
      <c r="R26" s="517"/>
      <c r="S26" s="517"/>
      <c r="T26" s="517"/>
      <c r="U26" s="517"/>
      <c r="V26" s="517"/>
      <c r="W26" s="517"/>
      <c r="X26" s="384"/>
      <c r="Y26" s="384"/>
      <c r="Z26" s="384"/>
      <c r="AA26" s="384"/>
      <c r="AB26" s="384"/>
      <c r="AC26" s="384"/>
      <c r="AD26" s="384"/>
      <c r="AE26" s="384"/>
      <c r="AF26" s="384"/>
    </row>
    <row r="27" spans="1:35" ht="15">
      <c r="A27" s="483"/>
      <c r="B27" s="487" t="s">
        <v>1663</v>
      </c>
      <c r="C27" s="488">
        <f>E30+SUM(I33:I39)</f>
        <v>0</v>
      </c>
      <c r="D27" s="489"/>
      <c r="E27" s="490"/>
      <c r="F27" s="491"/>
      <c r="G27" s="490"/>
      <c r="H27" s="490"/>
      <c r="I27" s="490"/>
      <c r="J27" s="602"/>
      <c r="K27" s="517"/>
      <c r="L27" s="603" t="s">
        <v>1664</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1665</v>
      </c>
      <c r="C28" s="493" t="s">
        <v>1666</v>
      </c>
      <c r="D28" s="493" t="s">
        <v>1667</v>
      </c>
      <c r="E28" s="480" t="s">
        <v>1668</v>
      </c>
      <c r="F28" s="494"/>
      <c r="G28" s="426"/>
      <c r="H28" s="426"/>
      <c r="I28" s="426"/>
      <c r="J28" s="562"/>
      <c r="K28" s="517"/>
      <c r="L28" s="605" t="s">
        <v>1636</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1669</v>
      </c>
      <c r="C29" s="495">
        <f>ROUND(C5*C18*C19*C20*C21*C24,0)</f>
        <v>0</v>
      </c>
      <c r="D29" s="496">
        <f>项目基本情况!C12</f>
        <v>167.24</v>
      </c>
      <c r="E29" s="497">
        <f>ROUND(C29*D29,0)</f>
        <v>0</v>
      </c>
      <c r="F29" s="498" t="s">
        <v>1670</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1671</v>
      </c>
      <c r="C30" s="438">
        <f>ROUND(IF(E2="工业",C29*M39,C29*M38),0)</f>
        <v>0</v>
      </c>
      <c r="D30" s="501"/>
      <c r="E30" s="497">
        <f>ROUND(C30*D30,0)</f>
        <v>0</v>
      </c>
      <c r="F30" s="502" t="s">
        <v>1672</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1673</v>
      </c>
      <c r="C31" s="506" t="s">
        <v>1674</v>
      </c>
      <c r="D31" s="426"/>
      <c r="E31" s="506"/>
      <c r="F31" s="506"/>
      <c r="G31" s="425" t="s">
        <v>1672</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1666</v>
      </c>
      <c r="D32" s="509" t="s">
        <v>1667</v>
      </c>
      <c r="E32" s="509" t="s">
        <v>1668</v>
      </c>
      <c r="F32" s="398" t="s">
        <v>1675</v>
      </c>
      <c r="G32" s="471" t="s">
        <v>1666</v>
      </c>
      <c r="H32" s="471" t="s">
        <v>1667</v>
      </c>
      <c r="I32" s="471" t="s">
        <v>1668</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5" t="s">
        <v>1676</v>
      </c>
      <c r="B33" s="510" t="s">
        <v>1677</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6"/>
      <c r="B34" s="428" t="s">
        <v>1678</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6"/>
      <c r="B35" s="428" t="s">
        <v>1679</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7"/>
      <c r="B36" s="428" t="s">
        <v>1680</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1681</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1682</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1683</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1684</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1685</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1662</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1686</v>
      </c>
      <c r="C41" s="398">
        <f>ROUND(POWER(1+E41,H41-G41)*(POWER(1+E41,G41)-1)/(POWER(1+E41,H41)-1),4)</f>
        <v>0</v>
      </c>
      <c r="D41" s="398" t="s">
        <v>1636</v>
      </c>
      <c r="E41" s="515">
        <f>G20</f>
        <v>0.05</v>
      </c>
      <c r="F41" s="398" t="s">
        <v>1637</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1687</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1688</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1689</v>
      </c>
      <c r="B47" s="528" t="s">
        <v>1690</v>
      </c>
      <c r="C47" s="528" t="s">
        <v>1691</v>
      </c>
      <c r="D47" s="528" t="s">
        <v>1692</v>
      </c>
      <c r="E47" s="529" t="s">
        <v>1693</v>
      </c>
      <c r="F47" s="485" t="s">
        <v>1694</v>
      </c>
      <c r="G47" s="528" t="s">
        <v>1451</v>
      </c>
      <c r="H47" s="530" t="s">
        <v>1695</v>
      </c>
      <c r="I47" s="528" t="s">
        <v>1696</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1697</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1698</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1699</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1700</v>
      </c>
      <c r="B51" s="539" t="s">
        <v>1701</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1702</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1703</v>
      </c>
      <c r="B53" s="540" t="s">
        <v>1704</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1705</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1706</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1707</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1708</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1689</v>
      </c>
      <c r="B58" s="537"/>
      <c r="C58" s="528" t="s">
        <v>1691</v>
      </c>
      <c r="D58" s="528" t="s">
        <v>1692</v>
      </c>
      <c r="E58" s="529" t="s">
        <v>1693</v>
      </c>
      <c r="F58" s="485" t="s">
        <v>1694</v>
      </c>
      <c r="G58" s="528" t="s">
        <v>1451</v>
      </c>
      <c r="H58" s="530" t="s">
        <v>1695</v>
      </c>
      <c r="I58" s="528" t="s">
        <v>1696</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1709</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1698</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1699</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1700</v>
      </c>
      <c r="B62" s="539" t="s">
        <v>1701</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1702</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1703</v>
      </c>
      <c r="B64" s="540" t="s">
        <v>1704</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1705</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1706</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1707</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1710</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1689</v>
      </c>
      <c r="B69" s="537"/>
      <c r="C69" s="528" t="s">
        <v>1691</v>
      </c>
      <c r="D69" s="528" t="s">
        <v>1692</v>
      </c>
      <c r="E69" s="529" t="s">
        <v>1693</v>
      </c>
      <c r="F69" s="485" t="s">
        <v>1694</v>
      </c>
      <c r="G69" s="528" t="s">
        <v>1451</v>
      </c>
      <c r="H69" s="530" t="s">
        <v>1695</v>
      </c>
      <c r="I69" s="528" t="s">
        <v>1696</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1711</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1698</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1699</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1712</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1705</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1706</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1703</v>
      </c>
      <c r="B76" s="540" t="s">
        <v>1704</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1707</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1713</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1714</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1689</v>
      </c>
      <c r="B80" s="537"/>
      <c r="C80" s="528" t="s">
        <v>1691</v>
      </c>
      <c r="D80" s="528" t="s">
        <v>1692</v>
      </c>
      <c r="E80" s="529" t="s">
        <v>1693</v>
      </c>
      <c r="F80" s="485" t="s">
        <v>1694</v>
      </c>
      <c r="G80" s="528" t="s">
        <v>1451</v>
      </c>
      <c r="H80" s="530" t="s">
        <v>1695</v>
      </c>
      <c r="I80" s="528" t="s">
        <v>1696</v>
      </c>
      <c r="J80" s="617" t="s">
        <v>226</v>
      </c>
      <c r="K80" s="617" t="s">
        <v>238</v>
      </c>
      <c r="L80" s="617" t="s">
        <v>249</v>
      </c>
      <c r="M80" s="617" t="s">
        <v>259</v>
      </c>
      <c r="N80" s="617" t="s">
        <v>266</v>
      </c>
      <c r="Q80" s="676"/>
      <c r="R80" s="676"/>
      <c r="S80" s="676"/>
      <c r="T80" s="676"/>
      <c r="U80" s="676"/>
      <c r="V80" s="676"/>
      <c r="W80" s="676"/>
      <c r="AA80" s="383"/>
      <c r="AG80" s="382"/>
    </row>
    <row r="81" spans="1:33" ht="38.25">
      <c r="A81" s="527" t="s">
        <v>1715</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1698</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1699</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1712</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1705</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1706</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1703</v>
      </c>
      <c r="B87" s="540" t="s">
        <v>1704</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1716</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82" t="s">
        <v>1717</v>
      </c>
      <c r="B90" s="3682"/>
      <c r="C90" s="3682"/>
      <c r="D90" s="3682"/>
      <c r="E90" s="3682"/>
      <c r="F90" s="3682"/>
      <c r="G90" s="3682"/>
      <c r="H90" s="3682"/>
      <c r="I90" s="3682"/>
      <c r="J90" s="3682"/>
      <c r="K90" s="648"/>
      <c r="L90" s="648"/>
      <c r="M90" s="648"/>
      <c r="N90" s="648"/>
      <c r="Q90" s="676"/>
      <c r="R90" s="676"/>
      <c r="S90" s="676"/>
      <c r="T90" s="676"/>
      <c r="U90" s="676"/>
      <c r="V90" s="676"/>
      <c r="W90" s="676"/>
    </row>
    <row r="91" spans="1:33">
      <c r="A91" s="3668" t="s">
        <v>1718</v>
      </c>
      <c r="B91" s="3668" t="s">
        <v>1719</v>
      </c>
      <c r="C91" s="498" t="s">
        <v>1720</v>
      </c>
      <c r="D91" s="499"/>
      <c r="E91" s="499"/>
      <c r="F91" s="499"/>
      <c r="G91" s="499"/>
      <c r="H91" s="499"/>
      <c r="I91" s="499"/>
      <c r="J91" s="669"/>
      <c r="K91" s="670"/>
      <c r="L91" s="670"/>
      <c r="M91" s="670"/>
      <c r="N91" s="670"/>
      <c r="Q91" s="676"/>
      <c r="R91" s="676"/>
      <c r="S91" s="676"/>
      <c r="T91" s="676"/>
      <c r="U91" s="676"/>
      <c r="V91" s="676"/>
      <c r="W91" s="676"/>
    </row>
    <row r="92" spans="1:33">
      <c r="A92" s="3668"/>
      <c r="B92" s="3668"/>
      <c r="C92" s="497" t="s">
        <v>1582</v>
      </c>
      <c r="D92" s="497" t="s">
        <v>1583</v>
      </c>
      <c r="E92" s="497" t="s">
        <v>1584</v>
      </c>
      <c r="F92" s="497" t="s">
        <v>1585</v>
      </c>
      <c r="G92" s="497" t="s">
        <v>1586</v>
      </c>
      <c r="H92" s="497" t="s">
        <v>1587</v>
      </c>
      <c r="I92" s="497" t="s">
        <v>1588</v>
      </c>
      <c r="J92" s="497" t="s">
        <v>1589</v>
      </c>
      <c r="K92" s="497" t="s">
        <v>1590</v>
      </c>
      <c r="L92" s="497" t="s">
        <v>1591</v>
      </c>
      <c r="M92" s="497" t="s">
        <v>1592</v>
      </c>
      <c r="N92" s="497" t="s">
        <v>1593</v>
      </c>
      <c r="Q92" s="676"/>
      <c r="R92" s="676"/>
      <c r="S92" s="676"/>
      <c r="T92" s="676"/>
      <c r="U92" s="676"/>
      <c r="V92" s="676"/>
      <c r="W92" s="676"/>
    </row>
    <row r="93" spans="1:33">
      <c r="A93" s="3669" t="s">
        <v>1721</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0"/>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0"/>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0"/>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0"/>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0"/>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0"/>
      <c r="B99" s="649" t="s">
        <v>1598</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1"/>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9" t="s">
        <v>1722</v>
      </c>
      <c r="B101" s="653" t="s">
        <v>1723</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0"/>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0"/>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0"/>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0"/>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0"/>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0"/>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0"/>
      <c r="B108" s="3672" t="s">
        <v>1608</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1"/>
      <c r="B109" s="3673"/>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8" t="s">
        <v>1724</v>
      </c>
      <c r="B110" s="3658"/>
      <c r="C110" s="3658"/>
      <c r="D110" s="3658"/>
      <c r="E110" s="3658"/>
      <c r="F110" s="3658"/>
      <c r="G110" s="3658"/>
      <c r="H110" s="3658"/>
      <c r="I110" s="3658"/>
      <c r="J110" s="3658"/>
      <c r="K110" s="655"/>
      <c r="L110" s="655"/>
      <c r="M110" s="655"/>
      <c r="N110" s="655"/>
      <c r="Q110" s="676"/>
      <c r="R110" s="676"/>
      <c r="S110" s="676"/>
      <c r="T110" s="676"/>
      <c r="U110" s="676"/>
      <c r="V110" s="676"/>
      <c r="W110" s="676"/>
    </row>
    <row r="113" spans="1:13" ht="24.75">
      <c r="A113" s="656" t="s">
        <v>1725</v>
      </c>
      <c r="B113" s="657">
        <f>G3</f>
        <v>0</v>
      </c>
      <c r="C113" s="658" t="s">
        <v>1726</v>
      </c>
      <c r="D113" s="659">
        <f>SUMPRODUCT((A115:A118=F113)*(B114:M114=H113)*B115:M118)</f>
        <v>0</v>
      </c>
      <c r="E113" s="392" t="s">
        <v>1658</v>
      </c>
      <c r="F113" s="660" t="str">
        <f>E2</f>
        <v>住宅</v>
      </c>
      <c r="G113" s="392" t="s">
        <v>1563</v>
      </c>
      <c r="H113" s="660">
        <f>G2</f>
        <v>0</v>
      </c>
      <c r="I113" s="392"/>
      <c r="J113" s="671"/>
      <c r="K113" s="671"/>
      <c r="L113" s="671"/>
      <c r="M113" s="671"/>
    </row>
    <row r="114" spans="1:13">
      <c r="A114" s="661"/>
      <c r="B114" s="662" t="s">
        <v>1727</v>
      </c>
      <c r="C114" s="662" t="s">
        <v>1728</v>
      </c>
      <c r="D114" s="662" t="s">
        <v>1729</v>
      </c>
      <c r="E114" s="663" t="s">
        <v>1730</v>
      </c>
      <c r="F114" s="663" t="s">
        <v>1731</v>
      </c>
      <c r="G114" s="663" t="s">
        <v>1732</v>
      </c>
      <c r="H114" s="664" t="s">
        <v>1733</v>
      </c>
      <c r="I114" s="664" t="s">
        <v>1734</v>
      </c>
      <c r="J114" s="672" t="s">
        <v>1735</v>
      </c>
      <c r="K114" s="672" t="s">
        <v>1736</v>
      </c>
      <c r="L114" s="672" t="s">
        <v>1737</v>
      </c>
      <c r="M114" s="673" t="s">
        <v>1738</v>
      </c>
    </row>
    <row r="115" spans="1:13">
      <c r="A115" s="665" t="s">
        <v>1659</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1660</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1661</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1662</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83" t="s">
        <v>1739</v>
      </c>
      <c r="B1" s="3683"/>
    </row>
    <row r="2" spans="1:6">
      <c r="A2" s="272"/>
      <c r="B2" s="272"/>
    </row>
    <row r="3" spans="1:6">
      <c r="A3" s="272"/>
      <c r="B3" s="272"/>
      <c r="C3" s="360" t="s">
        <v>1740</v>
      </c>
      <c r="D3" s="360" t="s">
        <v>1741</v>
      </c>
      <c r="E3" s="360" t="s">
        <v>461</v>
      </c>
      <c r="F3" s="360" t="s">
        <v>1742</v>
      </c>
    </row>
    <row r="4" spans="1:6">
      <c r="A4" s="361" t="s">
        <v>1743</v>
      </c>
      <c r="B4" s="362" t="s">
        <v>1744</v>
      </c>
      <c r="C4" s="360"/>
      <c r="D4" s="360"/>
      <c r="E4" s="360"/>
      <c r="F4" s="360"/>
    </row>
    <row r="5" spans="1:6">
      <c r="A5" s="278" t="s">
        <v>1745</v>
      </c>
      <c r="B5" s="279" t="s">
        <v>1746</v>
      </c>
      <c r="C5" s="363">
        <v>8.8999999999999996E-2</v>
      </c>
      <c r="D5" s="363">
        <v>7.3999999999999996E-2</v>
      </c>
      <c r="E5" s="363">
        <v>7.4999999999999997E-2</v>
      </c>
      <c r="F5" s="364">
        <v>0.1</v>
      </c>
    </row>
    <row r="6" spans="1:6">
      <c r="A6" s="278" t="s">
        <v>1745</v>
      </c>
      <c r="B6" s="283" t="s">
        <v>1747</v>
      </c>
      <c r="C6" s="365">
        <v>0.1</v>
      </c>
      <c r="D6" s="365">
        <v>9.0999999999999998E-2</v>
      </c>
      <c r="E6" s="365">
        <v>9.0999999999999998E-2</v>
      </c>
      <c r="F6" s="366">
        <v>0.1</v>
      </c>
    </row>
    <row r="7" spans="1:6">
      <c r="A7" s="278" t="s">
        <v>1745</v>
      </c>
      <c r="B7" s="287" t="s">
        <v>1748</v>
      </c>
      <c r="C7" s="365">
        <v>8.5999999999999993E-2</v>
      </c>
      <c r="D7" s="365">
        <v>9.6000000000000002E-2</v>
      </c>
      <c r="E7" s="365">
        <v>7.5999999999999998E-2</v>
      </c>
      <c r="F7" s="366">
        <v>0.1</v>
      </c>
    </row>
    <row r="8" spans="1:6">
      <c r="A8" s="278" t="s">
        <v>1745</v>
      </c>
      <c r="B8" s="283" t="s">
        <v>1749</v>
      </c>
      <c r="C8" s="365">
        <v>9.9000000000000005E-2</v>
      </c>
      <c r="D8" s="365">
        <v>9.8000000000000004E-2</v>
      </c>
      <c r="E8" s="365">
        <v>9.8000000000000004E-2</v>
      </c>
      <c r="F8" s="366">
        <v>0.1</v>
      </c>
    </row>
    <row r="9" spans="1:6">
      <c r="A9" s="296" t="s">
        <v>1745</v>
      </c>
      <c r="B9" s="288" t="s">
        <v>1750</v>
      </c>
      <c r="C9" s="367">
        <v>0.05</v>
      </c>
      <c r="D9" s="368"/>
      <c r="E9" s="368"/>
      <c r="F9" s="369"/>
    </row>
    <row r="10" spans="1:6">
      <c r="A10" s="278" t="s">
        <v>529</v>
      </c>
      <c r="B10" s="279" t="s">
        <v>1751</v>
      </c>
      <c r="C10" s="363">
        <v>8.8999999999999996E-2</v>
      </c>
      <c r="D10" s="363">
        <v>7.2999999999999995E-2</v>
      </c>
      <c r="E10" s="363">
        <v>8.2000000000000003E-2</v>
      </c>
      <c r="F10" s="364">
        <v>0.1</v>
      </c>
    </row>
    <row r="11" spans="1:6">
      <c r="A11" s="278" t="s">
        <v>529</v>
      </c>
      <c r="B11" s="287" t="s">
        <v>1752</v>
      </c>
      <c r="C11" s="365">
        <v>8.8999999999999996E-2</v>
      </c>
      <c r="D11" s="365">
        <v>7.2999999999999995E-2</v>
      </c>
      <c r="E11" s="365">
        <v>8.2000000000000003E-2</v>
      </c>
      <c r="F11" s="366">
        <v>0.1</v>
      </c>
    </row>
    <row r="12" spans="1:6">
      <c r="A12" s="278" t="s">
        <v>529</v>
      </c>
      <c r="B12" s="287" t="s">
        <v>1753</v>
      </c>
      <c r="C12" s="365">
        <v>6.0999999999999999E-2</v>
      </c>
      <c r="D12" s="365">
        <v>7.0999999999999994E-2</v>
      </c>
      <c r="E12" s="365">
        <v>9.6000000000000002E-2</v>
      </c>
      <c r="F12" s="366">
        <v>0.1</v>
      </c>
    </row>
    <row r="13" spans="1:6">
      <c r="A13" s="278" t="s">
        <v>529</v>
      </c>
      <c r="B13" s="287" t="s">
        <v>1754</v>
      </c>
      <c r="C13" s="365">
        <v>6.9000000000000006E-2</v>
      </c>
      <c r="D13" s="365">
        <v>6.5000000000000002E-2</v>
      </c>
      <c r="E13" s="365">
        <v>6.6000000000000003E-2</v>
      </c>
      <c r="F13" s="366">
        <v>0.1</v>
      </c>
    </row>
    <row r="14" spans="1:6">
      <c r="A14" s="278" t="s">
        <v>529</v>
      </c>
      <c r="B14" s="287" t="s">
        <v>1755</v>
      </c>
      <c r="C14" s="365">
        <v>0.1</v>
      </c>
      <c r="D14" s="365">
        <v>6.5000000000000002E-2</v>
      </c>
      <c r="E14" s="365">
        <v>7.0000000000000007E-2</v>
      </c>
      <c r="F14" s="366">
        <v>0.1</v>
      </c>
    </row>
    <row r="15" spans="1:6">
      <c r="A15" s="278" t="s">
        <v>529</v>
      </c>
      <c r="B15" s="287" t="s">
        <v>1756</v>
      </c>
      <c r="C15" s="365">
        <v>9.8000000000000004E-2</v>
      </c>
      <c r="D15" s="365">
        <v>8.8999999999999996E-2</v>
      </c>
      <c r="E15" s="365">
        <v>8.8999999999999996E-2</v>
      </c>
      <c r="F15" s="366">
        <v>0.1</v>
      </c>
    </row>
    <row r="16" spans="1:6">
      <c r="A16" s="278" t="s">
        <v>529</v>
      </c>
      <c r="B16" s="287" t="s">
        <v>1757</v>
      </c>
      <c r="C16" s="365">
        <v>7.0000000000000007E-2</v>
      </c>
      <c r="D16" s="365">
        <v>9.2999999999999999E-2</v>
      </c>
      <c r="E16" s="365">
        <v>9.6000000000000002E-2</v>
      </c>
      <c r="F16" s="366">
        <v>0.1</v>
      </c>
    </row>
    <row r="17" spans="1:6">
      <c r="A17" s="278" t="s">
        <v>529</v>
      </c>
      <c r="B17" s="287" t="s">
        <v>1758</v>
      </c>
      <c r="C17" s="365">
        <v>9.5000000000000001E-2</v>
      </c>
      <c r="D17" s="365">
        <v>0.1</v>
      </c>
      <c r="E17" s="365">
        <v>0.1</v>
      </c>
      <c r="F17" s="370"/>
    </row>
    <row r="18" spans="1:6">
      <c r="A18" s="278" t="s">
        <v>529</v>
      </c>
      <c r="B18" s="287" t="s">
        <v>1759</v>
      </c>
      <c r="C18" s="365">
        <v>7.3999999999999996E-2</v>
      </c>
      <c r="D18" s="365">
        <v>9.9000000000000005E-2</v>
      </c>
      <c r="E18" s="365">
        <v>0.1</v>
      </c>
      <c r="F18" s="370"/>
    </row>
    <row r="19" spans="1:6">
      <c r="A19" s="278" t="s">
        <v>529</v>
      </c>
      <c r="B19" s="287" t="s">
        <v>1760</v>
      </c>
      <c r="C19" s="365">
        <v>9.9000000000000005E-2</v>
      </c>
      <c r="D19" s="365">
        <v>7.5999999999999998E-2</v>
      </c>
      <c r="E19" s="365">
        <v>8.6999999999999994E-2</v>
      </c>
      <c r="F19" s="370"/>
    </row>
    <row r="20" spans="1:6">
      <c r="A20" s="278" t="s">
        <v>529</v>
      </c>
      <c r="B20" s="287" t="s">
        <v>1761</v>
      </c>
      <c r="C20" s="365">
        <v>9.8000000000000004E-2</v>
      </c>
      <c r="D20" s="365">
        <v>8.5000000000000006E-2</v>
      </c>
      <c r="E20" s="365">
        <v>8.2000000000000003E-2</v>
      </c>
      <c r="F20" s="370"/>
    </row>
    <row r="21" spans="1:6">
      <c r="A21" s="278" t="s">
        <v>529</v>
      </c>
      <c r="B21" s="287" t="s">
        <v>1762</v>
      </c>
      <c r="C21" s="365">
        <v>6.6000000000000003E-2</v>
      </c>
      <c r="D21" s="365">
        <v>6.4000000000000001E-2</v>
      </c>
      <c r="E21" s="365">
        <v>6.5000000000000002E-2</v>
      </c>
      <c r="F21" s="370"/>
    </row>
    <row r="22" spans="1:6">
      <c r="A22" s="278" t="s">
        <v>529</v>
      </c>
      <c r="B22" s="287" t="s">
        <v>1763</v>
      </c>
      <c r="C22" s="365">
        <v>0.08</v>
      </c>
      <c r="D22" s="365">
        <v>9.8000000000000004E-2</v>
      </c>
      <c r="E22" s="365">
        <v>9.8000000000000004E-2</v>
      </c>
      <c r="F22" s="370"/>
    </row>
    <row r="23" spans="1:6">
      <c r="A23" s="278" t="s">
        <v>529</v>
      </c>
      <c r="B23" s="287" t="s">
        <v>1764</v>
      </c>
      <c r="C23" s="365">
        <v>9.9000000000000005E-2</v>
      </c>
      <c r="D23" s="365">
        <v>9.8000000000000004E-2</v>
      </c>
      <c r="E23" s="365">
        <v>9.0999999999999998E-2</v>
      </c>
      <c r="F23" s="370"/>
    </row>
    <row r="24" spans="1:6">
      <c r="A24" s="278" t="s">
        <v>529</v>
      </c>
      <c r="B24" s="287" t="s">
        <v>1765</v>
      </c>
      <c r="C24" s="365">
        <v>8.8999999999999996E-2</v>
      </c>
      <c r="D24" s="365">
        <v>9.7000000000000003E-2</v>
      </c>
      <c r="E24" s="365">
        <v>7.0000000000000007E-2</v>
      </c>
      <c r="F24" s="370"/>
    </row>
    <row r="25" spans="1:6">
      <c r="A25" s="278" t="s">
        <v>529</v>
      </c>
      <c r="B25" s="287" t="s">
        <v>1766</v>
      </c>
      <c r="C25" s="365">
        <v>8.8999999999999996E-2</v>
      </c>
      <c r="D25" s="365">
        <v>0.1</v>
      </c>
      <c r="E25" s="365">
        <v>8.1000000000000003E-2</v>
      </c>
      <c r="F25" s="370"/>
    </row>
    <row r="26" spans="1:6">
      <c r="A26" s="278" t="s">
        <v>529</v>
      </c>
      <c r="B26" s="287" t="s">
        <v>1767</v>
      </c>
      <c r="C26" s="371"/>
      <c r="D26" s="365">
        <v>9.6000000000000002E-2</v>
      </c>
      <c r="E26" s="365">
        <v>9.2999999999999999E-2</v>
      </c>
      <c r="F26" s="370"/>
    </row>
    <row r="27" spans="1:6">
      <c r="A27" s="278" t="s">
        <v>529</v>
      </c>
      <c r="B27" s="287" t="s">
        <v>1768</v>
      </c>
      <c r="C27" s="371"/>
      <c r="D27" s="365">
        <v>7.5999999999999998E-2</v>
      </c>
      <c r="E27" s="365">
        <v>9.1999999999999998E-2</v>
      </c>
      <c r="F27" s="370"/>
    </row>
    <row r="28" spans="1:6">
      <c r="A28" s="296" t="s">
        <v>529</v>
      </c>
      <c r="B28" s="288" t="s">
        <v>1769</v>
      </c>
      <c r="C28" s="368"/>
      <c r="D28" s="367">
        <v>7.5999999999999998E-2</v>
      </c>
      <c r="E28" s="367">
        <v>9.1999999999999998E-2</v>
      </c>
      <c r="F28" s="369"/>
    </row>
    <row r="29" spans="1:6">
      <c r="A29" s="278" t="s">
        <v>1770</v>
      </c>
      <c r="B29" s="279" t="s">
        <v>1771</v>
      </c>
      <c r="C29" s="363">
        <v>6.4000000000000001E-2</v>
      </c>
      <c r="D29" s="363">
        <v>6.5000000000000002E-2</v>
      </c>
      <c r="E29" s="363">
        <v>6.9000000000000006E-2</v>
      </c>
      <c r="F29" s="364">
        <v>0.1</v>
      </c>
    </row>
    <row r="30" spans="1:6">
      <c r="A30" s="278" t="s">
        <v>1770</v>
      </c>
      <c r="B30" s="287" t="s">
        <v>1772</v>
      </c>
      <c r="C30" s="365">
        <v>6.4000000000000001E-2</v>
      </c>
      <c r="D30" s="365">
        <v>9.9000000000000005E-2</v>
      </c>
      <c r="E30" s="365">
        <v>0.1</v>
      </c>
      <c r="F30" s="366">
        <v>0.1</v>
      </c>
    </row>
    <row r="31" spans="1:6">
      <c r="A31" s="278" t="s">
        <v>1770</v>
      </c>
      <c r="B31" s="287" t="s">
        <v>1773</v>
      </c>
      <c r="C31" s="365">
        <v>0.1</v>
      </c>
      <c r="D31" s="365">
        <v>9.5000000000000001E-2</v>
      </c>
      <c r="E31" s="365">
        <v>8.8999999999999996E-2</v>
      </c>
      <c r="F31" s="366">
        <v>0.1</v>
      </c>
    </row>
    <row r="32" spans="1:6">
      <c r="A32" s="278" t="s">
        <v>1770</v>
      </c>
      <c r="B32" s="287" t="s">
        <v>1774</v>
      </c>
      <c r="C32" s="365">
        <v>0.05</v>
      </c>
      <c r="D32" s="365">
        <v>0.05</v>
      </c>
      <c r="E32" s="365">
        <v>8.7999999999999995E-2</v>
      </c>
      <c r="F32" s="366">
        <v>0.1</v>
      </c>
    </row>
    <row r="33" spans="1:6">
      <c r="A33" s="278" t="s">
        <v>1770</v>
      </c>
      <c r="B33" s="287" t="s">
        <v>1775</v>
      </c>
      <c r="C33" s="365">
        <v>7.4999999999999997E-2</v>
      </c>
      <c r="D33" s="365">
        <v>9.4E-2</v>
      </c>
      <c r="E33" s="365">
        <v>9.7000000000000003E-2</v>
      </c>
      <c r="F33" s="366">
        <v>0.1</v>
      </c>
    </row>
    <row r="34" spans="1:6">
      <c r="A34" s="278" t="s">
        <v>1770</v>
      </c>
      <c r="B34" s="287" t="s">
        <v>1776</v>
      </c>
      <c r="C34" s="365">
        <v>9.8000000000000004E-2</v>
      </c>
      <c r="D34" s="365">
        <v>8.5999999999999993E-2</v>
      </c>
      <c r="E34" s="365">
        <v>9.7000000000000003E-2</v>
      </c>
      <c r="F34" s="366">
        <v>0.1</v>
      </c>
    </row>
    <row r="35" spans="1:6">
      <c r="A35" s="278" t="s">
        <v>1770</v>
      </c>
      <c r="B35" s="287" t="s">
        <v>1777</v>
      </c>
      <c r="C35" s="365">
        <v>5.8999999999999997E-2</v>
      </c>
      <c r="D35" s="365">
        <v>6.5000000000000002E-2</v>
      </c>
      <c r="E35" s="365">
        <v>7.0000000000000007E-2</v>
      </c>
      <c r="F35" s="366">
        <v>0.1</v>
      </c>
    </row>
    <row r="36" spans="1:6">
      <c r="A36" s="278" t="s">
        <v>1770</v>
      </c>
      <c r="B36" s="287" t="s">
        <v>1778</v>
      </c>
      <c r="C36" s="365">
        <v>6.3E-2</v>
      </c>
      <c r="D36" s="365">
        <v>0.1</v>
      </c>
      <c r="E36" s="365">
        <v>0.1</v>
      </c>
      <c r="F36" s="366">
        <v>0.1</v>
      </c>
    </row>
    <row r="37" spans="1:6">
      <c r="A37" s="278" t="s">
        <v>1770</v>
      </c>
      <c r="B37" s="287" t="s">
        <v>1779</v>
      </c>
      <c r="C37" s="365">
        <v>7.3999999999999996E-2</v>
      </c>
      <c r="D37" s="365">
        <v>0.1</v>
      </c>
      <c r="E37" s="365">
        <v>0.1</v>
      </c>
      <c r="F37" s="366">
        <v>0.1</v>
      </c>
    </row>
    <row r="38" spans="1:6">
      <c r="A38" s="278" t="s">
        <v>1770</v>
      </c>
      <c r="B38" s="287" t="s">
        <v>1780</v>
      </c>
      <c r="C38" s="365">
        <v>0.1</v>
      </c>
      <c r="D38" s="365">
        <v>9.6000000000000002E-2</v>
      </c>
      <c r="E38" s="365">
        <v>9.6000000000000002E-2</v>
      </c>
      <c r="F38" s="370"/>
    </row>
    <row r="39" spans="1:6">
      <c r="A39" s="278" t="s">
        <v>1770</v>
      </c>
      <c r="B39" s="287" t="s">
        <v>1781</v>
      </c>
      <c r="C39" s="365">
        <v>0.1</v>
      </c>
      <c r="D39" s="365">
        <v>9.6000000000000002E-2</v>
      </c>
      <c r="E39" s="365">
        <v>9.6000000000000002E-2</v>
      </c>
      <c r="F39" s="370"/>
    </row>
    <row r="40" spans="1:6">
      <c r="A40" s="278" t="s">
        <v>1770</v>
      </c>
      <c r="B40" s="287" t="s">
        <v>1782</v>
      </c>
      <c r="C40" s="365">
        <v>9.6000000000000002E-2</v>
      </c>
      <c r="D40" s="365">
        <v>0.1</v>
      </c>
      <c r="E40" s="365">
        <v>9.9000000000000005E-2</v>
      </c>
      <c r="F40" s="370"/>
    </row>
    <row r="41" spans="1:6">
      <c r="A41" s="278" t="s">
        <v>1770</v>
      </c>
      <c r="B41" s="287" t="s">
        <v>1783</v>
      </c>
      <c r="C41" s="365">
        <v>9.6000000000000002E-2</v>
      </c>
      <c r="D41" s="365">
        <v>9.8000000000000004E-2</v>
      </c>
      <c r="E41" s="365">
        <v>9.8000000000000004E-2</v>
      </c>
      <c r="F41" s="370"/>
    </row>
    <row r="42" spans="1:6">
      <c r="A42" s="278" t="s">
        <v>1770</v>
      </c>
      <c r="B42" s="287" t="s">
        <v>1784</v>
      </c>
      <c r="C42" s="365">
        <v>0.1</v>
      </c>
      <c r="D42" s="365">
        <v>8.7999999999999995E-2</v>
      </c>
      <c r="E42" s="365">
        <v>0.1</v>
      </c>
      <c r="F42" s="370"/>
    </row>
    <row r="43" spans="1:6">
      <c r="A43" s="278" t="s">
        <v>1770</v>
      </c>
      <c r="B43" s="287" t="s">
        <v>1785</v>
      </c>
      <c r="C43" s="365">
        <v>9.8000000000000004E-2</v>
      </c>
      <c r="D43" s="365">
        <v>9.7000000000000003E-2</v>
      </c>
      <c r="E43" s="365">
        <v>9.6000000000000002E-2</v>
      </c>
      <c r="F43" s="370"/>
    </row>
    <row r="44" spans="1:6">
      <c r="A44" s="278" t="s">
        <v>1770</v>
      </c>
      <c r="B44" s="287" t="s">
        <v>1786</v>
      </c>
      <c r="C44" s="365">
        <v>8.5999999999999993E-2</v>
      </c>
      <c r="D44" s="365">
        <v>7.9000000000000001E-2</v>
      </c>
      <c r="E44" s="365">
        <v>7.0999999999999994E-2</v>
      </c>
      <c r="F44" s="370"/>
    </row>
    <row r="45" spans="1:6">
      <c r="A45" s="278" t="s">
        <v>1770</v>
      </c>
      <c r="B45" s="287" t="s">
        <v>1787</v>
      </c>
      <c r="C45" s="365">
        <v>9.8000000000000004E-2</v>
      </c>
      <c r="D45" s="365">
        <v>9.6000000000000002E-2</v>
      </c>
      <c r="E45" s="365">
        <v>9.6000000000000002E-2</v>
      </c>
      <c r="F45" s="370"/>
    </row>
    <row r="46" spans="1:6">
      <c r="A46" s="278" t="s">
        <v>1770</v>
      </c>
      <c r="B46" s="287" t="s">
        <v>1788</v>
      </c>
      <c r="C46" s="365">
        <v>8.5999999999999993E-2</v>
      </c>
      <c r="D46" s="365">
        <v>9.8000000000000004E-2</v>
      </c>
      <c r="E46" s="365">
        <v>8.7999999999999995E-2</v>
      </c>
      <c r="F46" s="370"/>
    </row>
    <row r="47" spans="1:6">
      <c r="A47" s="278" t="s">
        <v>1770</v>
      </c>
      <c r="B47" s="287" t="s">
        <v>1789</v>
      </c>
      <c r="C47" s="365">
        <v>9.6000000000000002E-2</v>
      </c>
      <c r="D47" s="371"/>
      <c r="E47" s="365">
        <v>6.9000000000000006E-2</v>
      </c>
      <c r="F47" s="370"/>
    </row>
    <row r="48" spans="1:6">
      <c r="A48" s="296" t="s">
        <v>1770</v>
      </c>
      <c r="B48" s="288" t="s">
        <v>1790</v>
      </c>
      <c r="C48" s="367">
        <v>9.8000000000000004E-2</v>
      </c>
      <c r="D48" s="368"/>
      <c r="E48" s="367">
        <v>9.5000000000000001E-2</v>
      </c>
      <c r="F48" s="369"/>
    </row>
    <row r="49" spans="1:6">
      <c r="A49" s="278" t="s">
        <v>1791</v>
      </c>
      <c r="B49" s="279" t="s">
        <v>1792</v>
      </c>
      <c r="C49" s="363">
        <v>9.7000000000000003E-2</v>
      </c>
      <c r="D49" s="363">
        <v>9.5000000000000001E-2</v>
      </c>
      <c r="E49" s="363">
        <v>9.7000000000000003E-2</v>
      </c>
      <c r="F49" s="364">
        <v>0.1</v>
      </c>
    </row>
    <row r="50" spans="1:6">
      <c r="A50" s="278" t="s">
        <v>1791</v>
      </c>
      <c r="B50" s="283" t="s">
        <v>1793</v>
      </c>
      <c r="C50" s="365">
        <v>7.4999999999999997E-2</v>
      </c>
      <c r="D50" s="365">
        <v>9.5000000000000001E-2</v>
      </c>
      <c r="E50" s="365">
        <v>0.1</v>
      </c>
      <c r="F50" s="366">
        <v>0.1</v>
      </c>
    </row>
    <row r="51" spans="1:6">
      <c r="A51" s="278" t="s">
        <v>1791</v>
      </c>
      <c r="B51" s="283" t="s">
        <v>1794</v>
      </c>
      <c r="C51" s="365">
        <v>9.8000000000000004E-2</v>
      </c>
      <c r="D51" s="365">
        <v>8.8999999999999996E-2</v>
      </c>
      <c r="E51" s="365">
        <v>0.1</v>
      </c>
      <c r="F51" s="366">
        <v>0.1</v>
      </c>
    </row>
    <row r="52" spans="1:6">
      <c r="A52" s="278" t="s">
        <v>1791</v>
      </c>
      <c r="B52" s="283" t="s">
        <v>1795</v>
      </c>
      <c r="C52" s="365">
        <v>9.8000000000000004E-2</v>
      </c>
      <c r="D52" s="365">
        <v>9.7000000000000003E-2</v>
      </c>
      <c r="E52" s="365">
        <v>8.1000000000000003E-2</v>
      </c>
      <c r="F52" s="366">
        <v>0.1</v>
      </c>
    </row>
    <row r="53" spans="1:6">
      <c r="A53" s="278" t="s">
        <v>1791</v>
      </c>
      <c r="B53" s="283" t="s">
        <v>1796</v>
      </c>
      <c r="C53" s="365">
        <v>9.7000000000000003E-2</v>
      </c>
      <c r="D53" s="365">
        <v>7.5999999999999998E-2</v>
      </c>
      <c r="E53" s="365">
        <v>7.0999999999999994E-2</v>
      </c>
      <c r="F53" s="366">
        <v>0.1</v>
      </c>
    </row>
    <row r="54" spans="1:6">
      <c r="A54" s="278" t="s">
        <v>1791</v>
      </c>
      <c r="B54" s="283" t="s">
        <v>1797</v>
      </c>
      <c r="C54" s="365">
        <v>7.5999999999999998E-2</v>
      </c>
      <c r="D54" s="365">
        <v>0.1</v>
      </c>
      <c r="E54" s="365">
        <v>9.9000000000000005E-2</v>
      </c>
      <c r="F54" s="366">
        <v>0.1</v>
      </c>
    </row>
    <row r="55" spans="1:6">
      <c r="A55" s="278" t="s">
        <v>1791</v>
      </c>
      <c r="B55" s="283" t="s">
        <v>1798</v>
      </c>
      <c r="C55" s="365">
        <v>0.1</v>
      </c>
      <c r="D55" s="365">
        <v>0.1</v>
      </c>
      <c r="E55" s="365">
        <v>9.6000000000000002E-2</v>
      </c>
      <c r="F55" s="366">
        <v>0.1</v>
      </c>
    </row>
    <row r="56" spans="1:6">
      <c r="A56" s="278" t="s">
        <v>1791</v>
      </c>
      <c r="B56" s="283" t="s">
        <v>1799</v>
      </c>
      <c r="C56" s="365">
        <v>0.1</v>
      </c>
      <c r="D56" s="365">
        <v>9.6000000000000002E-2</v>
      </c>
      <c r="E56" s="365">
        <v>5.1999999999999998E-2</v>
      </c>
      <c r="F56" s="366">
        <v>0.1</v>
      </c>
    </row>
    <row r="57" spans="1:6">
      <c r="A57" s="278" t="s">
        <v>1791</v>
      </c>
      <c r="B57" s="283" t="s">
        <v>1800</v>
      </c>
      <c r="C57" s="365">
        <v>9.7000000000000003E-2</v>
      </c>
      <c r="D57" s="365">
        <v>9.6000000000000002E-2</v>
      </c>
      <c r="E57" s="365">
        <v>9.6000000000000002E-2</v>
      </c>
      <c r="F57" s="366">
        <v>0.1</v>
      </c>
    </row>
    <row r="58" spans="1:6">
      <c r="A58" s="278" t="s">
        <v>1791</v>
      </c>
      <c r="B58" s="283" t="s">
        <v>1801</v>
      </c>
      <c r="C58" s="365">
        <v>9.6000000000000002E-2</v>
      </c>
      <c r="D58" s="365">
        <v>9.9000000000000005E-2</v>
      </c>
      <c r="E58" s="365">
        <v>9.6000000000000002E-2</v>
      </c>
      <c r="F58" s="366">
        <v>0.1</v>
      </c>
    </row>
    <row r="59" spans="1:6">
      <c r="A59" s="278" t="s">
        <v>1791</v>
      </c>
      <c r="B59" s="283" t="s">
        <v>1802</v>
      </c>
      <c r="C59" s="365">
        <v>7.1999999999999995E-2</v>
      </c>
      <c r="D59" s="365">
        <v>9.6000000000000002E-2</v>
      </c>
      <c r="E59" s="365">
        <v>7.0999999999999994E-2</v>
      </c>
      <c r="F59" s="366">
        <v>0.1</v>
      </c>
    </row>
    <row r="60" spans="1:6">
      <c r="A60" s="278" t="s">
        <v>1791</v>
      </c>
      <c r="B60" s="283" t="s">
        <v>1803</v>
      </c>
      <c r="C60" s="365">
        <v>9.6000000000000002E-2</v>
      </c>
      <c r="D60" s="365">
        <v>8.8999999999999996E-2</v>
      </c>
      <c r="E60" s="365">
        <v>9.6000000000000002E-2</v>
      </c>
      <c r="F60" s="366">
        <v>0.1</v>
      </c>
    </row>
    <row r="61" spans="1:6">
      <c r="A61" s="278" t="s">
        <v>1791</v>
      </c>
      <c r="B61" s="283" t="s">
        <v>1804</v>
      </c>
      <c r="C61" s="365">
        <v>8.8999999999999996E-2</v>
      </c>
      <c r="D61" s="365">
        <v>9.8000000000000004E-2</v>
      </c>
      <c r="E61" s="365">
        <v>8.7999999999999995E-2</v>
      </c>
      <c r="F61" s="370"/>
    </row>
    <row r="62" spans="1:6">
      <c r="A62" s="278" t="s">
        <v>1791</v>
      </c>
      <c r="B62" s="283" t="s">
        <v>1805</v>
      </c>
      <c r="C62" s="365">
        <v>9.8000000000000004E-2</v>
      </c>
      <c r="D62" s="365">
        <v>9.2999999999999999E-2</v>
      </c>
      <c r="E62" s="365">
        <v>9.7000000000000003E-2</v>
      </c>
      <c r="F62" s="370"/>
    </row>
    <row r="63" spans="1:6">
      <c r="A63" s="278" t="s">
        <v>1791</v>
      </c>
      <c r="B63" s="283" t="s">
        <v>1806</v>
      </c>
      <c r="C63" s="365">
        <v>9.6000000000000002E-2</v>
      </c>
      <c r="D63" s="365">
        <v>9.8000000000000004E-2</v>
      </c>
      <c r="E63" s="365">
        <v>0.09</v>
      </c>
      <c r="F63" s="370"/>
    </row>
    <row r="64" spans="1:6">
      <c r="A64" s="278" t="s">
        <v>1791</v>
      </c>
      <c r="B64" s="283" t="s">
        <v>1807</v>
      </c>
      <c r="C64" s="365">
        <v>9.9000000000000005E-2</v>
      </c>
      <c r="D64" s="365">
        <v>9.7000000000000003E-2</v>
      </c>
      <c r="E64" s="365">
        <v>9.9000000000000005E-2</v>
      </c>
      <c r="F64" s="370"/>
    </row>
    <row r="65" spans="1:6">
      <c r="A65" s="278" t="s">
        <v>1791</v>
      </c>
      <c r="B65" s="283" t="s">
        <v>1808</v>
      </c>
      <c r="C65" s="365">
        <v>9.8000000000000004E-2</v>
      </c>
      <c r="D65" s="365">
        <v>9.6000000000000002E-2</v>
      </c>
      <c r="E65" s="365">
        <v>9.6000000000000002E-2</v>
      </c>
      <c r="F65" s="370"/>
    </row>
    <row r="66" spans="1:6">
      <c r="A66" s="278" t="s">
        <v>1791</v>
      </c>
      <c r="B66" s="283" t="s">
        <v>1809</v>
      </c>
      <c r="C66" s="365">
        <v>9.6000000000000002E-2</v>
      </c>
      <c r="D66" s="365">
        <v>9.1999999999999998E-2</v>
      </c>
      <c r="E66" s="365">
        <v>9.6000000000000002E-2</v>
      </c>
      <c r="F66" s="370"/>
    </row>
    <row r="67" spans="1:6">
      <c r="A67" s="278" t="s">
        <v>1791</v>
      </c>
      <c r="B67" s="283" t="s">
        <v>1810</v>
      </c>
      <c r="C67" s="365">
        <v>9.4E-2</v>
      </c>
      <c r="D67" s="365">
        <v>0.1</v>
      </c>
      <c r="E67" s="365">
        <v>8.7999999999999995E-2</v>
      </c>
      <c r="F67" s="370"/>
    </row>
    <row r="68" spans="1:6">
      <c r="A68" s="278" t="s">
        <v>1791</v>
      </c>
      <c r="B68" s="283" t="s">
        <v>1811</v>
      </c>
      <c r="C68" s="365">
        <v>0.1</v>
      </c>
      <c r="D68" s="365">
        <v>8.7999999999999995E-2</v>
      </c>
      <c r="E68" s="365">
        <v>9.7000000000000003E-2</v>
      </c>
      <c r="F68" s="370"/>
    </row>
    <row r="69" spans="1:6">
      <c r="A69" s="278" t="s">
        <v>1791</v>
      </c>
      <c r="B69" s="283" t="s">
        <v>1812</v>
      </c>
      <c r="C69" s="365">
        <v>6.4000000000000001E-2</v>
      </c>
      <c r="D69" s="365">
        <v>0.1</v>
      </c>
      <c r="E69" s="365">
        <v>0.1</v>
      </c>
      <c r="F69" s="370"/>
    </row>
    <row r="70" spans="1:6">
      <c r="A70" s="278" t="s">
        <v>1791</v>
      </c>
      <c r="B70" s="283" t="s">
        <v>1813</v>
      </c>
      <c r="C70" s="365">
        <v>9.0999999999999998E-2</v>
      </c>
      <c r="D70" s="371"/>
      <c r="E70" s="371"/>
      <c r="F70" s="370"/>
    </row>
    <row r="71" spans="1:6">
      <c r="A71" s="278" t="s">
        <v>1791</v>
      </c>
      <c r="B71" s="283" t="s">
        <v>1814</v>
      </c>
      <c r="C71" s="365">
        <v>0.1</v>
      </c>
      <c r="D71" s="371"/>
      <c r="E71" s="371"/>
      <c r="F71" s="370"/>
    </row>
    <row r="72" spans="1:6">
      <c r="A72" s="278" t="s">
        <v>1791</v>
      </c>
      <c r="B72" s="283" t="s">
        <v>1815</v>
      </c>
      <c r="C72" s="371"/>
      <c r="D72" s="371"/>
      <c r="E72" s="371"/>
      <c r="F72" s="366">
        <v>0.05</v>
      </c>
    </row>
    <row r="73" spans="1:6">
      <c r="A73" s="278" t="s">
        <v>1791</v>
      </c>
      <c r="B73" s="283" t="s">
        <v>1816</v>
      </c>
      <c r="C73" s="371"/>
      <c r="D73" s="371"/>
      <c r="E73" s="371"/>
      <c r="F73" s="366">
        <v>0.05</v>
      </c>
    </row>
    <row r="74" spans="1:6">
      <c r="A74" s="278" t="s">
        <v>1791</v>
      </c>
      <c r="B74" s="283" t="s">
        <v>1817</v>
      </c>
      <c r="C74" s="371"/>
      <c r="D74" s="371"/>
      <c r="E74" s="371"/>
      <c r="F74" s="366">
        <v>0.05</v>
      </c>
    </row>
    <row r="75" spans="1:6">
      <c r="A75" s="296" t="s">
        <v>1791</v>
      </c>
      <c r="B75" s="289" t="s">
        <v>1818</v>
      </c>
      <c r="C75" s="368"/>
      <c r="D75" s="368"/>
      <c r="E75" s="368"/>
      <c r="F75" s="372">
        <v>0.05</v>
      </c>
    </row>
    <row r="76" spans="1:6">
      <c r="A76" s="278" t="s">
        <v>1819</v>
      </c>
      <c r="B76" s="279" t="s">
        <v>1820</v>
      </c>
      <c r="C76" s="363">
        <v>0.1</v>
      </c>
      <c r="D76" s="363">
        <v>0.1</v>
      </c>
      <c r="E76" s="363">
        <v>0.1</v>
      </c>
      <c r="F76" s="364">
        <v>0.1</v>
      </c>
    </row>
    <row r="77" spans="1:6">
      <c r="A77" s="278" t="s">
        <v>1819</v>
      </c>
      <c r="B77" s="283" t="s">
        <v>1821</v>
      </c>
      <c r="C77" s="365">
        <v>8.7999999999999995E-2</v>
      </c>
      <c r="D77" s="365">
        <v>8.6999999999999994E-2</v>
      </c>
      <c r="E77" s="365">
        <v>7.9000000000000001E-2</v>
      </c>
      <c r="F77" s="366">
        <v>0.1</v>
      </c>
    </row>
    <row r="78" spans="1:6">
      <c r="A78" s="278" t="s">
        <v>1819</v>
      </c>
      <c r="B78" s="283" t="s">
        <v>1822</v>
      </c>
      <c r="C78" s="365">
        <v>8.6999999999999994E-2</v>
      </c>
      <c r="D78" s="365">
        <v>8.4000000000000005E-2</v>
      </c>
      <c r="E78" s="365">
        <v>9.6000000000000002E-2</v>
      </c>
      <c r="F78" s="366">
        <v>0.1</v>
      </c>
    </row>
    <row r="79" spans="1:6">
      <c r="A79" s="278" t="s">
        <v>1819</v>
      </c>
      <c r="B79" s="283" t="s">
        <v>1823</v>
      </c>
      <c r="C79" s="365">
        <v>9.8000000000000004E-2</v>
      </c>
      <c r="D79" s="365">
        <v>9.8000000000000004E-2</v>
      </c>
      <c r="E79" s="365">
        <v>9.0999999999999998E-2</v>
      </c>
      <c r="F79" s="366">
        <v>0.1</v>
      </c>
    </row>
    <row r="80" spans="1:6">
      <c r="A80" s="278" t="s">
        <v>1819</v>
      </c>
      <c r="B80" s="283" t="s">
        <v>1824</v>
      </c>
      <c r="C80" s="365">
        <v>9.6000000000000002E-2</v>
      </c>
      <c r="D80" s="365">
        <v>9.6000000000000002E-2</v>
      </c>
      <c r="E80" s="365">
        <v>0.1</v>
      </c>
      <c r="F80" s="366">
        <v>0.1</v>
      </c>
    </row>
    <row r="81" spans="1:6">
      <c r="A81" s="278" t="s">
        <v>1819</v>
      </c>
      <c r="B81" s="283" t="s">
        <v>1825</v>
      </c>
      <c r="C81" s="365">
        <v>9.9000000000000005E-2</v>
      </c>
      <c r="D81" s="365">
        <v>9.9000000000000005E-2</v>
      </c>
      <c r="E81" s="365">
        <v>9.8000000000000004E-2</v>
      </c>
      <c r="F81" s="366">
        <v>0.1</v>
      </c>
    </row>
    <row r="82" spans="1:6">
      <c r="A82" s="278" t="s">
        <v>1819</v>
      </c>
      <c r="B82" s="283" t="s">
        <v>1826</v>
      </c>
      <c r="C82" s="365">
        <v>9.9000000000000005E-2</v>
      </c>
      <c r="D82" s="365">
        <v>9.9000000000000005E-2</v>
      </c>
      <c r="E82" s="365">
        <v>9.7000000000000003E-2</v>
      </c>
      <c r="F82" s="366">
        <v>0.1</v>
      </c>
    </row>
    <row r="83" spans="1:6">
      <c r="A83" s="278" t="s">
        <v>1819</v>
      </c>
      <c r="B83" s="283" t="s">
        <v>1827</v>
      </c>
      <c r="C83" s="365">
        <v>9.8000000000000004E-2</v>
      </c>
      <c r="D83" s="365">
        <v>9.8000000000000004E-2</v>
      </c>
      <c r="E83" s="365">
        <v>9.8000000000000004E-2</v>
      </c>
      <c r="F83" s="366">
        <v>0.1</v>
      </c>
    </row>
    <row r="84" spans="1:6">
      <c r="A84" s="278" t="s">
        <v>1819</v>
      </c>
      <c r="B84" s="283" t="s">
        <v>1828</v>
      </c>
      <c r="C84" s="365">
        <v>9.9000000000000005E-2</v>
      </c>
      <c r="D84" s="365">
        <v>9.9000000000000005E-2</v>
      </c>
      <c r="E84" s="365">
        <v>9.9000000000000005E-2</v>
      </c>
      <c r="F84" s="366">
        <v>0.1</v>
      </c>
    </row>
    <row r="85" spans="1:6">
      <c r="A85" s="278" t="s">
        <v>1819</v>
      </c>
      <c r="B85" s="283" t="s">
        <v>1829</v>
      </c>
      <c r="C85" s="365">
        <v>9.9000000000000005E-2</v>
      </c>
      <c r="D85" s="365">
        <v>9.9000000000000005E-2</v>
      </c>
      <c r="E85" s="365">
        <v>9.9000000000000005E-2</v>
      </c>
      <c r="F85" s="366">
        <v>0.1</v>
      </c>
    </row>
    <row r="86" spans="1:6">
      <c r="A86" s="278" t="s">
        <v>1819</v>
      </c>
      <c r="B86" s="283" t="s">
        <v>1830</v>
      </c>
      <c r="C86" s="365">
        <v>0.1</v>
      </c>
      <c r="D86" s="365">
        <v>0.1</v>
      </c>
      <c r="E86" s="365">
        <v>7.6999999999999999E-2</v>
      </c>
      <c r="F86" s="366">
        <v>0.1</v>
      </c>
    </row>
    <row r="87" spans="1:6">
      <c r="A87" s="278" t="s">
        <v>1819</v>
      </c>
      <c r="B87" s="283" t="s">
        <v>1831</v>
      </c>
      <c r="C87" s="365">
        <v>0.1</v>
      </c>
      <c r="D87" s="365">
        <v>0.1</v>
      </c>
      <c r="E87" s="365">
        <v>9.8000000000000004E-2</v>
      </c>
      <c r="F87" s="370"/>
    </row>
    <row r="88" spans="1:6">
      <c r="A88" s="278" t="s">
        <v>1819</v>
      </c>
      <c r="B88" s="283" t="s">
        <v>1832</v>
      </c>
      <c r="C88" s="365">
        <v>9.1999999999999998E-2</v>
      </c>
      <c r="D88" s="365">
        <v>8.5000000000000006E-2</v>
      </c>
      <c r="E88" s="365">
        <v>9.6000000000000002E-2</v>
      </c>
      <c r="F88" s="370"/>
    </row>
    <row r="89" spans="1:6">
      <c r="A89" s="278" t="s">
        <v>1819</v>
      </c>
      <c r="B89" s="283" t="s">
        <v>1833</v>
      </c>
      <c r="C89" s="365">
        <v>0.1</v>
      </c>
      <c r="D89" s="365">
        <v>0.1</v>
      </c>
      <c r="E89" s="365">
        <v>9.7000000000000003E-2</v>
      </c>
      <c r="F89" s="370"/>
    </row>
    <row r="90" spans="1:6">
      <c r="A90" s="278" t="s">
        <v>1819</v>
      </c>
      <c r="B90" s="283" t="s">
        <v>1834</v>
      </c>
      <c r="C90" s="365">
        <v>9.8000000000000004E-2</v>
      </c>
      <c r="D90" s="365">
        <v>9.8000000000000004E-2</v>
      </c>
      <c r="E90" s="365">
        <v>8.7999999999999995E-2</v>
      </c>
      <c r="F90" s="370"/>
    </row>
    <row r="91" spans="1:6">
      <c r="A91" s="278" t="s">
        <v>1819</v>
      </c>
      <c r="B91" s="283" t="s">
        <v>1835</v>
      </c>
      <c r="C91" s="365">
        <v>9.9000000000000005E-2</v>
      </c>
      <c r="D91" s="365">
        <v>9.9000000000000005E-2</v>
      </c>
      <c r="E91" s="365">
        <v>9.0999999999999998E-2</v>
      </c>
      <c r="F91" s="370"/>
    </row>
    <row r="92" spans="1:6">
      <c r="A92" s="278" t="s">
        <v>1819</v>
      </c>
      <c r="B92" s="283" t="s">
        <v>1836</v>
      </c>
      <c r="C92" s="365">
        <v>9.6000000000000002E-2</v>
      </c>
      <c r="D92" s="365">
        <v>9.6000000000000002E-2</v>
      </c>
      <c r="E92" s="365">
        <v>7.2999999999999995E-2</v>
      </c>
      <c r="F92" s="370"/>
    </row>
    <row r="93" spans="1:6">
      <c r="A93" s="278" t="s">
        <v>1819</v>
      </c>
      <c r="B93" s="283" t="s">
        <v>1837</v>
      </c>
      <c r="C93" s="365">
        <v>9.6000000000000002E-2</v>
      </c>
      <c r="D93" s="365">
        <v>9.6000000000000002E-2</v>
      </c>
      <c r="E93" s="365">
        <v>9.9000000000000005E-2</v>
      </c>
      <c r="F93" s="370"/>
    </row>
    <row r="94" spans="1:6">
      <c r="A94" s="278" t="s">
        <v>1819</v>
      </c>
      <c r="B94" s="283" t="s">
        <v>1838</v>
      </c>
      <c r="C94" s="365">
        <v>7.5999999999999998E-2</v>
      </c>
      <c r="D94" s="365">
        <v>7.3999999999999996E-2</v>
      </c>
      <c r="E94" s="365">
        <v>9.7000000000000003E-2</v>
      </c>
      <c r="F94" s="370"/>
    </row>
    <row r="95" spans="1:6">
      <c r="A95" s="278" t="s">
        <v>1819</v>
      </c>
      <c r="B95" s="283" t="s">
        <v>1839</v>
      </c>
      <c r="C95" s="365">
        <v>9.9000000000000005E-2</v>
      </c>
      <c r="D95" s="365">
        <v>9.4E-2</v>
      </c>
      <c r="E95" s="365">
        <v>9.6000000000000002E-2</v>
      </c>
      <c r="F95" s="370"/>
    </row>
    <row r="96" spans="1:6">
      <c r="A96" s="278" t="s">
        <v>1819</v>
      </c>
      <c r="B96" s="283" t="s">
        <v>1840</v>
      </c>
      <c r="C96" s="365">
        <v>9.9000000000000005E-2</v>
      </c>
      <c r="D96" s="365">
        <v>9.9000000000000005E-2</v>
      </c>
      <c r="E96" s="365">
        <v>9.9000000000000005E-2</v>
      </c>
      <c r="F96" s="370"/>
    </row>
    <row r="97" spans="1:6">
      <c r="A97" s="278" t="s">
        <v>1819</v>
      </c>
      <c r="B97" s="283" t="s">
        <v>1841</v>
      </c>
      <c r="C97" s="365">
        <v>9.8000000000000004E-2</v>
      </c>
      <c r="D97" s="365">
        <v>9.8000000000000004E-2</v>
      </c>
      <c r="E97" s="365">
        <v>9.7000000000000003E-2</v>
      </c>
      <c r="F97" s="370"/>
    </row>
    <row r="98" spans="1:6">
      <c r="A98" s="278" t="s">
        <v>1819</v>
      </c>
      <c r="B98" s="283" t="s">
        <v>1842</v>
      </c>
      <c r="C98" s="365">
        <v>0.1</v>
      </c>
      <c r="D98" s="365">
        <v>0.1</v>
      </c>
      <c r="E98" s="365">
        <v>9.7000000000000003E-2</v>
      </c>
      <c r="F98" s="370"/>
    </row>
    <row r="99" spans="1:6">
      <c r="A99" s="278" t="s">
        <v>1819</v>
      </c>
      <c r="B99" s="283" t="s">
        <v>1843</v>
      </c>
      <c r="C99" s="365">
        <v>0.1</v>
      </c>
      <c r="D99" s="365">
        <v>0.1</v>
      </c>
      <c r="E99" s="371"/>
      <c r="F99" s="370"/>
    </row>
    <row r="100" spans="1:6">
      <c r="A100" s="278" t="s">
        <v>1819</v>
      </c>
      <c r="B100" s="283" t="s">
        <v>1844</v>
      </c>
      <c r="C100" s="365">
        <v>0.09</v>
      </c>
      <c r="D100" s="365">
        <v>8.8999999999999996E-2</v>
      </c>
      <c r="E100" s="371"/>
      <c r="F100" s="370"/>
    </row>
    <row r="101" spans="1:6">
      <c r="A101" s="278" t="s">
        <v>1819</v>
      </c>
      <c r="B101" s="283" t="s">
        <v>1845</v>
      </c>
      <c r="C101" s="365">
        <v>9.8000000000000004E-2</v>
      </c>
      <c r="D101" s="365">
        <v>9.7000000000000003E-2</v>
      </c>
      <c r="E101" s="371"/>
      <c r="F101" s="370"/>
    </row>
    <row r="102" spans="1:6">
      <c r="A102" s="278" t="s">
        <v>1819</v>
      </c>
      <c r="B102" s="283" t="s">
        <v>1846</v>
      </c>
      <c r="C102" s="371"/>
      <c r="D102" s="371"/>
      <c r="E102" s="371"/>
      <c r="F102" s="366">
        <v>0.05</v>
      </c>
    </row>
    <row r="103" spans="1:6" ht="24">
      <c r="A103" s="278" t="s">
        <v>1819</v>
      </c>
      <c r="B103" s="283" t="s">
        <v>1847</v>
      </c>
      <c r="C103" s="371"/>
      <c r="D103" s="371"/>
      <c r="E103" s="371"/>
      <c r="F103" s="366">
        <v>0.05</v>
      </c>
    </row>
    <row r="104" spans="1:6">
      <c r="A104" s="278" t="s">
        <v>1819</v>
      </c>
      <c r="B104" s="283" t="s">
        <v>1848</v>
      </c>
      <c r="C104" s="371"/>
      <c r="D104" s="371"/>
      <c r="E104" s="371"/>
      <c r="F104" s="366">
        <v>0.05</v>
      </c>
    </row>
    <row r="105" spans="1:6">
      <c r="A105" s="278" t="s">
        <v>1819</v>
      </c>
      <c r="B105" s="283" t="s">
        <v>1849</v>
      </c>
      <c r="C105" s="371"/>
      <c r="D105" s="371"/>
      <c r="E105" s="371"/>
      <c r="F105" s="366">
        <v>0.05</v>
      </c>
    </row>
    <row r="106" spans="1:6">
      <c r="A106" s="278" t="s">
        <v>1819</v>
      </c>
      <c r="B106" s="283" t="s">
        <v>1850</v>
      </c>
      <c r="C106" s="371"/>
      <c r="D106" s="371"/>
      <c r="E106" s="371"/>
      <c r="F106" s="366">
        <v>0.05</v>
      </c>
    </row>
    <row r="107" spans="1:6" ht="24">
      <c r="A107" s="278" t="s">
        <v>1819</v>
      </c>
      <c r="B107" s="283" t="s">
        <v>1851</v>
      </c>
      <c r="C107" s="371"/>
      <c r="D107" s="371"/>
      <c r="E107" s="371"/>
      <c r="F107" s="366">
        <v>0.05</v>
      </c>
    </row>
    <row r="108" spans="1:6" ht="24">
      <c r="A108" s="278" t="s">
        <v>1819</v>
      </c>
      <c r="B108" s="283" t="s">
        <v>1852</v>
      </c>
      <c r="C108" s="371"/>
      <c r="D108" s="371"/>
      <c r="E108" s="371"/>
      <c r="F108" s="366">
        <v>0.05</v>
      </c>
    </row>
    <row r="109" spans="1:6" ht="24">
      <c r="A109" s="296" t="s">
        <v>1819</v>
      </c>
      <c r="B109" s="289" t="s">
        <v>1853</v>
      </c>
      <c r="C109" s="368"/>
      <c r="D109" s="368"/>
      <c r="E109" s="368"/>
      <c r="F109" s="372">
        <v>0.05</v>
      </c>
    </row>
    <row r="110" spans="1:6">
      <c r="A110" s="278" t="s">
        <v>1854</v>
      </c>
      <c r="B110" s="279" t="s">
        <v>1855</v>
      </c>
      <c r="C110" s="363">
        <v>0.129</v>
      </c>
      <c r="D110" s="363">
        <v>0.129</v>
      </c>
      <c r="E110" s="363">
        <v>0.126</v>
      </c>
      <c r="F110" s="364">
        <v>0.13</v>
      </c>
    </row>
    <row r="111" spans="1:6">
      <c r="A111" s="278" t="s">
        <v>1854</v>
      </c>
      <c r="B111" s="283" t="s">
        <v>1856</v>
      </c>
      <c r="C111" s="365">
        <v>0.11</v>
      </c>
      <c r="D111" s="365">
        <v>0.11</v>
      </c>
      <c r="E111" s="365">
        <v>9.9000000000000005E-2</v>
      </c>
      <c r="F111" s="366">
        <v>0.128</v>
      </c>
    </row>
    <row r="112" spans="1:6">
      <c r="A112" s="278" t="s">
        <v>1854</v>
      </c>
      <c r="B112" s="283" t="s">
        <v>1857</v>
      </c>
      <c r="C112" s="365">
        <v>0.125</v>
      </c>
      <c r="D112" s="365">
        <v>0.125</v>
      </c>
      <c r="E112" s="365">
        <v>0.12</v>
      </c>
      <c r="F112" s="366">
        <v>0.125</v>
      </c>
    </row>
    <row r="113" spans="1:6">
      <c r="A113" s="278" t="s">
        <v>1854</v>
      </c>
      <c r="B113" s="283" t="s">
        <v>1858</v>
      </c>
      <c r="C113" s="365">
        <v>0.13</v>
      </c>
      <c r="D113" s="365">
        <v>0.13</v>
      </c>
      <c r="E113" s="365">
        <v>0.13</v>
      </c>
      <c r="F113" s="366">
        <v>0.13</v>
      </c>
    </row>
    <row r="114" spans="1:6">
      <c r="A114" s="278" t="s">
        <v>1854</v>
      </c>
      <c r="B114" s="283" t="s">
        <v>1859</v>
      </c>
      <c r="C114" s="365">
        <v>0.123</v>
      </c>
      <c r="D114" s="365">
        <v>0.123</v>
      </c>
      <c r="E114" s="365">
        <v>0.12</v>
      </c>
      <c r="F114" s="366">
        <v>0.13</v>
      </c>
    </row>
    <row r="115" spans="1:6">
      <c r="A115" s="278" t="s">
        <v>1854</v>
      </c>
      <c r="B115" s="283" t="s">
        <v>1860</v>
      </c>
      <c r="C115" s="365">
        <v>0.125</v>
      </c>
      <c r="D115" s="365">
        <v>0.125</v>
      </c>
      <c r="E115" s="365">
        <v>0.11700000000000001</v>
      </c>
      <c r="F115" s="366">
        <v>0.13</v>
      </c>
    </row>
    <row r="116" spans="1:6">
      <c r="A116" s="278" t="s">
        <v>1854</v>
      </c>
      <c r="B116" s="283" t="s">
        <v>1861</v>
      </c>
      <c r="C116" s="365">
        <v>0.11700000000000001</v>
      </c>
      <c r="D116" s="365">
        <v>0.11700000000000001</v>
      </c>
      <c r="E116" s="365">
        <v>8.7999999999999995E-2</v>
      </c>
      <c r="F116" s="366">
        <v>0.13</v>
      </c>
    </row>
    <row r="117" spans="1:6">
      <c r="A117" s="278" t="s">
        <v>1854</v>
      </c>
      <c r="B117" s="283" t="s">
        <v>1862</v>
      </c>
      <c r="C117" s="365">
        <v>0.13</v>
      </c>
      <c r="D117" s="365">
        <v>0.13</v>
      </c>
      <c r="E117" s="365">
        <v>0.129</v>
      </c>
      <c r="F117" s="366">
        <v>0.13</v>
      </c>
    </row>
    <row r="118" spans="1:6">
      <c r="A118" s="278" t="s">
        <v>1854</v>
      </c>
      <c r="B118" s="283" t="s">
        <v>1863</v>
      </c>
      <c r="C118" s="365">
        <v>0.123</v>
      </c>
      <c r="D118" s="365">
        <v>0.123</v>
      </c>
      <c r="E118" s="365">
        <v>0.11600000000000001</v>
      </c>
      <c r="F118" s="366">
        <v>0.13</v>
      </c>
    </row>
    <row r="119" spans="1:6">
      <c r="A119" s="278" t="s">
        <v>1854</v>
      </c>
      <c r="B119" s="283" t="s">
        <v>1864</v>
      </c>
      <c r="C119" s="365">
        <v>0.127</v>
      </c>
      <c r="D119" s="365">
        <v>0.127</v>
      </c>
      <c r="E119" s="365">
        <v>0.124</v>
      </c>
      <c r="F119" s="366">
        <v>0.13</v>
      </c>
    </row>
    <row r="120" spans="1:6">
      <c r="A120" s="278" t="s">
        <v>1854</v>
      </c>
      <c r="B120" s="283" t="s">
        <v>1865</v>
      </c>
      <c r="C120" s="365">
        <v>0.125</v>
      </c>
      <c r="D120" s="365">
        <v>0.125</v>
      </c>
      <c r="E120" s="365">
        <v>0.122</v>
      </c>
      <c r="F120" s="366">
        <v>0.13</v>
      </c>
    </row>
    <row r="121" spans="1:6">
      <c r="A121" s="278" t="s">
        <v>1854</v>
      </c>
      <c r="B121" s="283" t="s">
        <v>1866</v>
      </c>
      <c r="C121" s="365">
        <v>0.13</v>
      </c>
      <c r="D121" s="365">
        <v>0.13</v>
      </c>
      <c r="E121" s="365">
        <v>0.13</v>
      </c>
      <c r="F121" s="366">
        <v>0.13</v>
      </c>
    </row>
    <row r="122" spans="1:6">
      <c r="A122" s="278" t="s">
        <v>1854</v>
      </c>
      <c r="B122" s="283" t="s">
        <v>1867</v>
      </c>
      <c r="C122" s="365">
        <v>0.13</v>
      </c>
      <c r="D122" s="365">
        <v>0.13</v>
      </c>
      <c r="E122" s="365">
        <v>0.125</v>
      </c>
      <c r="F122" s="366">
        <v>0.13</v>
      </c>
    </row>
    <row r="123" spans="1:6">
      <c r="A123" s="278" t="s">
        <v>1854</v>
      </c>
      <c r="B123" s="283" t="s">
        <v>1868</v>
      </c>
      <c r="C123" s="365">
        <v>0.129</v>
      </c>
      <c r="D123" s="365">
        <v>0.129</v>
      </c>
      <c r="E123" s="365">
        <v>0.123</v>
      </c>
      <c r="F123" s="366">
        <v>0.13</v>
      </c>
    </row>
    <row r="124" spans="1:6">
      <c r="A124" s="278" t="s">
        <v>1854</v>
      </c>
      <c r="B124" s="283" t="s">
        <v>1869</v>
      </c>
      <c r="C124" s="365">
        <v>0.10199999999999999</v>
      </c>
      <c r="D124" s="365">
        <v>0.10100000000000001</v>
      </c>
      <c r="E124" s="365">
        <v>0.08</v>
      </c>
      <c r="F124" s="370"/>
    </row>
    <row r="125" spans="1:6">
      <c r="A125" s="278" t="s">
        <v>1854</v>
      </c>
      <c r="B125" s="283" t="s">
        <v>1870</v>
      </c>
      <c r="C125" s="365">
        <v>0.13</v>
      </c>
      <c r="D125" s="365">
        <v>0.13</v>
      </c>
      <c r="E125" s="365">
        <v>0.129</v>
      </c>
      <c r="F125" s="370"/>
    </row>
    <row r="126" spans="1:6">
      <c r="A126" s="278" t="s">
        <v>1854</v>
      </c>
      <c r="B126" s="283" t="s">
        <v>1871</v>
      </c>
      <c r="C126" s="365">
        <v>0.13</v>
      </c>
      <c r="D126" s="365">
        <v>0.13</v>
      </c>
      <c r="E126" s="365">
        <v>0.126</v>
      </c>
      <c r="F126" s="370"/>
    </row>
    <row r="127" spans="1:6">
      <c r="A127" s="278" t="s">
        <v>1854</v>
      </c>
      <c r="B127" s="283" t="s">
        <v>1872</v>
      </c>
      <c r="C127" s="365">
        <v>0.125</v>
      </c>
      <c r="D127" s="365">
        <v>0.125</v>
      </c>
      <c r="E127" s="365">
        <v>0.121</v>
      </c>
      <c r="F127" s="370"/>
    </row>
    <row r="128" spans="1:6">
      <c r="A128" s="278" t="s">
        <v>1854</v>
      </c>
      <c r="B128" s="283" t="s">
        <v>1873</v>
      </c>
      <c r="C128" s="365">
        <v>0.12</v>
      </c>
      <c r="D128" s="365">
        <v>0.12</v>
      </c>
      <c r="E128" s="365">
        <v>0.105</v>
      </c>
      <c r="F128" s="370"/>
    </row>
    <row r="129" spans="1:6">
      <c r="A129" s="278" t="s">
        <v>1854</v>
      </c>
      <c r="B129" s="283" t="s">
        <v>1874</v>
      </c>
      <c r="C129" s="365">
        <v>0.13</v>
      </c>
      <c r="D129" s="365">
        <v>0.13</v>
      </c>
      <c r="E129" s="365">
        <v>0.126</v>
      </c>
      <c r="F129" s="370"/>
    </row>
    <row r="130" spans="1:6">
      <c r="A130" s="278" t="s">
        <v>1854</v>
      </c>
      <c r="B130" s="283" t="s">
        <v>1875</v>
      </c>
      <c r="C130" s="365">
        <v>0.125</v>
      </c>
      <c r="D130" s="365">
        <v>0.125</v>
      </c>
      <c r="E130" s="365">
        <v>0.122</v>
      </c>
      <c r="F130" s="370"/>
    </row>
    <row r="131" spans="1:6">
      <c r="A131" s="278" t="s">
        <v>1854</v>
      </c>
      <c r="B131" s="283" t="s">
        <v>1876</v>
      </c>
      <c r="C131" s="365">
        <v>0.127</v>
      </c>
      <c r="D131" s="365">
        <v>0.126</v>
      </c>
      <c r="E131" s="365">
        <v>0.123</v>
      </c>
      <c r="F131" s="370"/>
    </row>
    <row r="132" spans="1:6">
      <c r="A132" s="278" t="s">
        <v>1854</v>
      </c>
      <c r="B132" s="283" t="s">
        <v>1877</v>
      </c>
      <c r="C132" s="365">
        <v>9.0999999999999998E-2</v>
      </c>
      <c r="D132" s="365">
        <v>0.121</v>
      </c>
      <c r="E132" s="365">
        <v>9.9000000000000005E-2</v>
      </c>
      <c r="F132" s="370"/>
    </row>
    <row r="133" spans="1:6">
      <c r="A133" s="278" t="s">
        <v>1854</v>
      </c>
      <c r="B133" s="283" t="s">
        <v>1878</v>
      </c>
      <c r="C133" s="365">
        <v>0.13</v>
      </c>
      <c r="D133" s="365">
        <v>0.13</v>
      </c>
      <c r="E133" s="365">
        <v>0.129</v>
      </c>
      <c r="F133" s="370"/>
    </row>
    <row r="134" spans="1:6">
      <c r="A134" s="278" t="s">
        <v>1854</v>
      </c>
      <c r="B134" s="283" t="s">
        <v>1879</v>
      </c>
      <c r="C134" s="365">
        <v>6.8000000000000005E-2</v>
      </c>
      <c r="D134" s="365">
        <v>6.5000000000000002E-2</v>
      </c>
      <c r="E134" s="365">
        <v>6.5000000000000002E-2</v>
      </c>
      <c r="F134" s="366">
        <v>0.13</v>
      </c>
    </row>
    <row r="135" spans="1:6">
      <c r="A135" s="278" t="s">
        <v>1854</v>
      </c>
      <c r="B135" s="283" t="s">
        <v>1880</v>
      </c>
      <c r="C135" s="365">
        <v>0.123</v>
      </c>
      <c r="D135" s="365">
        <v>0.123</v>
      </c>
      <c r="E135" s="365">
        <v>0.11</v>
      </c>
      <c r="F135" s="370"/>
    </row>
    <row r="136" spans="1:6">
      <c r="A136" s="278" t="s">
        <v>1854</v>
      </c>
      <c r="B136" s="283" t="s">
        <v>1881</v>
      </c>
      <c r="C136" s="365">
        <v>0.13</v>
      </c>
      <c r="D136" s="365">
        <v>0.13</v>
      </c>
      <c r="E136" s="365">
        <v>0.125</v>
      </c>
      <c r="F136" s="370"/>
    </row>
    <row r="137" spans="1:6">
      <c r="A137" s="278" t="s">
        <v>1854</v>
      </c>
      <c r="B137" s="283" t="s">
        <v>1882</v>
      </c>
      <c r="C137" s="365">
        <v>0.121</v>
      </c>
      <c r="D137" s="365">
        <v>0.122</v>
      </c>
      <c r="E137" s="365">
        <v>0.115</v>
      </c>
      <c r="F137" s="370"/>
    </row>
    <row r="138" spans="1:6">
      <c r="A138" s="278" t="s">
        <v>1854</v>
      </c>
      <c r="B138" s="283" t="s">
        <v>1883</v>
      </c>
      <c r="C138" s="365">
        <v>0.105</v>
      </c>
      <c r="D138" s="365">
        <v>0.125</v>
      </c>
      <c r="E138" s="365">
        <v>0.112</v>
      </c>
      <c r="F138" s="370"/>
    </row>
    <row r="139" spans="1:6">
      <c r="A139" s="278" t="s">
        <v>1854</v>
      </c>
      <c r="B139" s="283" t="s">
        <v>1884</v>
      </c>
      <c r="C139" s="365">
        <v>0.127</v>
      </c>
      <c r="D139" s="365">
        <v>0.127</v>
      </c>
      <c r="E139" s="365">
        <v>0.122</v>
      </c>
      <c r="F139" s="366">
        <v>0.13</v>
      </c>
    </row>
    <row r="140" spans="1:6">
      <c r="A140" s="278" t="s">
        <v>1854</v>
      </c>
      <c r="B140" s="283" t="s">
        <v>1885</v>
      </c>
      <c r="C140" s="365">
        <v>0.125</v>
      </c>
      <c r="D140" s="365">
        <v>0.125</v>
      </c>
      <c r="E140" s="365">
        <v>0.11899999999999999</v>
      </c>
      <c r="F140" s="366">
        <v>0.13</v>
      </c>
    </row>
    <row r="141" spans="1:6">
      <c r="A141" s="278" t="s">
        <v>1854</v>
      </c>
      <c r="B141" s="283" t="s">
        <v>1886</v>
      </c>
      <c r="C141" s="365">
        <v>0.125</v>
      </c>
      <c r="D141" s="365">
        <v>0.125</v>
      </c>
      <c r="E141" s="365">
        <v>0.11700000000000001</v>
      </c>
      <c r="F141" s="370"/>
    </row>
    <row r="142" spans="1:6">
      <c r="A142" s="278" t="s">
        <v>1854</v>
      </c>
      <c r="B142" s="283" t="s">
        <v>1887</v>
      </c>
      <c r="C142" s="365">
        <v>0.125</v>
      </c>
      <c r="D142" s="365">
        <v>0.125</v>
      </c>
      <c r="E142" s="365">
        <v>0.115</v>
      </c>
      <c r="F142" s="370"/>
    </row>
    <row r="143" spans="1:6">
      <c r="A143" s="278" t="s">
        <v>1854</v>
      </c>
      <c r="B143" s="283" t="s">
        <v>1888</v>
      </c>
      <c r="C143" s="365">
        <v>0.121</v>
      </c>
      <c r="D143" s="365">
        <v>0.121</v>
      </c>
      <c r="E143" s="365">
        <v>0.108</v>
      </c>
      <c r="F143" s="370"/>
    </row>
    <row r="144" spans="1:6">
      <c r="A144" s="278" t="s">
        <v>1854</v>
      </c>
      <c r="B144" s="373" t="s">
        <v>1889</v>
      </c>
      <c r="C144" s="374">
        <v>0.126</v>
      </c>
      <c r="D144" s="374">
        <v>0.126</v>
      </c>
      <c r="E144" s="374">
        <v>0.121</v>
      </c>
      <c r="F144" s="370"/>
    </row>
    <row r="145" spans="1:6">
      <c r="A145" s="296" t="s">
        <v>1854</v>
      </c>
      <c r="B145" s="375" t="s">
        <v>1890</v>
      </c>
      <c r="C145" s="376"/>
      <c r="D145" s="376"/>
      <c r="E145" s="376"/>
      <c r="F145" s="377">
        <v>0.05</v>
      </c>
    </row>
    <row r="146" spans="1:6" ht="24">
      <c r="A146" s="378" t="s">
        <v>1854</v>
      </c>
      <c r="B146" s="287" t="s">
        <v>1891</v>
      </c>
      <c r="C146" s="371"/>
      <c r="D146" s="371"/>
      <c r="E146" s="371"/>
      <c r="F146" s="379">
        <v>0.05</v>
      </c>
    </row>
    <row r="147" spans="1:6" ht="24">
      <c r="A147" s="278" t="s">
        <v>1854</v>
      </c>
      <c r="B147" s="283" t="s">
        <v>1892</v>
      </c>
      <c r="C147" s="371"/>
      <c r="D147" s="371"/>
      <c r="E147" s="371"/>
      <c r="F147" s="366">
        <v>0.05</v>
      </c>
    </row>
    <row r="148" spans="1:6" ht="24">
      <c r="A148" s="278" t="s">
        <v>1854</v>
      </c>
      <c r="B148" s="283" t="s">
        <v>1893</v>
      </c>
      <c r="C148" s="371"/>
      <c r="D148" s="371"/>
      <c r="E148" s="371"/>
      <c r="F148" s="366">
        <v>0.05</v>
      </c>
    </row>
    <row r="149" spans="1:6" ht="24">
      <c r="A149" s="278" t="s">
        <v>1854</v>
      </c>
      <c r="B149" s="283" t="s">
        <v>1894</v>
      </c>
      <c r="C149" s="371"/>
      <c r="D149" s="371"/>
      <c r="E149" s="371"/>
      <c r="F149" s="366">
        <v>0.05</v>
      </c>
    </row>
    <row r="150" spans="1:6" ht="24">
      <c r="A150" s="278" t="s">
        <v>1854</v>
      </c>
      <c r="B150" s="283" t="s">
        <v>1895</v>
      </c>
      <c r="C150" s="371"/>
      <c r="D150" s="371"/>
      <c r="E150" s="371"/>
      <c r="F150" s="366">
        <v>0.05</v>
      </c>
    </row>
    <row r="151" spans="1:6" ht="24">
      <c r="A151" s="278" t="s">
        <v>1854</v>
      </c>
      <c r="B151" s="283" t="s">
        <v>1896</v>
      </c>
      <c r="C151" s="371"/>
      <c r="D151" s="371"/>
      <c r="E151" s="371"/>
      <c r="F151" s="366">
        <v>0.05</v>
      </c>
    </row>
    <row r="152" spans="1:6" ht="24">
      <c r="A152" s="278" t="s">
        <v>1854</v>
      </c>
      <c r="B152" s="283" t="s">
        <v>1897</v>
      </c>
      <c r="C152" s="371"/>
      <c r="D152" s="371"/>
      <c r="E152" s="371"/>
      <c r="F152" s="366">
        <v>0.05</v>
      </c>
    </row>
    <row r="153" spans="1:6">
      <c r="A153" s="278" t="s">
        <v>1854</v>
      </c>
      <c r="B153" s="283" t="s">
        <v>1898</v>
      </c>
      <c r="C153" s="371"/>
      <c r="D153" s="371"/>
      <c r="E153" s="371"/>
      <c r="F153" s="366">
        <v>0.05</v>
      </c>
    </row>
    <row r="154" spans="1:6">
      <c r="A154" s="278" t="s">
        <v>1854</v>
      </c>
      <c r="B154" s="283" t="s">
        <v>1899</v>
      </c>
      <c r="C154" s="371"/>
      <c r="D154" s="371"/>
      <c r="E154" s="371"/>
      <c r="F154" s="366">
        <v>0.05</v>
      </c>
    </row>
    <row r="155" spans="1:6" ht="24">
      <c r="A155" s="278" t="s">
        <v>1854</v>
      </c>
      <c r="B155" s="283" t="s">
        <v>1900</v>
      </c>
      <c r="C155" s="371"/>
      <c r="D155" s="371"/>
      <c r="E155" s="371"/>
      <c r="F155" s="366">
        <v>0.05</v>
      </c>
    </row>
    <row r="156" spans="1:6" ht="24">
      <c r="A156" s="278" t="s">
        <v>1854</v>
      </c>
      <c r="B156" s="283" t="s">
        <v>1901</v>
      </c>
      <c r="C156" s="371"/>
      <c r="D156" s="371"/>
      <c r="E156" s="371"/>
      <c r="F156" s="366">
        <v>0.05</v>
      </c>
    </row>
    <row r="157" spans="1:6">
      <c r="A157" s="296" t="s">
        <v>1854</v>
      </c>
      <c r="B157" s="289" t="s">
        <v>1902</v>
      </c>
      <c r="C157" s="368"/>
      <c r="D157" s="368"/>
      <c r="E157" s="368"/>
      <c r="F157" s="372">
        <v>0.05</v>
      </c>
    </row>
    <row r="158" spans="1:6">
      <c r="A158" s="278" t="s">
        <v>1903</v>
      </c>
      <c r="B158" s="279" t="s">
        <v>1904</v>
      </c>
      <c r="C158" s="363">
        <v>0.13</v>
      </c>
      <c r="D158" s="363">
        <v>0.13</v>
      </c>
      <c r="E158" s="363">
        <v>0.13</v>
      </c>
      <c r="F158" s="364">
        <v>0.13</v>
      </c>
    </row>
    <row r="159" spans="1:6">
      <c r="A159" s="278" t="s">
        <v>1903</v>
      </c>
      <c r="B159" s="283" t="s">
        <v>1905</v>
      </c>
      <c r="C159" s="365">
        <v>0.13</v>
      </c>
      <c r="D159" s="365">
        <v>0.13</v>
      </c>
      <c r="E159" s="365">
        <v>0.13</v>
      </c>
      <c r="F159" s="366">
        <v>0.13</v>
      </c>
    </row>
    <row r="160" spans="1:6">
      <c r="A160" s="278" t="s">
        <v>1903</v>
      </c>
      <c r="B160" s="283" t="s">
        <v>1906</v>
      </c>
      <c r="C160" s="365">
        <v>0.13</v>
      </c>
      <c r="D160" s="365">
        <v>0.13</v>
      </c>
      <c r="E160" s="365">
        <v>0.129</v>
      </c>
      <c r="F160" s="366">
        <v>0.13</v>
      </c>
    </row>
    <row r="161" spans="1:6">
      <c r="A161" s="278" t="s">
        <v>1903</v>
      </c>
      <c r="B161" s="283" t="s">
        <v>1907</v>
      </c>
      <c r="C161" s="365">
        <v>0.128</v>
      </c>
      <c r="D161" s="365">
        <v>0.128</v>
      </c>
      <c r="E161" s="365">
        <v>0.125</v>
      </c>
      <c r="F161" s="366">
        <v>0.13</v>
      </c>
    </row>
    <row r="162" spans="1:6">
      <c r="A162" s="278" t="s">
        <v>1903</v>
      </c>
      <c r="B162" s="283" t="s">
        <v>1908</v>
      </c>
      <c r="C162" s="365">
        <v>0.122</v>
      </c>
      <c r="D162" s="365">
        <v>0.122</v>
      </c>
      <c r="E162" s="365">
        <v>0.126</v>
      </c>
      <c r="F162" s="366">
        <v>0.122</v>
      </c>
    </row>
    <row r="163" spans="1:6">
      <c r="A163" s="278" t="s">
        <v>1903</v>
      </c>
      <c r="B163" s="283" t="s">
        <v>1909</v>
      </c>
      <c r="C163" s="365">
        <v>0.13</v>
      </c>
      <c r="D163" s="365">
        <v>0.13</v>
      </c>
      <c r="E163" s="365">
        <v>0.125</v>
      </c>
      <c r="F163" s="366">
        <v>0.13</v>
      </c>
    </row>
    <row r="164" spans="1:6">
      <c r="A164" s="278" t="s">
        <v>1903</v>
      </c>
      <c r="B164" s="283" t="s">
        <v>1910</v>
      </c>
      <c r="C164" s="365">
        <v>0.13</v>
      </c>
      <c r="D164" s="365">
        <v>0.13</v>
      </c>
      <c r="E164" s="365">
        <v>0.13</v>
      </c>
      <c r="F164" s="366">
        <v>0.13</v>
      </c>
    </row>
    <row r="165" spans="1:6">
      <c r="A165" s="278" t="s">
        <v>1903</v>
      </c>
      <c r="B165" s="283" t="s">
        <v>1911</v>
      </c>
      <c r="C165" s="365">
        <v>0.13</v>
      </c>
      <c r="D165" s="365">
        <v>0.13</v>
      </c>
      <c r="E165" s="365">
        <v>0.124</v>
      </c>
      <c r="F165" s="366">
        <v>0.13</v>
      </c>
    </row>
    <row r="166" spans="1:6">
      <c r="A166" s="278" t="s">
        <v>1903</v>
      </c>
      <c r="B166" s="283" t="s">
        <v>1912</v>
      </c>
      <c r="C166" s="365">
        <v>0.13</v>
      </c>
      <c r="D166" s="365">
        <v>0.13</v>
      </c>
      <c r="E166" s="365">
        <v>0.13</v>
      </c>
      <c r="F166" s="366">
        <v>0.13</v>
      </c>
    </row>
    <row r="167" spans="1:6">
      <c r="A167" s="278" t="s">
        <v>1903</v>
      </c>
      <c r="B167" s="283" t="s">
        <v>1913</v>
      </c>
      <c r="C167" s="365">
        <v>0.125</v>
      </c>
      <c r="D167" s="365">
        <v>0.125</v>
      </c>
      <c r="E167" s="365">
        <v>0.121</v>
      </c>
      <c r="F167" s="370"/>
    </row>
    <row r="168" spans="1:6">
      <c r="A168" s="278" t="s">
        <v>1903</v>
      </c>
      <c r="B168" s="283" t="s">
        <v>1914</v>
      </c>
      <c r="C168" s="365">
        <v>0.13</v>
      </c>
      <c r="D168" s="365">
        <v>0.13</v>
      </c>
      <c r="E168" s="365">
        <v>0.126</v>
      </c>
      <c r="F168" s="370"/>
    </row>
    <row r="169" spans="1:6">
      <c r="A169" s="278" t="s">
        <v>1903</v>
      </c>
      <c r="B169" s="283" t="s">
        <v>1915</v>
      </c>
      <c r="C169" s="365">
        <v>0.128</v>
      </c>
      <c r="D169" s="365">
        <v>0.129</v>
      </c>
      <c r="E169" s="365">
        <v>0.13</v>
      </c>
      <c r="F169" s="370"/>
    </row>
    <row r="170" spans="1:6">
      <c r="A170" s="278" t="s">
        <v>1903</v>
      </c>
      <c r="B170" s="283" t="s">
        <v>1916</v>
      </c>
      <c r="C170" s="365">
        <v>0.14099999999999999</v>
      </c>
      <c r="D170" s="365">
        <v>0.13</v>
      </c>
      <c r="E170" s="365">
        <v>0.125</v>
      </c>
      <c r="F170" s="370"/>
    </row>
    <row r="171" spans="1:6">
      <c r="A171" s="278" t="s">
        <v>1903</v>
      </c>
      <c r="B171" s="283" t="s">
        <v>1917</v>
      </c>
      <c r="C171" s="365">
        <v>0.127</v>
      </c>
      <c r="D171" s="365">
        <v>0.126</v>
      </c>
      <c r="E171" s="365">
        <v>0.126</v>
      </c>
      <c r="F171" s="366">
        <v>0.11799999999999999</v>
      </c>
    </row>
    <row r="172" spans="1:6">
      <c r="A172" s="278" t="s">
        <v>1903</v>
      </c>
      <c r="B172" s="283" t="s">
        <v>1918</v>
      </c>
      <c r="C172" s="365">
        <v>0.13</v>
      </c>
      <c r="D172" s="365">
        <v>0.13</v>
      </c>
      <c r="E172" s="365">
        <v>0.13</v>
      </c>
      <c r="F172" s="370"/>
    </row>
    <row r="173" spans="1:6">
      <c r="A173" s="278" t="s">
        <v>1903</v>
      </c>
      <c r="B173" s="283" t="s">
        <v>1919</v>
      </c>
      <c r="C173" s="365">
        <v>0.13</v>
      </c>
      <c r="D173" s="365">
        <v>0.13</v>
      </c>
      <c r="E173" s="365">
        <v>0.13</v>
      </c>
      <c r="F173" s="370"/>
    </row>
    <row r="174" spans="1:6">
      <c r="A174" s="278" t="s">
        <v>1903</v>
      </c>
      <c r="B174" s="283" t="s">
        <v>1920</v>
      </c>
      <c r="C174" s="365">
        <v>0.13</v>
      </c>
      <c r="D174" s="365">
        <v>0.13</v>
      </c>
      <c r="E174" s="365">
        <v>0.13</v>
      </c>
      <c r="F174" s="366">
        <v>0.13</v>
      </c>
    </row>
    <row r="175" spans="1:6">
      <c r="A175" s="278" t="s">
        <v>1903</v>
      </c>
      <c r="B175" s="283" t="s">
        <v>1921</v>
      </c>
      <c r="C175" s="365">
        <v>0.13</v>
      </c>
      <c r="D175" s="365">
        <v>0.13</v>
      </c>
      <c r="E175" s="365">
        <v>0.13</v>
      </c>
      <c r="F175" s="366">
        <v>0.13</v>
      </c>
    </row>
    <row r="176" spans="1:6">
      <c r="A176" s="278" t="s">
        <v>1903</v>
      </c>
      <c r="B176" s="283" t="s">
        <v>1922</v>
      </c>
      <c r="C176" s="365">
        <v>0.13</v>
      </c>
      <c r="D176" s="365">
        <v>0.13</v>
      </c>
      <c r="E176" s="365">
        <v>0.13</v>
      </c>
      <c r="F176" s="366">
        <v>0.13</v>
      </c>
    </row>
    <row r="177" spans="1:6">
      <c r="A177" s="278" t="s">
        <v>1903</v>
      </c>
      <c r="B177" s="283" t="s">
        <v>1923</v>
      </c>
      <c r="C177" s="365">
        <v>0.13</v>
      </c>
      <c r="D177" s="365">
        <v>0.13</v>
      </c>
      <c r="E177" s="365">
        <v>0.13</v>
      </c>
      <c r="F177" s="366">
        <v>0.13</v>
      </c>
    </row>
    <row r="178" spans="1:6">
      <c r="A178" s="278" t="s">
        <v>1903</v>
      </c>
      <c r="B178" s="283" t="s">
        <v>1924</v>
      </c>
      <c r="C178" s="365">
        <v>0.13</v>
      </c>
      <c r="D178" s="365">
        <v>0.13</v>
      </c>
      <c r="E178" s="365">
        <v>0.13</v>
      </c>
      <c r="F178" s="366">
        <v>0.127</v>
      </c>
    </row>
    <row r="179" spans="1:6">
      <c r="A179" s="278" t="s">
        <v>1903</v>
      </c>
      <c r="B179" s="283" t="s">
        <v>1925</v>
      </c>
      <c r="C179" s="365">
        <v>0.13</v>
      </c>
      <c r="D179" s="365">
        <v>0.13</v>
      </c>
      <c r="E179" s="365">
        <v>0.13</v>
      </c>
      <c r="F179" s="370"/>
    </row>
    <row r="180" spans="1:6">
      <c r="A180" s="278" t="s">
        <v>1903</v>
      </c>
      <c r="B180" s="283" t="s">
        <v>1926</v>
      </c>
      <c r="C180" s="365">
        <v>0.13</v>
      </c>
      <c r="D180" s="365">
        <v>0.13</v>
      </c>
      <c r="E180" s="365">
        <v>0.125</v>
      </c>
      <c r="F180" s="366">
        <v>0.13</v>
      </c>
    </row>
    <row r="181" spans="1:6">
      <c r="A181" s="278" t="s">
        <v>1903</v>
      </c>
      <c r="B181" s="283" t="s">
        <v>1927</v>
      </c>
      <c r="C181" s="365">
        <v>0.122</v>
      </c>
      <c r="D181" s="365">
        <v>0.123</v>
      </c>
      <c r="E181" s="365">
        <v>0.126</v>
      </c>
      <c r="F181" s="366">
        <v>0.121</v>
      </c>
    </row>
    <row r="182" spans="1:6">
      <c r="A182" s="278" t="s">
        <v>1903</v>
      </c>
      <c r="B182" s="283" t="s">
        <v>1928</v>
      </c>
      <c r="C182" s="365">
        <v>0.125</v>
      </c>
      <c r="D182" s="365">
        <v>0.125</v>
      </c>
      <c r="E182" s="365">
        <v>0.11700000000000001</v>
      </c>
      <c r="F182" s="366">
        <v>0.13</v>
      </c>
    </row>
    <row r="183" spans="1:6">
      <c r="A183" s="278" t="s">
        <v>1903</v>
      </c>
      <c r="B183" s="283" t="s">
        <v>1929</v>
      </c>
      <c r="C183" s="365">
        <v>0.127</v>
      </c>
      <c r="D183" s="365">
        <v>0.127</v>
      </c>
      <c r="E183" s="365">
        <v>0.128</v>
      </c>
      <c r="F183" s="370"/>
    </row>
    <row r="184" spans="1:6">
      <c r="A184" s="278" t="s">
        <v>1903</v>
      </c>
      <c r="B184" s="283" t="s">
        <v>1930</v>
      </c>
      <c r="C184" s="365">
        <v>0.125</v>
      </c>
      <c r="D184" s="365">
        <v>0.125</v>
      </c>
      <c r="E184" s="365">
        <v>0.127</v>
      </c>
      <c r="F184" s="370"/>
    </row>
    <row r="185" spans="1:6">
      <c r="A185" s="278" t="s">
        <v>1903</v>
      </c>
      <c r="B185" s="283" t="s">
        <v>1931</v>
      </c>
      <c r="C185" s="365">
        <v>0.127</v>
      </c>
      <c r="D185" s="365">
        <v>0.127</v>
      </c>
      <c r="E185" s="365">
        <v>0.128</v>
      </c>
      <c r="F185" s="366">
        <v>0.13</v>
      </c>
    </row>
    <row r="186" spans="1:6" ht="24">
      <c r="A186" s="278" t="s">
        <v>1903</v>
      </c>
      <c r="B186" s="283" t="s">
        <v>1932</v>
      </c>
      <c r="C186" s="371"/>
      <c r="D186" s="371"/>
      <c r="E186" s="371"/>
      <c r="F186" s="366">
        <v>0.05</v>
      </c>
    </row>
    <row r="187" spans="1:6">
      <c r="A187" s="278" t="s">
        <v>1903</v>
      </c>
      <c r="B187" s="283" t="s">
        <v>1933</v>
      </c>
      <c r="C187" s="371"/>
      <c r="D187" s="371"/>
      <c r="E187" s="371"/>
      <c r="F187" s="366">
        <v>0.05</v>
      </c>
    </row>
    <row r="188" spans="1:6">
      <c r="A188" s="278" t="s">
        <v>1903</v>
      </c>
      <c r="B188" s="283" t="s">
        <v>1934</v>
      </c>
      <c r="C188" s="371"/>
      <c r="D188" s="371"/>
      <c r="E188" s="371"/>
      <c r="F188" s="366">
        <v>0.05</v>
      </c>
    </row>
    <row r="189" spans="1:6" ht="24">
      <c r="A189" s="278" t="s">
        <v>1903</v>
      </c>
      <c r="B189" s="283" t="s">
        <v>1935</v>
      </c>
      <c r="C189" s="371"/>
      <c r="D189" s="371"/>
      <c r="E189" s="371"/>
      <c r="F189" s="366">
        <v>0.05</v>
      </c>
    </row>
    <row r="190" spans="1:6" ht="24">
      <c r="A190" s="278" t="s">
        <v>1903</v>
      </c>
      <c r="B190" s="283" t="s">
        <v>1936</v>
      </c>
      <c r="C190" s="371"/>
      <c r="D190" s="371"/>
      <c r="E190" s="371"/>
      <c r="F190" s="366">
        <v>0.05</v>
      </c>
    </row>
    <row r="191" spans="1:6" ht="24">
      <c r="A191" s="278" t="s">
        <v>1903</v>
      </c>
      <c r="B191" s="283" t="s">
        <v>1937</v>
      </c>
      <c r="C191" s="371"/>
      <c r="D191" s="371"/>
      <c r="E191" s="371"/>
      <c r="F191" s="366">
        <v>0.05</v>
      </c>
    </row>
    <row r="192" spans="1:6" ht="24">
      <c r="A192" s="278" t="s">
        <v>1903</v>
      </c>
      <c r="B192" s="283" t="s">
        <v>1938</v>
      </c>
      <c r="C192" s="371"/>
      <c r="D192" s="371"/>
      <c r="E192" s="371"/>
      <c r="F192" s="366">
        <v>0.05</v>
      </c>
    </row>
    <row r="193" spans="1:6" ht="24">
      <c r="A193" s="278" t="s">
        <v>1903</v>
      </c>
      <c r="B193" s="283" t="s">
        <v>1939</v>
      </c>
      <c r="C193" s="371"/>
      <c r="D193" s="371"/>
      <c r="E193" s="371"/>
      <c r="F193" s="366">
        <v>0.05</v>
      </c>
    </row>
    <row r="194" spans="1:6" ht="24">
      <c r="A194" s="278" t="s">
        <v>1903</v>
      </c>
      <c r="B194" s="283" t="s">
        <v>1940</v>
      </c>
      <c r="C194" s="371"/>
      <c r="D194" s="371"/>
      <c r="E194" s="371"/>
      <c r="F194" s="366">
        <v>0.05</v>
      </c>
    </row>
    <row r="195" spans="1:6">
      <c r="A195" s="278" t="s">
        <v>1903</v>
      </c>
      <c r="B195" s="283" t="s">
        <v>1941</v>
      </c>
      <c r="C195" s="371"/>
      <c r="D195" s="371"/>
      <c r="E195" s="371"/>
      <c r="F195" s="366">
        <v>0.05</v>
      </c>
    </row>
    <row r="196" spans="1:6" ht="24">
      <c r="A196" s="278" t="s">
        <v>1903</v>
      </c>
      <c r="B196" s="283" t="s">
        <v>1942</v>
      </c>
      <c r="C196" s="371"/>
      <c r="D196" s="371"/>
      <c r="E196" s="371"/>
      <c r="F196" s="366">
        <v>0.05</v>
      </c>
    </row>
    <row r="197" spans="1:6" ht="24">
      <c r="A197" s="278" t="s">
        <v>1903</v>
      </c>
      <c r="B197" s="283" t="s">
        <v>1943</v>
      </c>
      <c r="C197" s="371"/>
      <c r="D197" s="371"/>
      <c r="E197" s="371"/>
      <c r="F197" s="366">
        <v>0.05</v>
      </c>
    </row>
    <row r="198" spans="1:6" ht="24">
      <c r="A198" s="278" t="s">
        <v>1903</v>
      </c>
      <c r="B198" s="283" t="s">
        <v>1944</v>
      </c>
      <c r="C198" s="371"/>
      <c r="D198" s="371"/>
      <c r="E198" s="371"/>
      <c r="F198" s="366">
        <v>0.05</v>
      </c>
    </row>
    <row r="199" spans="1:6" ht="24">
      <c r="A199" s="278" t="s">
        <v>1903</v>
      </c>
      <c r="B199" s="283" t="s">
        <v>1945</v>
      </c>
      <c r="C199" s="371"/>
      <c r="D199" s="371"/>
      <c r="E199" s="371"/>
      <c r="F199" s="366">
        <v>0.05</v>
      </c>
    </row>
    <row r="200" spans="1:6" ht="24">
      <c r="A200" s="278" t="s">
        <v>1903</v>
      </c>
      <c r="B200" s="283" t="s">
        <v>1946</v>
      </c>
      <c r="C200" s="371"/>
      <c r="D200" s="371"/>
      <c r="E200" s="371"/>
      <c r="F200" s="366">
        <v>0.05</v>
      </c>
    </row>
    <row r="201" spans="1:6" ht="24">
      <c r="A201" s="278" t="s">
        <v>1903</v>
      </c>
      <c r="B201" s="283" t="s">
        <v>1947</v>
      </c>
      <c r="C201" s="371"/>
      <c r="D201" s="371"/>
      <c r="E201" s="371"/>
      <c r="F201" s="366">
        <v>0.05</v>
      </c>
    </row>
    <row r="202" spans="1:6" ht="24">
      <c r="A202" s="278" t="s">
        <v>1903</v>
      </c>
      <c r="B202" s="283" t="s">
        <v>1948</v>
      </c>
      <c r="C202" s="371"/>
      <c r="D202" s="371"/>
      <c r="E202" s="371"/>
      <c r="F202" s="366">
        <v>0.05</v>
      </c>
    </row>
    <row r="203" spans="1:6" ht="24">
      <c r="A203" s="278" t="s">
        <v>1903</v>
      </c>
      <c r="B203" s="283" t="s">
        <v>1949</v>
      </c>
      <c r="C203" s="371"/>
      <c r="D203" s="371"/>
      <c r="E203" s="371"/>
      <c r="F203" s="366">
        <v>0.05</v>
      </c>
    </row>
    <row r="204" spans="1:6">
      <c r="A204" s="278" t="s">
        <v>1903</v>
      </c>
      <c r="B204" s="283" t="s">
        <v>1950</v>
      </c>
      <c r="C204" s="371"/>
      <c r="D204" s="371"/>
      <c r="E204" s="371"/>
      <c r="F204" s="366">
        <v>0.05</v>
      </c>
    </row>
    <row r="205" spans="1:6">
      <c r="A205" s="296" t="s">
        <v>1903</v>
      </c>
      <c r="B205" s="289" t="s">
        <v>1951</v>
      </c>
      <c r="C205" s="368"/>
      <c r="D205" s="368"/>
      <c r="E205" s="368"/>
      <c r="F205" s="372">
        <v>0.05</v>
      </c>
    </row>
    <row r="206" spans="1:6">
      <c r="A206" s="278" t="s">
        <v>1952</v>
      </c>
      <c r="B206" s="279" t="s">
        <v>1953</v>
      </c>
      <c r="C206" s="363">
        <v>0.15</v>
      </c>
      <c r="D206" s="363">
        <v>0.15</v>
      </c>
      <c r="E206" s="363">
        <v>0.15</v>
      </c>
      <c r="F206" s="364">
        <v>0.15</v>
      </c>
    </row>
    <row r="207" spans="1:6">
      <c r="A207" s="278" t="s">
        <v>1952</v>
      </c>
      <c r="B207" s="283" t="s">
        <v>1954</v>
      </c>
      <c r="C207" s="365">
        <v>0.15</v>
      </c>
      <c r="D207" s="365">
        <v>0.15</v>
      </c>
      <c r="E207" s="365">
        <v>0.15</v>
      </c>
      <c r="F207" s="366">
        <v>0.14399999999999999</v>
      </c>
    </row>
    <row r="208" spans="1:6">
      <c r="A208" s="278" t="s">
        <v>1952</v>
      </c>
      <c r="B208" s="283" t="s">
        <v>1955</v>
      </c>
      <c r="C208" s="365">
        <v>0.15</v>
      </c>
      <c r="D208" s="365">
        <v>0.15</v>
      </c>
      <c r="E208" s="365">
        <v>0.15</v>
      </c>
      <c r="F208" s="366">
        <v>0.15</v>
      </c>
    </row>
    <row r="209" spans="1:6">
      <c r="A209" s="278" t="s">
        <v>1952</v>
      </c>
      <c r="B209" s="283" t="s">
        <v>1956</v>
      </c>
      <c r="C209" s="365">
        <v>0.13700000000000001</v>
      </c>
      <c r="D209" s="365">
        <v>0.13700000000000001</v>
      </c>
      <c r="E209" s="365">
        <v>0.14000000000000001</v>
      </c>
      <c r="F209" s="366">
        <v>0.11700000000000001</v>
      </c>
    </row>
    <row r="210" spans="1:6">
      <c r="A210" s="278" t="s">
        <v>1952</v>
      </c>
      <c r="B210" s="283" t="s">
        <v>1957</v>
      </c>
      <c r="C210" s="365">
        <v>0.15</v>
      </c>
      <c r="D210" s="365">
        <v>0.15</v>
      </c>
      <c r="E210" s="365">
        <v>0.15</v>
      </c>
      <c r="F210" s="366">
        <v>0.13800000000000001</v>
      </c>
    </row>
    <row r="211" spans="1:6">
      <c r="A211" s="278" t="s">
        <v>1952</v>
      </c>
      <c r="B211" s="283" t="s">
        <v>1958</v>
      </c>
      <c r="C211" s="365">
        <v>0.13700000000000001</v>
      </c>
      <c r="D211" s="365">
        <v>0.13500000000000001</v>
      </c>
      <c r="E211" s="365">
        <v>0.13600000000000001</v>
      </c>
      <c r="F211" s="366">
        <v>0.1</v>
      </c>
    </row>
    <row r="212" spans="1:6">
      <c r="A212" s="278" t="s">
        <v>1952</v>
      </c>
      <c r="B212" s="283" t="s">
        <v>1959</v>
      </c>
      <c r="C212" s="365">
        <v>0.15</v>
      </c>
      <c r="D212" s="365">
        <v>0.15</v>
      </c>
      <c r="E212" s="365">
        <v>0.14799999999999999</v>
      </c>
      <c r="F212" s="366">
        <v>0.13600000000000001</v>
      </c>
    </row>
    <row r="213" spans="1:6">
      <c r="A213" s="278" t="s">
        <v>1952</v>
      </c>
      <c r="B213" s="283" t="s">
        <v>1960</v>
      </c>
      <c r="C213" s="365">
        <v>0.15</v>
      </c>
      <c r="D213" s="365">
        <v>0.15</v>
      </c>
      <c r="E213" s="365">
        <v>0.15</v>
      </c>
      <c r="F213" s="366">
        <v>0.13800000000000001</v>
      </c>
    </row>
    <row r="214" spans="1:6">
      <c r="A214" s="278" t="s">
        <v>1952</v>
      </c>
      <c r="B214" s="283" t="s">
        <v>1961</v>
      </c>
      <c r="C214" s="365">
        <v>9.0999999999999998E-2</v>
      </c>
      <c r="D214" s="365">
        <v>0.09</v>
      </c>
      <c r="E214" s="365">
        <v>9.1999999999999998E-2</v>
      </c>
      <c r="F214" s="370"/>
    </row>
    <row r="215" spans="1:6">
      <c r="A215" s="278" t="s">
        <v>1952</v>
      </c>
      <c r="B215" s="283" t="s">
        <v>1962</v>
      </c>
      <c r="C215" s="365">
        <v>0.15</v>
      </c>
      <c r="D215" s="365">
        <v>0.15</v>
      </c>
      <c r="E215" s="365">
        <v>0.15</v>
      </c>
      <c r="F215" s="366">
        <v>0.15</v>
      </c>
    </row>
    <row r="216" spans="1:6">
      <c r="A216" s="278" t="s">
        <v>1952</v>
      </c>
      <c r="B216" s="283" t="s">
        <v>1963</v>
      </c>
      <c r="C216" s="365">
        <v>0.14699999999999999</v>
      </c>
      <c r="D216" s="365">
        <v>0.14699999999999999</v>
      </c>
      <c r="E216" s="365">
        <v>0.15</v>
      </c>
      <c r="F216" s="366">
        <v>0.14000000000000001</v>
      </c>
    </row>
    <row r="217" spans="1:6">
      <c r="A217" s="278" t="s">
        <v>1952</v>
      </c>
      <c r="B217" s="283" t="s">
        <v>1964</v>
      </c>
      <c r="C217" s="365">
        <v>0.15</v>
      </c>
      <c r="D217" s="365">
        <v>0.15</v>
      </c>
      <c r="E217" s="365">
        <v>0.15</v>
      </c>
      <c r="F217" s="366">
        <v>0.15</v>
      </c>
    </row>
    <row r="218" spans="1:6">
      <c r="A218" s="278" t="s">
        <v>1952</v>
      </c>
      <c r="B218" s="283" t="s">
        <v>1965</v>
      </c>
      <c r="C218" s="365">
        <v>0.15</v>
      </c>
      <c r="D218" s="365">
        <v>0.15</v>
      </c>
      <c r="E218" s="365">
        <v>0.15</v>
      </c>
      <c r="F218" s="366">
        <v>0.15</v>
      </c>
    </row>
    <row r="219" spans="1:6">
      <c r="A219" s="278" t="s">
        <v>1952</v>
      </c>
      <c r="B219" s="283" t="s">
        <v>1966</v>
      </c>
      <c r="C219" s="365">
        <v>0.15</v>
      </c>
      <c r="D219" s="365">
        <v>0.15</v>
      </c>
      <c r="E219" s="365">
        <v>0.15</v>
      </c>
      <c r="F219" s="366">
        <v>0.14799999999999999</v>
      </c>
    </row>
    <row r="220" spans="1:6">
      <c r="A220" s="278" t="s">
        <v>1952</v>
      </c>
      <c r="B220" s="283" t="s">
        <v>1967</v>
      </c>
      <c r="C220" s="365">
        <v>0.15</v>
      </c>
      <c r="D220" s="365">
        <v>0.15</v>
      </c>
      <c r="E220" s="365">
        <v>0.15</v>
      </c>
      <c r="F220" s="366">
        <v>0.15</v>
      </c>
    </row>
    <row r="221" spans="1:6">
      <c r="A221" s="278" t="s">
        <v>1952</v>
      </c>
      <c r="B221" s="283" t="s">
        <v>1968</v>
      </c>
      <c r="C221" s="365"/>
      <c r="D221" s="371"/>
      <c r="E221" s="371"/>
      <c r="F221" s="366">
        <v>0.14799999999999999</v>
      </c>
    </row>
    <row r="222" spans="1:6">
      <c r="A222" s="278" t="s">
        <v>1952</v>
      </c>
      <c r="B222" s="283" t="s">
        <v>1969</v>
      </c>
      <c r="C222" s="365"/>
      <c r="D222" s="371"/>
      <c r="E222" s="371"/>
      <c r="F222" s="366">
        <v>0.1</v>
      </c>
    </row>
    <row r="223" spans="1:6">
      <c r="A223" s="278" t="s">
        <v>1952</v>
      </c>
      <c r="B223" s="283" t="s">
        <v>1970</v>
      </c>
      <c r="C223" s="365"/>
      <c r="D223" s="371"/>
      <c r="E223" s="371"/>
      <c r="F223" s="366">
        <v>0.15</v>
      </c>
    </row>
    <row r="224" spans="1:6">
      <c r="A224" s="278" t="s">
        <v>1952</v>
      </c>
      <c r="B224" s="283" t="s">
        <v>1971</v>
      </c>
      <c r="C224" s="365"/>
      <c r="D224" s="371"/>
      <c r="E224" s="371"/>
      <c r="F224" s="366">
        <v>0.15</v>
      </c>
    </row>
    <row r="225" spans="1:6">
      <c r="A225" s="278" t="s">
        <v>1952</v>
      </c>
      <c r="B225" s="283" t="s">
        <v>1972</v>
      </c>
      <c r="C225" s="365">
        <v>0.15</v>
      </c>
      <c r="D225" s="365">
        <v>0.15</v>
      </c>
      <c r="E225" s="365">
        <v>0.15</v>
      </c>
      <c r="F225" s="366">
        <v>0.15</v>
      </c>
    </row>
    <row r="226" spans="1:6">
      <c r="A226" s="278" t="s">
        <v>1952</v>
      </c>
      <c r="B226" s="283" t="s">
        <v>1973</v>
      </c>
      <c r="C226" s="365">
        <v>0.15</v>
      </c>
      <c r="D226" s="365">
        <v>0.15</v>
      </c>
      <c r="E226" s="365">
        <v>0.15</v>
      </c>
      <c r="F226" s="366">
        <v>0.14799999999999999</v>
      </c>
    </row>
    <row r="227" spans="1:6">
      <c r="A227" s="278" t="s">
        <v>1952</v>
      </c>
      <c r="B227" s="283" t="s">
        <v>1974</v>
      </c>
      <c r="C227" s="365">
        <v>0.15</v>
      </c>
      <c r="D227" s="365">
        <v>0.15</v>
      </c>
      <c r="E227" s="365">
        <v>0.15</v>
      </c>
      <c r="F227" s="366">
        <v>0.15</v>
      </c>
    </row>
    <row r="228" spans="1:6">
      <c r="A228" s="278" t="s">
        <v>1952</v>
      </c>
      <c r="B228" s="283" t="s">
        <v>1975</v>
      </c>
      <c r="C228" s="365">
        <v>0.15</v>
      </c>
      <c r="D228" s="365">
        <v>0.15</v>
      </c>
      <c r="E228" s="365">
        <v>0.15</v>
      </c>
      <c r="F228" s="366">
        <v>0.15</v>
      </c>
    </row>
    <row r="229" spans="1:6">
      <c r="A229" s="278" t="s">
        <v>1952</v>
      </c>
      <c r="B229" s="283" t="s">
        <v>1976</v>
      </c>
      <c r="C229" s="365">
        <v>0.15</v>
      </c>
      <c r="D229" s="365">
        <v>0.15</v>
      </c>
      <c r="E229" s="365">
        <v>0.15</v>
      </c>
      <c r="F229" s="370"/>
    </row>
    <row r="230" spans="1:6">
      <c r="A230" s="278" t="s">
        <v>1952</v>
      </c>
      <c r="B230" s="283" t="s">
        <v>1977</v>
      </c>
      <c r="C230" s="365">
        <v>0.14499999999999999</v>
      </c>
      <c r="D230" s="365">
        <v>0.14499999999999999</v>
      </c>
      <c r="E230" s="365">
        <v>0.14399999999999999</v>
      </c>
      <c r="F230" s="370"/>
    </row>
    <row r="231" spans="1:6">
      <c r="A231" s="278" t="s">
        <v>1952</v>
      </c>
      <c r="B231" s="283" t="s">
        <v>1978</v>
      </c>
      <c r="C231" s="365">
        <v>0.128</v>
      </c>
      <c r="D231" s="365">
        <v>0.125</v>
      </c>
      <c r="E231" s="365">
        <v>0.13200000000000001</v>
      </c>
      <c r="F231" s="370"/>
    </row>
    <row r="232" spans="1:6">
      <c r="A232" s="278" t="s">
        <v>1952</v>
      </c>
      <c r="B232" s="283" t="s">
        <v>1979</v>
      </c>
      <c r="C232" s="365">
        <v>0.14499999999999999</v>
      </c>
      <c r="D232" s="365">
        <v>0.14399999999999999</v>
      </c>
      <c r="E232" s="365">
        <v>0.14599999999999999</v>
      </c>
      <c r="F232" s="366">
        <v>0.13800000000000001</v>
      </c>
    </row>
    <row r="233" spans="1:6">
      <c r="A233" s="278" t="s">
        <v>1952</v>
      </c>
      <c r="B233" s="283" t="s">
        <v>1980</v>
      </c>
      <c r="C233" s="365">
        <v>0.14499999999999999</v>
      </c>
      <c r="D233" s="365">
        <v>0.14299999999999999</v>
      </c>
      <c r="E233" s="365">
        <v>0.14199999999999999</v>
      </c>
      <c r="F233" s="370"/>
    </row>
    <row r="234" spans="1:6">
      <c r="A234" s="278" t="s">
        <v>1952</v>
      </c>
      <c r="B234" s="283" t="s">
        <v>1981</v>
      </c>
      <c r="C234" s="365">
        <v>0.14000000000000001</v>
      </c>
      <c r="D234" s="365">
        <v>0.14000000000000001</v>
      </c>
      <c r="E234" s="365">
        <v>0.14399999999999999</v>
      </c>
      <c r="F234" s="370"/>
    </row>
    <row r="235" spans="1:6">
      <c r="A235" s="278" t="s">
        <v>1952</v>
      </c>
      <c r="B235" s="283" t="s">
        <v>1982</v>
      </c>
      <c r="C235" s="365">
        <v>0.14099999999999999</v>
      </c>
      <c r="D235" s="365">
        <v>0.14199999999999999</v>
      </c>
      <c r="E235" s="365">
        <v>0.14499999999999999</v>
      </c>
      <c r="F235" s="366">
        <v>0.15</v>
      </c>
    </row>
    <row r="236" spans="1:6">
      <c r="A236" s="278" t="s">
        <v>1952</v>
      </c>
      <c r="B236" s="283" t="s">
        <v>1983</v>
      </c>
      <c r="C236" s="371"/>
      <c r="D236" s="371"/>
      <c r="E236" s="371"/>
      <c r="F236" s="366">
        <v>0.14299999999999999</v>
      </c>
    </row>
    <row r="237" spans="1:6" ht="24">
      <c r="A237" s="278" t="s">
        <v>1952</v>
      </c>
      <c r="B237" s="283" t="s">
        <v>1984</v>
      </c>
      <c r="C237" s="371"/>
      <c r="D237" s="371"/>
      <c r="E237" s="371"/>
      <c r="F237" s="366">
        <v>0.05</v>
      </c>
    </row>
    <row r="238" spans="1:6" ht="24">
      <c r="A238" s="278" t="s">
        <v>1952</v>
      </c>
      <c r="B238" s="283" t="s">
        <v>1985</v>
      </c>
      <c r="C238" s="371"/>
      <c r="D238" s="371"/>
      <c r="E238" s="371"/>
      <c r="F238" s="366">
        <v>0.05</v>
      </c>
    </row>
    <row r="239" spans="1:6" ht="24">
      <c r="A239" s="278" t="s">
        <v>1952</v>
      </c>
      <c r="B239" s="283" t="s">
        <v>1986</v>
      </c>
      <c r="C239" s="371"/>
      <c r="D239" s="371"/>
      <c r="E239" s="371"/>
      <c r="F239" s="366">
        <v>0.05</v>
      </c>
    </row>
    <row r="240" spans="1:6" ht="24">
      <c r="A240" s="278" t="s">
        <v>1952</v>
      </c>
      <c r="B240" s="283" t="s">
        <v>1987</v>
      </c>
      <c r="C240" s="371"/>
      <c r="D240" s="371"/>
      <c r="E240" s="371"/>
      <c r="F240" s="366">
        <v>0.05</v>
      </c>
    </row>
    <row r="241" spans="1:6" ht="24">
      <c r="A241" s="278" t="s">
        <v>1952</v>
      </c>
      <c r="B241" s="283" t="s">
        <v>1988</v>
      </c>
      <c r="C241" s="371"/>
      <c r="D241" s="371"/>
      <c r="E241" s="371"/>
      <c r="F241" s="366">
        <v>0.05</v>
      </c>
    </row>
    <row r="242" spans="1:6" ht="24">
      <c r="A242" s="278" t="s">
        <v>1952</v>
      </c>
      <c r="B242" s="283" t="s">
        <v>1989</v>
      </c>
      <c r="C242" s="371"/>
      <c r="D242" s="371"/>
      <c r="E242" s="371"/>
      <c r="F242" s="366">
        <v>0.05</v>
      </c>
    </row>
    <row r="243" spans="1:6" ht="24">
      <c r="A243" s="278" t="s">
        <v>1952</v>
      </c>
      <c r="B243" s="283" t="s">
        <v>1990</v>
      </c>
      <c r="C243" s="371"/>
      <c r="D243" s="371"/>
      <c r="E243" s="371"/>
      <c r="F243" s="366">
        <v>0.05</v>
      </c>
    </row>
    <row r="244" spans="1:6" ht="24">
      <c r="A244" s="296" t="s">
        <v>1952</v>
      </c>
      <c r="B244" s="289" t="s">
        <v>1991</v>
      </c>
      <c r="C244" s="368"/>
      <c r="D244" s="368"/>
      <c r="E244" s="368"/>
      <c r="F244" s="372">
        <v>0.05</v>
      </c>
    </row>
    <row r="245" spans="1:6">
      <c r="A245" s="278" t="s">
        <v>1992</v>
      </c>
      <c r="B245" s="279" t="s">
        <v>1993</v>
      </c>
      <c r="C245" s="363">
        <v>0.15</v>
      </c>
      <c r="D245" s="363">
        <v>0.15</v>
      </c>
      <c r="E245" s="363">
        <v>0.15</v>
      </c>
      <c r="F245" s="364">
        <v>0.14299999999999999</v>
      </c>
    </row>
    <row r="246" spans="1:6">
      <c r="A246" s="278" t="s">
        <v>1992</v>
      </c>
      <c r="B246" s="283" t="s">
        <v>1994</v>
      </c>
      <c r="C246" s="365">
        <v>0.15</v>
      </c>
      <c r="D246" s="365">
        <v>0.15</v>
      </c>
      <c r="E246" s="365">
        <v>0.15</v>
      </c>
      <c r="F246" s="366">
        <v>0.114</v>
      </c>
    </row>
    <row r="247" spans="1:6">
      <c r="A247" s="278" t="s">
        <v>1992</v>
      </c>
      <c r="B247" s="283" t="s">
        <v>1995</v>
      </c>
      <c r="C247" s="365">
        <v>0.15</v>
      </c>
      <c r="D247" s="365">
        <v>0.15</v>
      </c>
      <c r="E247" s="365">
        <v>0.15</v>
      </c>
      <c r="F247" s="366">
        <v>0.15</v>
      </c>
    </row>
    <row r="248" spans="1:6">
      <c r="A248" s="278" t="s">
        <v>1992</v>
      </c>
      <c r="B248" s="283" t="s">
        <v>1996</v>
      </c>
      <c r="C248" s="365">
        <v>0.15</v>
      </c>
      <c r="D248" s="365">
        <v>0.15</v>
      </c>
      <c r="E248" s="365">
        <v>0.15</v>
      </c>
      <c r="F248" s="366">
        <v>0.14000000000000001</v>
      </c>
    </row>
    <row r="249" spans="1:6">
      <c r="A249" s="278" t="s">
        <v>1992</v>
      </c>
      <c r="B249" s="283" t="s">
        <v>1997</v>
      </c>
      <c r="C249" s="365">
        <v>0.15</v>
      </c>
      <c r="D249" s="365">
        <v>0.14899999999999999</v>
      </c>
      <c r="E249" s="365">
        <v>0.15</v>
      </c>
      <c r="F249" s="366">
        <v>0.1</v>
      </c>
    </row>
    <row r="250" spans="1:6">
      <c r="A250" s="278" t="s">
        <v>1992</v>
      </c>
      <c r="B250" s="283" t="s">
        <v>1998</v>
      </c>
      <c r="C250" s="365">
        <v>0.15</v>
      </c>
      <c r="D250" s="365">
        <v>0.15</v>
      </c>
      <c r="E250" s="365">
        <v>0.15</v>
      </c>
      <c r="F250" s="366">
        <v>0.14399999999999999</v>
      </c>
    </row>
    <row r="251" spans="1:6">
      <c r="A251" s="278" t="s">
        <v>1992</v>
      </c>
      <c r="B251" s="283" t="s">
        <v>1999</v>
      </c>
      <c r="C251" s="365">
        <v>0.15</v>
      </c>
      <c r="D251" s="365">
        <v>0.15</v>
      </c>
      <c r="E251" s="365">
        <v>0.15</v>
      </c>
      <c r="F251" s="366">
        <v>0.14299999999999999</v>
      </c>
    </row>
    <row r="252" spans="1:6">
      <c r="A252" s="278" t="s">
        <v>1992</v>
      </c>
      <c r="B252" s="283" t="s">
        <v>2000</v>
      </c>
      <c r="C252" s="365">
        <v>0.15</v>
      </c>
      <c r="D252" s="365">
        <v>0.15</v>
      </c>
      <c r="E252" s="365">
        <v>0.15</v>
      </c>
      <c r="F252" s="366">
        <v>0.1</v>
      </c>
    </row>
    <row r="253" spans="1:6">
      <c r="A253" s="278" t="s">
        <v>1992</v>
      </c>
      <c r="B253" s="283" t="s">
        <v>2001</v>
      </c>
      <c r="C253" s="365">
        <v>0.15</v>
      </c>
      <c r="D253" s="365">
        <v>0.15</v>
      </c>
      <c r="E253" s="365">
        <v>0.15</v>
      </c>
      <c r="F253" s="366">
        <v>0.1</v>
      </c>
    </row>
    <row r="254" spans="1:6">
      <c r="A254" s="278" t="s">
        <v>1992</v>
      </c>
      <c r="B254" s="283" t="s">
        <v>2002</v>
      </c>
      <c r="C254" s="371"/>
      <c r="D254" s="371"/>
      <c r="E254" s="371"/>
      <c r="F254" s="366">
        <v>0.15</v>
      </c>
    </row>
    <row r="255" spans="1:6">
      <c r="A255" s="278" t="s">
        <v>1992</v>
      </c>
      <c r="B255" s="283" t="s">
        <v>2003</v>
      </c>
      <c r="C255" s="371"/>
      <c r="D255" s="371"/>
      <c r="E255" s="371"/>
      <c r="F255" s="366">
        <v>0.14299999999999999</v>
      </c>
    </row>
    <row r="256" spans="1:6">
      <c r="A256" s="278" t="s">
        <v>1992</v>
      </c>
      <c r="B256" s="283" t="s">
        <v>2004</v>
      </c>
      <c r="C256" s="365">
        <v>0.14599999999999999</v>
      </c>
      <c r="D256" s="365">
        <v>0.14699999999999999</v>
      </c>
      <c r="E256" s="365">
        <v>0.15</v>
      </c>
      <c r="F256" s="366">
        <v>0.13200000000000001</v>
      </c>
    </row>
    <row r="257" spans="1:6">
      <c r="A257" s="278" t="s">
        <v>1992</v>
      </c>
      <c r="B257" s="283" t="s">
        <v>2005</v>
      </c>
      <c r="C257" s="365">
        <v>0.15</v>
      </c>
      <c r="D257" s="365">
        <v>0.15</v>
      </c>
      <c r="E257" s="365">
        <v>0.15</v>
      </c>
      <c r="F257" s="366">
        <v>0.13900000000000001</v>
      </c>
    </row>
    <row r="258" spans="1:6">
      <c r="A258" s="278" t="s">
        <v>1992</v>
      </c>
      <c r="B258" s="283" t="s">
        <v>2006</v>
      </c>
      <c r="C258" s="365">
        <v>0.15</v>
      </c>
      <c r="D258" s="365">
        <v>0.15</v>
      </c>
      <c r="E258" s="365">
        <v>0.15</v>
      </c>
      <c r="F258" s="366">
        <v>0.13</v>
      </c>
    </row>
    <row r="259" spans="1:6">
      <c r="A259" s="278" t="s">
        <v>1992</v>
      </c>
      <c r="B259" s="283" t="s">
        <v>2007</v>
      </c>
      <c r="C259" s="365">
        <v>0.14799999999999999</v>
      </c>
      <c r="D259" s="365">
        <v>0.14899999999999999</v>
      </c>
      <c r="E259" s="365">
        <v>0.15</v>
      </c>
      <c r="F259" s="366">
        <v>0.13700000000000001</v>
      </c>
    </row>
    <row r="260" spans="1:6">
      <c r="A260" s="278" t="s">
        <v>1992</v>
      </c>
      <c r="B260" s="283" t="s">
        <v>2008</v>
      </c>
      <c r="C260" s="365">
        <v>0.15</v>
      </c>
      <c r="D260" s="365">
        <v>0.15</v>
      </c>
      <c r="E260" s="365">
        <v>0.15</v>
      </c>
      <c r="F260" s="366">
        <v>0.14199999999999999</v>
      </c>
    </row>
    <row r="261" spans="1:6">
      <c r="A261" s="278" t="s">
        <v>1992</v>
      </c>
      <c r="B261" s="283" t="s">
        <v>2009</v>
      </c>
      <c r="C261" s="365">
        <v>0.15</v>
      </c>
      <c r="D261" s="365">
        <v>0.15</v>
      </c>
      <c r="E261" s="365">
        <v>0.14899999999999999</v>
      </c>
      <c r="F261" s="366">
        <v>0.14799999999999999</v>
      </c>
    </row>
    <row r="262" spans="1:6">
      <c r="A262" s="278" t="s">
        <v>1992</v>
      </c>
      <c r="B262" s="283" t="s">
        <v>2010</v>
      </c>
      <c r="C262" s="365">
        <v>0.15</v>
      </c>
      <c r="D262" s="365">
        <v>0.15</v>
      </c>
      <c r="E262" s="365">
        <v>0.15</v>
      </c>
      <c r="F262" s="370"/>
    </row>
    <row r="263" spans="1:6">
      <c r="A263" s="278" t="s">
        <v>1992</v>
      </c>
      <c r="B263" s="283" t="s">
        <v>2011</v>
      </c>
      <c r="C263" s="365">
        <v>0.14899999999999999</v>
      </c>
      <c r="D263" s="365">
        <v>0.14899999999999999</v>
      </c>
      <c r="E263" s="365">
        <v>0.15</v>
      </c>
      <c r="F263" s="366">
        <v>0.13</v>
      </c>
    </row>
    <row r="264" spans="1:6">
      <c r="A264" s="278" t="s">
        <v>1992</v>
      </c>
      <c r="B264" s="283" t="s">
        <v>2012</v>
      </c>
      <c r="C264" s="365">
        <v>0.14799999999999999</v>
      </c>
      <c r="D264" s="365">
        <v>0.14699999999999999</v>
      </c>
      <c r="E264" s="365">
        <v>0.15</v>
      </c>
      <c r="F264" s="366">
        <v>7.8E-2</v>
      </c>
    </row>
    <row r="265" spans="1:6">
      <c r="A265" s="278" t="s">
        <v>1992</v>
      </c>
      <c r="B265" s="283" t="s">
        <v>2013</v>
      </c>
      <c r="C265" s="365">
        <v>0.15</v>
      </c>
      <c r="D265" s="365">
        <v>0.15</v>
      </c>
      <c r="E265" s="365">
        <v>0.15</v>
      </c>
      <c r="F265" s="366">
        <v>7.3999999999999996E-2</v>
      </c>
    </row>
    <row r="266" spans="1:6">
      <c r="A266" s="278" t="s">
        <v>1992</v>
      </c>
      <c r="B266" s="283" t="s">
        <v>2014</v>
      </c>
      <c r="C266" s="365">
        <v>0.14699999999999999</v>
      </c>
      <c r="D266" s="365">
        <v>0.14699999999999999</v>
      </c>
      <c r="E266" s="365">
        <v>0.15</v>
      </c>
      <c r="F266" s="366">
        <v>0.14299999999999999</v>
      </c>
    </row>
    <row r="267" spans="1:6">
      <c r="A267" s="278" t="s">
        <v>1992</v>
      </c>
      <c r="B267" s="283" t="s">
        <v>2015</v>
      </c>
      <c r="C267" s="365">
        <v>0.14199999999999999</v>
      </c>
      <c r="D267" s="365">
        <v>0.14299999999999999</v>
      </c>
      <c r="E267" s="365">
        <v>0.15</v>
      </c>
      <c r="F267" s="370"/>
    </row>
    <row r="268" spans="1:6">
      <c r="A268" s="278" t="s">
        <v>1992</v>
      </c>
      <c r="B268" s="283" t="s">
        <v>2016</v>
      </c>
      <c r="C268" s="365">
        <v>0.15</v>
      </c>
      <c r="D268" s="365">
        <v>0.15</v>
      </c>
      <c r="E268" s="365">
        <v>0.15</v>
      </c>
      <c r="F268" s="366">
        <v>0.13</v>
      </c>
    </row>
    <row r="269" spans="1:6">
      <c r="A269" s="278" t="s">
        <v>1992</v>
      </c>
      <c r="B269" s="283" t="s">
        <v>2017</v>
      </c>
      <c r="C269" s="365">
        <v>0.15</v>
      </c>
      <c r="D269" s="365">
        <v>0.15</v>
      </c>
      <c r="E269" s="365">
        <v>0.15</v>
      </c>
      <c r="F269" s="366">
        <v>0.14299999999999999</v>
      </c>
    </row>
    <row r="270" spans="1:6">
      <c r="A270" s="278" t="s">
        <v>1992</v>
      </c>
      <c r="B270" s="283" t="s">
        <v>2018</v>
      </c>
      <c r="C270" s="365">
        <v>0.14499999999999999</v>
      </c>
      <c r="D270" s="365">
        <v>0.14499999999999999</v>
      </c>
      <c r="E270" s="365">
        <v>0.15</v>
      </c>
      <c r="F270" s="366">
        <v>0.14699999999999999</v>
      </c>
    </row>
    <row r="271" spans="1:6">
      <c r="A271" s="278" t="s">
        <v>1992</v>
      </c>
      <c r="B271" s="283" t="s">
        <v>2019</v>
      </c>
      <c r="C271" s="365">
        <v>0.15</v>
      </c>
      <c r="D271" s="365">
        <v>0.15</v>
      </c>
      <c r="E271" s="365">
        <v>0.15</v>
      </c>
      <c r="F271" s="366">
        <v>0.13800000000000001</v>
      </c>
    </row>
    <row r="272" spans="1:6">
      <c r="A272" s="278" t="s">
        <v>1992</v>
      </c>
      <c r="B272" s="283" t="s">
        <v>2020</v>
      </c>
      <c r="C272" s="371"/>
      <c r="D272" s="371"/>
      <c r="E272" s="371"/>
      <c r="F272" s="366">
        <v>0.14000000000000001</v>
      </c>
    </row>
    <row r="273" spans="1:6">
      <c r="A273" s="278" t="s">
        <v>1992</v>
      </c>
      <c r="B273" s="283" t="s">
        <v>2021</v>
      </c>
      <c r="C273" s="365">
        <v>0.14199999999999999</v>
      </c>
      <c r="D273" s="365">
        <v>0.14299999999999999</v>
      </c>
      <c r="E273" s="365">
        <v>0.15</v>
      </c>
      <c r="F273" s="366">
        <v>0.1</v>
      </c>
    </row>
    <row r="274" spans="1:6">
      <c r="A274" s="278" t="s">
        <v>1992</v>
      </c>
      <c r="B274" s="283" t="s">
        <v>2022</v>
      </c>
      <c r="C274" s="365">
        <v>0.14799999999999999</v>
      </c>
      <c r="D274" s="365">
        <v>0.14799999999999999</v>
      </c>
      <c r="E274" s="365">
        <v>0.15</v>
      </c>
      <c r="F274" s="366">
        <v>6.7000000000000004E-2</v>
      </c>
    </row>
    <row r="275" spans="1:6">
      <c r="A275" s="278" t="s">
        <v>1992</v>
      </c>
      <c r="B275" s="283" t="s">
        <v>2023</v>
      </c>
      <c r="C275" s="365">
        <v>0.15</v>
      </c>
      <c r="D275" s="365">
        <v>0.15</v>
      </c>
      <c r="E275" s="365">
        <v>0.15</v>
      </c>
      <c r="F275" s="366">
        <v>0.15</v>
      </c>
    </row>
    <row r="276" spans="1:6">
      <c r="A276" s="278" t="s">
        <v>1992</v>
      </c>
      <c r="B276" s="283" t="s">
        <v>2024</v>
      </c>
      <c r="C276" s="365">
        <v>0.14499999999999999</v>
      </c>
      <c r="D276" s="365">
        <v>0.14299999999999999</v>
      </c>
      <c r="E276" s="365">
        <v>0.15</v>
      </c>
      <c r="F276" s="366">
        <v>5.8999999999999997E-2</v>
      </c>
    </row>
    <row r="277" spans="1:6">
      <c r="A277" s="278" t="s">
        <v>1992</v>
      </c>
      <c r="B277" s="283" t="s">
        <v>2025</v>
      </c>
      <c r="C277" s="365">
        <v>0.15</v>
      </c>
      <c r="D277" s="365">
        <v>0.15</v>
      </c>
      <c r="E277" s="365">
        <v>0.15</v>
      </c>
      <c r="F277" s="366">
        <v>0.121</v>
      </c>
    </row>
    <row r="278" spans="1:6">
      <c r="A278" s="278" t="s">
        <v>1992</v>
      </c>
      <c r="B278" s="283" t="s">
        <v>2026</v>
      </c>
      <c r="C278" s="365">
        <v>0.15</v>
      </c>
      <c r="D278" s="365">
        <v>0.15</v>
      </c>
      <c r="E278" s="365">
        <v>0.15</v>
      </c>
      <c r="F278" s="366">
        <v>0.13800000000000001</v>
      </c>
    </row>
    <row r="279" spans="1:6" ht="24">
      <c r="A279" s="278" t="s">
        <v>1992</v>
      </c>
      <c r="B279" s="283" t="s">
        <v>2027</v>
      </c>
      <c r="C279" s="371"/>
      <c r="D279" s="371"/>
      <c r="E279" s="371"/>
      <c r="F279" s="366">
        <v>0.05</v>
      </c>
    </row>
    <row r="280" spans="1:6" ht="24">
      <c r="A280" s="278" t="s">
        <v>1992</v>
      </c>
      <c r="B280" s="283" t="s">
        <v>2028</v>
      </c>
      <c r="C280" s="371"/>
      <c r="D280" s="371"/>
      <c r="E280" s="371"/>
      <c r="F280" s="366">
        <v>0.05</v>
      </c>
    </row>
    <row r="281" spans="1:6" ht="24">
      <c r="A281" s="278" t="s">
        <v>1992</v>
      </c>
      <c r="B281" s="283" t="s">
        <v>2029</v>
      </c>
      <c r="C281" s="371"/>
      <c r="D281" s="371"/>
      <c r="E281" s="371"/>
      <c r="F281" s="366">
        <v>0.05</v>
      </c>
    </row>
    <row r="282" spans="1:6" ht="24">
      <c r="A282" s="278" t="s">
        <v>1992</v>
      </c>
      <c r="B282" s="283" t="s">
        <v>2030</v>
      </c>
      <c r="C282" s="371"/>
      <c r="D282" s="371"/>
      <c r="E282" s="371"/>
      <c r="F282" s="366">
        <v>0.05</v>
      </c>
    </row>
    <row r="283" spans="1:6" ht="24">
      <c r="A283" s="278" t="s">
        <v>1992</v>
      </c>
      <c r="B283" s="283" t="s">
        <v>2031</v>
      </c>
      <c r="C283" s="371"/>
      <c r="D283" s="371"/>
      <c r="E283" s="371"/>
      <c r="F283" s="366">
        <v>0.05</v>
      </c>
    </row>
    <row r="284" spans="1:6" ht="24">
      <c r="A284" s="278" t="s">
        <v>1992</v>
      </c>
      <c r="B284" s="283" t="s">
        <v>2032</v>
      </c>
      <c r="C284" s="371"/>
      <c r="D284" s="371"/>
      <c r="E284" s="371"/>
      <c r="F284" s="366">
        <v>0.05</v>
      </c>
    </row>
    <row r="285" spans="1:6" ht="24">
      <c r="A285" s="278" t="s">
        <v>1992</v>
      </c>
      <c r="B285" s="283" t="s">
        <v>2033</v>
      </c>
      <c r="C285" s="371"/>
      <c r="D285" s="371"/>
      <c r="E285" s="371"/>
      <c r="F285" s="366">
        <v>0.05</v>
      </c>
    </row>
    <row r="286" spans="1:6" ht="24">
      <c r="A286" s="278" t="s">
        <v>1992</v>
      </c>
      <c r="B286" s="283" t="s">
        <v>2034</v>
      </c>
      <c r="C286" s="371"/>
      <c r="D286" s="371"/>
      <c r="E286" s="371"/>
      <c r="F286" s="366">
        <v>0.05</v>
      </c>
    </row>
    <row r="287" spans="1:6" ht="24">
      <c r="A287" s="278" t="s">
        <v>1992</v>
      </c>
      <c r="B287" s="283" t="s">
        <v>2035</v>
      </c>
      <c r="C287" s="371"/>
      <c r="D287" s="371"/>
      <c r="E287" s="371"/>
      <c r="F287" s="366">
        <v>0.05</v>
      </c>
    </row>
    <row r="288" spans="1:6" ht="24">
      <c r="A288" s="278" t="s">
        <v>1992</v>
      </c>
      <c r="B288" s="283" t="s">
        <v>2036</v>
      </c>
      <c r="C288" s="371"/>
      <c r="D288" s="371"/>
      <c r="E288" s="371"/>
      <c r="F288" s="366">
        <v>0.05</v>
      </c>
    </row>
    <row r="289" spans="1:6" ht="24">
      <c r="A289" s="296" t="s">
        <v>1992</v>
      </c>
      <c r="B289" s="289" t="s">
        <v>2037</v>
      </c>
      <c r="C289" s="368"/>
      <c r="D289" s="368"/>
      <c r="E289" s="368"/>
      <c r="F289" s="372">
        <v>0.05</v>
      </c>
    </row>
    <row r="290" spans="1:6">
      <c r="A290" s="278" t="s">
        <v>2038</v>
      </c>
      <c r="B290" s="279" t="s">
        <v>2039</v>
      </c>
      <c r="C290" s="363">
        <v>0.15</v>
      </c>
      <c r="D290" s="363">
        <v>0.15</v>
      </c>
      <c r="E290" s="363">
        <v>0.15</v>
      </c>
      <c r="F290" s="380"/>
    </row>
    <row r="291" spans="1:6">
      <c r="A291" s="278" t="s">
        <v>2038</v>
      </c>
      <c r="B291" s="283" t="s">
        <v>2040</v>
      </c>
      <c r="C291" s="365">
        <v>0.15</v>
      </c>
      <c r="D291" s="365">
        <v>0.15</v>
      </c>
      <c r="E291" s="365">
        <v>0.15</v>
      </c>
      <c r="F291" s="370"/>
    </row>
    <row r="292" spans="1:6">
      <c r="A292" s="278" t="s">
        <v>2038</v>
      </c>
      <c r="B292" s="283" t="s">
        <v>2041</v>
      </c>
      <c r="C292" s="365">
        <v>0.15</v>
      </c>
      <c r="D292" s="365">
        <v>0.15</v>
      </c>
      <c r="E292" s="365">
        <v>0.15</v>
      </c>
      <c r="F292" s="366">
        <v>0.14699999999999999</v>
      </c>
    </row>
    <row r="293" spans="1:6">
      <c r="A293" s="278" t="s">
        <v>2038</v>
      </c>
      <c r="B293" s="283" t="s">
        <v>2042</v>
      </c>
      <c r="C293" s="371"/>
      <c r="D293" s="371"/>
      <c r="E293" s="371"/>
      <c r="F293" s="366">
        <v>0.1</v>
      </c>
    </row>
    <row r="294" spans="1:6">
      <c r="A294" s="278" t="s">
        <v>2038</v>
      </c>
      <c r="B294" s="283" t="s">
        <v>2043</v>
      </c>
      <c r="C294" s="365">
        <v>0.15</v>
      </c>
      <c r="D294" s="365">
        <v>0.15</v>
      </c>
      <c r="E294" s="365">
        <v>0.15</v>
      </c>
      <c r="F294" s="366">
        <v>0.15</v>
      </c>
    </row>
    <row r="295" spans="1:6">
      <c r="A295" s="278" t="s">
        <v>2038</v>
      </c>
      <c r="B295" s="283" t="s">
        <v>2044</v>
      </c>
      <c r="C295" s="365">
        <v>0.15</v>
      </c>
      <c r="D295" s="365">
        <v>0.15</v>
      </c>
      <c r="E295" s="365">
        <v>0.15</v>
      </c>
      <c r="F295" s="366">
        <v>0.15</v>
      </c>
    </row>
    <row r="296" spans="1:6">
      <c r="A296" s="278" t="s">
        <v>2038</v>
      </c>
      <c r="B296" s="283" t="s">
        <v>2045</v>
      </c>
      <c r="C296" s="365">
        <v>0.15</v>
      </c>
      <c r="D296" s="365">
        <v>0.15</v>
      </c>
      <c r="E296" s="365">
        <v>0.15</v>
      </c>
      <c r="F296" s="366">
        <v>0.15</v>
      </c>
    </row>
    <row r="297" spans="1:6">
      <c r="A297" s="278" t="s">
        <v>2038</v>
      </c>
      <c r="B297" s="283" t="s">
        <v>2046</v>
      </c>
      <c r="C297" s="365">
        <v>0.14799999999999999</v>
      </c>
      <c r="D297" s="365">
        <v>0.14899999999999999</v>
      </c>
      <c r="E297" s="365">
        <v>0.15</v>
      </c>
      <c r="F297" s="366">
        <v>0.13700000000000001</v>
      </c>
    </row>
    <row r="298" spans="1:6">
      <c r="A298" s="278" t="s">
        <v>2038</v>
      </c>
      <c r="B298" s="283" t="s">
        <v>2047</v>
      </c>
      <c r="C298" s="365">
        <v>0.13400000000000001</v>
      </c>
      <c r="D298" s="365">
        <v>0.13400000000000001</v>
      </c>
      <c r="E298" s="365">
        <v>0.14499999999999999</v>
      </c>
      <c r="F298" s="366">
        <v>0.14799999999999999</v>
      </c>
    </row>
    <row r="299" spans="1:6">
      <c r="A299" s="278" t="s">
        <v>2038</v>
      </c>
      <c r="B299" s="283" t="s">
        <v>2048</v>
      </c>
      <c r="C299" s="365">
        <v>0.15</v>
      </c>
      <c r="D299" s="365">
        <v>0.15</v>
      </c>
      <c r="E299" s="365">
        <v>0.15</v>
      </c>
      <c r="F299" s="370"/>
    </row>
    <row r="300" spans="1:6">
      <c r="A300" s="278" t="s">
        <v>2038</v>
      </c>
      <c r="B300" s="283" t="s">
        <v>2049</v>
      </c>
      <c r="C300" s="365">
        <v>0.15</v>
      </c>
      <c r="D300" s="365">
        <v>0.15</v>
      </c>
      <c r="E300" s="365">
        <v>0.15</v>
      </c>
      <c r="F300" s="366">
        <v>0.15</v>
      </c>
    </row>
    <row r="301" spans="1:6">
      <c r="A301" s="278" t="s">
        <v>2038</v>
      </c>
      <c r="B301" s="283" t="s">
        <v>2050</v>
      </c>
      <c r="C301" s="365">
        <v>0.15</v>
      </c>
      <c r="D301" s="365">
        <v>0.15</v>
      </c>
      <c r="E301" s="365">
        <v>0.15</v>
      </c>
      <c r="F301" s="370"/>
    </row>
    <row r="302" spans="1:6">
      <c r="A302" s="278" t="s">
        <v>2038</v>
      </c>
      <c r="B302" s="283" t="s">
        <v>2051</v>
      </c>
      <c r="C302" s="365">
        <v>0.15</v>
      </c>
      <c r="D302" s="365">
        <v>0.15</v>
      </c>
      <c r="E302" s="365">
        <v>0.15</v>
      </c>
      <c r="F302" s="366">
        <v>0.15</v>
      </c>
    </row>
    <row r="303" spans="1:6">
      <c r="A303" s="278" t="s">
        <v>2038</v>
      </c>
      <c r="B303" s="283" t="s">
        <v>2052</v>
      </c>
      <c r="C303" s="365">
        <v>0.15</v>
      </c>
      <c r="D303" s="365">
        <v>0.15</v>
      </c>
      <c r="E303" s="365">
        <v>0.15</v>
      </c>
      <c r="F303" s="366">
        <v>0.15</v>
      </c>
    </row>
    <row r="304" spans="1:6">
      <c r="A304" s="278" t="s">
        <v>2038</v>
      </c>
      <c r="B304" s="283" t="s">
        <v>2053</v>
      </c>
      <c r="C304" s="365">
        <v>0.15</v>
      </c>
      <c r="D304" s="365">
        <v>0.15</v>
      </c>
      <c r="E304" s="365">
        <v>0.15</v>
      </c>
      <c r="F304" s="370"/>
    </row>
    <row r="305" spans="1:6">
      <c r="A305" s="278" t="s">
        <v>2038</v>
      </c>
      <c r="B305" s="283" t="s">
        <v>2054</v>
      </c>
      <c r="C305" s="365">
        <v>0.15</v>
      </c>
      <c r="D305" s="365">
        <v>0.15</v>
      </c>
      <c r="E305" s="365">
        <v>0.15</v>
      </c>
      <c r="F305" s="366">
        <v>0.14000000000000001</v>
      </c>
    </row>
    <row r="306" spans="1:6">
      <c r="A306" s="278" t="s">
        <v>2038</v>
      </c>
      <c r="B306" s="283" t="s">
        <v>2055</v>
      </c>
      <c r="C306" s="365">
        <v>0.15</v>
      </c>
      <c r="D306" s="365">
        <v>0.15</v>
      </c>
      <c r="E306" s="365">
        <v>0.15</v>
      </c>
      <c r="F306" s="370"/>
    </row>
    <row r="307" spans="1:6">
      <c r="A307" s="278" t="s">
        <v>2038</v>
      </c>
      <c r="B307" s="283" t="s">
        <v>2056</v>
      </c>
      <c r="C307" s="365">
        <v>0.15</v>
      </c>
      <c r="D307" s="365">
        <v>0.15</v>
      </c>
      <c r="E307" s="365">
        <v>0.15</v>
      </c>
      <c r="F307" s="366">
        <v>0.14299999999999999</v>
      </c>
    </row>
    <row r="308" spans="1:6">
      <c r="A308" s="278" t="s">
        <v>2038</v>
      </c>
      <c r="B308" s="283" t="s">
        <v>2057</v>
      </c>
      <c r="C308" s="365">
        <v>0.15</v>
      </c>
      <c r="D308" s="365">
        <v>0.15</v>
      </c>
      <c r="E308" s="365">
        <v>0.15</v>
      </c>
      <c r="F308" s="366">
        <v>0.15</v>
      </c>
    </row>
    <row r="309" spans="1:6">
      <c r="A309" s="278" t="s">
        <v>2038</v>
      </c>
      <c r="B309" s="283" t="s">
        <v>2058</v>
      </c>
      <c r="C309" s="365">
        <v>0.15</v>
      </c>
      <c r="D309" s="365">
        <v>0.15</v>
      </c>
      <c r="E309" s="365">
        <v>0.15</v>
      </c>
      <c r="F309" s="370"/>
    </row>
    <row r="310" spans="1:6">
      <c r="A310" s="278" t="s">
        <v>2038</v>
      </c>
      <c r="B310" s="283" t="s">
        <v>2059</v>
      </c>
      <c r="C310" s="365">
        <v>0.15</v>
      </c>
      <c r="D310" s="365">
        <v>0.15</v>
      </c>
      <c r="E310" s="365">
        <v>0.15</v>
      </c>
      <c r="F310" s="366">
        <v>0.13700000000000001</v>
      </c>
    </row>
    <row r="311" spans="1:6">
      <c r="A311" s="278" t="s">
        <v>2038</v>
      </c>
      <c r="B311" s="283" t="s">
        <v>2060</v>
      </c>
      <c r="C311" s="365">
        <v>0.15</v>
      </c>
      <c r="D311" s="365">
        <v>0.15</v>
      </c>
      <c r="E311" s="365">
        <v>0.15</v>
      </c>
      <c r="F311" s="366">
        <v>0.15</v>
      </c>
    </row>
    <row r="312" spans="1:6">
      <c r="A312" s="278" t="s">
        <v>2038</v>
      </c>
      <c r="B312" s="283" t="s">
        <v>2061</v>
      </c>
      <c r="C312" s="365">
        <v>0.15</v>
      </c>
      <c r="D312" s="365">
        <v>0.15</v>
      </c>
      <c r="E312" s="365">
        <v>0.15</v>
      </c>
      <c r="F312" s="366">
        <v>0.1</v>
      </c>
    </row>
    <row r="313" spans="1:6">
      <c r="A313" s="278" t="s">
        <v>2038</v>
      </c>
      <c r="B313" s="283" t="s">
        <v>2062</v>
      </c>
      <c r="C313" s="365">
        <v>0.15</v>
      </c>
      <c r="D313" s="365">
        <v>0.15</v>
      </c>
      <c r="E313" s="365">
        <v>0.15</v>
      </c>
      <c r="F313" s="366">
        <v>0.15</v>
      </c>
    </row>
    <row r="314" spans="1:6" ht="24">
      <c r="A314" s="278" t="s">
        <v>2038</v>
      </c>
      <c r="B314" s="283" t="s">
        <v>2063</v>
      </c>
      <c r="C314" s="371"/>
      <c r="D314" s="371"/>
      <c r="E314" s="371"/>
      <c r="F314" s="366">
        <v>0.05</v>
      </c>
    </row>
    <row r="315" spans="1:6" ht="24">
      <c r="A315" s="278" t="s">
        <v>2038</v>
      </c>
      <c r="B315" s="283" t="s">
        <v>2064</v>
      </c>
      <c r="C315" s="371"/>
      <c r="D315" s="371"/>
      <c r="E315" s="371"/>
      <c r="F315" s="366">
        <v>0.05</v>
      </c>
    </row>
    <row r="316" spans="1:6" ht="24">
      <c r="A316" s="296" t="s">
        <v>2038</v>
      </c>
      <c r="B316" s="289" t="s">
        <v>2065</v>
      </c>
      <c r="C316" s="368"/>
      <c r="D316" s="368"/>
      <c r="E316" s="368"/>
      <c r="F316" s="372">
        <v>0.05</v>
      </c>
    </row>
    <row r="317" spans="1:6">
      <c r="A317" s="278" t="s">
        <v>2066</v>
      </c>
      <c r="B317" s="279" t="s">
        <v>2067</v>
      </c>
      <c r="C317" s="363">
        <v>0.15</v>
      </c>
      <c r="D317" s="363">
        <v>0.15</v>
      </c>
      <c r="E317" s="363">
        <v>0.15</v>
      </c>
      <c r="F317" s="364">
        <v>0.15</v>
      </c>
    </row>
    <row r="318" spans="1:6">
      <c r="A318" s="278" t="s">
        <v>2066</v>
      </c>
      <c r="B318" s="283" t="s">
        <v>2068</v>
      </c>
      <c r="C318" s="365">
        <v>0.107</v>
      </c>
      <c r="D318" s="365">
        <v>0.11</v>
      </c>
      <c r="E318" s="365">
        <v>0.112</v>
      </c>
      <c r="F318" s="370"/>
    </row>
    <row r="319" spans="1:6">
      <c r="A319" s="278" t="s">
        <v>2066</v>
      </c>
      <c r="B319" s="283" t="s">
        <v>2069</v>
      </c>
      <c r="C319" s="365">
        <v>0.15</v>
      </c>
      <c r="D319" s="365">
        <v>0.15</v>
      </c>
      <c r="E319" s="365">
        <v>0.15</v>
      </c>
      <c r="F319" s="366">
        <v>0.15</v>
      </c>
    </row>
    <row r="320" spans="1:6">
      <c r="A320" s="278" t="s">
        <v>2066</v>
      </c>
      <c r="B320" s="283" t="s">
        <v>2070</v>
      </c>
      <c r="C320" s="365">
        <v>0.15</v>
      </c>
      <c r="D320" s="365">
        <v>0.15</v>
      </c>
      <c r="E320" s="365">
        <v>0.15</v>
      </c>
      <c r="F320" s="370"/>
    </row>
    <row r="321" spans="1:6">
      <c r="A321" s="278" t="s">
        <v>2066</v>
      </c>
      <c r="B321" s="283" t="s">
        <v>2071</v>
      </c>
      <c r="C321" s="365">
        <v>0.15</v>
      </c>
      <c r="D321" s="365">
        <v>0.15</v>
      </c>
      <c r="E321" s="365">
        <v>0.15</v>
      </c>
      <c r="F321" s="370"/>
    </row>
    <row r="322" spans="1:6">
      <c r="A322" s="278" t="s">
        <v>2066</v>
      </c>
      <c r="B322" s="283" t="s">
        <v>2072</v>
      </c>
      <c r="C322" s="365">
        <v>0.15</v>
      </c>
      <c r="D322" s="365">
        <v>0.15</v>
      </c>
      <c r="E322" s="365">
        <v>0.15</v>
      </c>
      <c r="F322" s="366">
        <v>0.15</v>
      </c>
    </row>
    <row r="323" spans="1:6">
      <c r="A323" s="278" t="s">
        <v>2066</v>
      </c>
      <c r="B323" s="283" t="s">
        <v>2073</v>
      </c>
      <c r="C323" s="365">
        <v>0.15</v>
      </c>
      <c r="D323" s="365">
        <v>0.15</v>
      </c>
      <c r="E323" s="365">
        <v>0.15</v>
      </c>
      <c r="F323" s="370"/>
    </row>
    <row r="324" spans="1:6">
      <c r="A324" s="278" t="s">
        <v>2066</v>
      </c>
      <c r="B324" s="283" t="s">
        <v>2074</v>
      </c>
      <c r="C324" s="365">
        <v>0.15</v>
      </c>
      <c r="D324" s="365">
        <v>0.15</v>
      </c>
      <c r="E324" s="365">
        <v>0.15</v>
      </c>
      <c r="F324" s="370"/>
    </row>
    <row r="325" spans="1:6">
      <c r="A325" s="278" t="s">
        <v>2066</v>
      </c>
      <c r="B325" s="283" t="s">
        <v>2075</v>
      </c>
      <c r="C325" s="365">
        <v>0.15</v>
      </c>
      <c r="D325" s="365">
        <v>0.15</v>
      </c>
      <c r="E325" s="365">
        <v>0.15</v>
      </c>
      <c r="F325" s="366">
        <v>0.14699999999999999</v>
      </c>
    </row>
    <row r="326" spans="1:6">
      <c r="A326" s="278" t="s">
        <v>2066</v>
      </c>
      <c r="B326" s="283" t="s">
        <v>2076</v>
      </c>
      <c r="C326" s="365">
        <v>0.15</v>
      </c>
      <c r="D326" s="365">
        <v>0.15</v>
      </c>
      <c r="E326" s="365">
        <v>0.15</v>
      </c>
      <c r="F326" s="370"/>
    </row>
    <row r="327" spans="1:6">
      <c r="A327" s="278" t="s">
        <v>2066</v>
      </c>
      <c r="B327" s="283" t="s">
        <v>2077</v>
      </c>
      <c r="C327" s="365">
        <v>0.15</v>
      </c>
      <c r="D327" s="365">
        <v>0.15</v>
      </c>
      <c r="E327" s="365">
        <v>0.15</v>
      </c>
      <c r="F327" s="366">
        <v>0.15</v>
      </c>
    </row>
    <row r="328" spans="1:6">
      <c r="A328" s="278" t="s">
        <v>2066</v>
      </c>
      <c r="B328" s="283" t="s">
        <v>2078</v>
      </c>
      <c r="C328" s="365">
        <v>0.15</v>
      </c>
      <c r="D328" s="365">
        <v>0.15</v>
      </c>
      <c r="E328" s="365">
        <v>0.15</v>
      </c>
      <c r="F328" s="366">
        <v>0.14099999999999999</v>
      </c>
    </row>
    <row r="329" spans="1:6">
      <c r="A329" s="278" t="s">
        <v>2066</v>
      </c>
      <c r="B329" s="283" t="s">
        <v>2079</v>
      </c>
      <c r="C329" s="365">
        <v>0.15</v>
      </c>
      <c r="D329" s="365">
        <v>0.15</v>
      </c>
      <c r="E329" s="365">
        <v>0.15</v>
      </c>
      <c r="F329" s="366">
        <v>0.15</v>
      </c>
    </row>
    <row r="330" spans="1:6">
      <c r="A330" s="278" t="s">
        <v>2066</v>
      </c>
      <c r="B330" s="283" t="s">
        <v>2080</v>
      </c>
      <c r="C330" s="365">
        <v>0.15</v>
      </c>
      <c r="D330" s="365">
        <v>0.15</v>
      </c>
      <c r="E330" s="365">
        <v>0.15</v>
      </c>
      <c r="F330" s="370"/>
    </row>
    <row r="331" spans="1:6">
      <c r="A331" s="278" t="s">
        <v>2066</v>
      </c>
      <c r="B331" s="283" t="s">
        <v>2081</v>
      </c>
      <c r="C331" s="365">
        <v>0.15</v>
      </c>
      <c r="D331" s="365">
        <v>0.15</v>
      </c>
      <c r="E331" s="365">
        <v>0.15</v>
      </c>
      <c r="F331" s="366">
        <v>0.15</v>
      </c>
    </row>
    <row r="332" spans="1:6">
      <c r="A332" s="278" t="s">
        <v>2066</v>
      </c>
      <c r="B332" s="283" t="s">
        <v>2082</v>
      </c>
      <c r="C332" s="365">
        <v>0.15</v>
      </c>
      <c r="D332" s="365">
        <v>0.15</v>
      </c>
      <c r="E332" s="365">
        <v>0.15</v>
      </c>
      <c r="F332" s="366">
        <v>0.15</v>
      </c>
    </row>
    <row r="333" spans="1:6">
      <c r="A333" s="278" t="s">
        <v>2066</v>
      </c>
      <c r="B333" s="283" t="s">
        <v>2083</v>
      </c>
      <c r="C333" s="365">
        <v>0.15</v>
      </c>
      <c r="D333" s="365">
        <v>0.15</v>
      </c>
      <c r="E333" s="365">
        <v>0.15</v>
      </c>
      <c r="F333" s="366">
        <v>0.14099999999999999</v>
      </c>
    </row>
    <row r="334" spans="1:6">
      <c r="A334" s="278" t="s">
        <v>2066</v>
      </c>
      <c r="B334" s="283" t="s">
        <v>2084</v>
      </c>
      <c r="C334" s="365">
        <v>0.15</v>
      </c>
      <c r="D334" s="365">
        <v>0.15</v>
      </c>
      <c r="E334" s="365">
        <v>0.15</v>
      </c>
      <c r="F334" s="366">
        <v>0.15</v>
      </c>
    </row>
    <row r="335" spans="1:6">
      <c r="A335" s="278" t="s">
        <v>2066</v>
      </c>
      <c r="B335" s="283" t="s">
        <v>2085</v>
      </c>
      <c r="C335" s="365">
        <v>0.15</v>
      </c>
      <c r="D335" s="365">
        <v>0.15</v>
      </c>
      <c r="E335" s="365">
        <v>0.15</v>
      </c>
      <c r="F335" s="370"/>
    </row>
    <row r="336" spans="1:6">
      <c r="A336" s="278" t="s">
        <v>2066</v>
      </c>
      <c r="B336" s="283" t="s">
        <v>2086</v>
      </c>
      <c r="C336" s="365">
        <v>0.15</v>
      </c>
      <c r="D336" s="365">
        <v>0.15</v>
      </c>
      <c r="E336" s="365">
        <v>0.15</v>
      </c>
      <c r="F336" s="366">
        <v>0.11799999999999999</v>
      </c>
    </row>
    <row r="337" spans="1:6">
      <c r="A337" s="296" t="s">
        <v>2066</v>
      </c>
      <c r="B337" s="289" t="s">
        <v>2087</v>
      </c>
      <c r="C337" s="368"/>
      <c r="D337" s="368"/>
      <c r="E337" s="368"/>
      <c r="F337" s="372">
        <v>0.14299999999999999</v>
      </c>
    </row>
    <row r="338" spans="1:6">
      <c r="A338" s="278" t="s">
        <v>2088</v>
      </c>
      <c r="B338" s="279" t="s">
        <v>2089</v>
      </c>
      <c r="C338" s="363">
        <v>0.15</v>
      </c>
      <c r="D338" s="363">
        <v>0.15</v>
      </c>
      <c r="E338" s="363">
        <v>0.15</v>
      </c>
      <c r="F338" s="380"/>
    </row>
    <row r="339" spans="1:6">
      <c r="A339" s="278" t="s">
        <v>2088</v>
      </c>
      <c r="B339" s="283" t="s">
        <v>2090</v>
      </c>
      <c r="C339" s="365">
        <v>0.15</v>
      </c>
      <c r="D339" s="365">
        <v>0.15</v>
      </c>
      <c r="E339" s="365">
        <v>0.15</v>
      </c>
      <c r="F339" s="370"/>
    </row>
    <row r="340" spans="1:6">
      <c r="A340" s="278" t="s">
        <v>2088</v>
      </c>
      <c r="B340" s="283" t="s">
        <v>2091</v>
      </c>
      <c r="C340" s="365">
        <v>0.15</v>
      </c>
      <c r="D340" s="365">
        <v>0.15</v>
      </c>
      <c r="E340" s="365">
        <v>0.15</v>
      </c>
      <c r="F340" s="370"/>
    </row>
    <row r="341" spans="1:6">
      <c r="A341" s="278" t="s">
        <v>2088</v>
      </c>
      <c r="B341" s="283" t="s">
        <v>2092</v>
      </c>
      <c r="C341" s="365">
        <v>0.15</v>
      </c>
      <c r="D341" s="365">
        <v>0.15</v>
      </c>
      <c r="E341" s="365">
        <v>0.15</v>
      </c>
      <c r="F341" s="366">
        <v>0.15</v>
      </c>
    </row>
    <row r="342" spans="1:6">
      <c r="A342" s="278" t="s">
        <v>2088</v>
      </c>
      <c r="B342" s="283" t="s">
        <v>2093</v>
      </c>
      <c r="C342" s="365">
        <v>0.15</v>
      </c>
      <c r="D342" s="365">
        <v>0.15</v>
      </c>
      <c r="E342" s="365">
        <v>0.15</v>
      </c>
      <c r="F342" s="366">
        <v>0.15</v>
      </c>
    </row>
    <row r="343" spans="1:6">
      <c r="A343" s="278" t="s">
        <v>2088</v>
      </c>
      <c r="B343" s="283" t="s">
        <v>2094</v>
      </c>
      <c r="C343" s="365">
        <v>0.15</v>
      </c>
      <c r="D343" s="365">
        <v>0.15</v>
      </c>
      <c r="E343" s="365">
        <v>0.15</v>
      </c>
      <c r="F343" s="366">
        <v>0.15</v>
      </c>
    </row>
    <row r="344" spans="1:6">
      <c r="A344" s="296" t="s">
        <v>2088</v>
      </c>
      <c r="B344" s="289" t="s">
        <v>2095</v>
      </c>
      <c r="C344" s="367">
        <v>0.15</v>
      </c>
      <c r="D344" s="367">
        <v>0.15</v>
      </c>
      <c r="E344" s="367">
        <v>0.15</v>
      </c>
      <c r="F344" s="372">
        <v>0.15</v>
      </c>
    </row>
  </sheetData>
  <sheetProtection password="C66D" sheet="1" objects="1" scenarios="1"/>
  <mergeCells count="1">
    <mergeCell ref="A1:B1"/>
  </mergeCells>
  <phoneticPr fontId="21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2096</v>
      </c>
      <c r="B1" s="313"/>
      <c r="C1" s="314"/>
      <c r="D1" s="315"/>
      <c r="E1" s="315"/>
      <c r="F1" s="316"/>
      <c r="G1" s="317"/>
      <c r="H1" s="316"/>
      <c r="I1" s="317"/>
      <c r="J1" s="317"/>
      <c r="K1" s="317"/>
      <c r="L1" s="317"/>
      <c r="M1" s="317"/>
      <c r="N1" s="306"/>
      <c r="O1" s="306"/>
      <c r="P1" s="306"/>
      <c r="Q1" s="306"/>
      <c r="R1" s="306"/>
      <c r="S1" s="306"/>
      <c r="T1" s="306"/>
    </row>
    <row r="2" spans="1:20" ht="18" customHeight="1">
      <c r="A2" s="318" t="s">
        <v>1740</v>
      </c>
      <c r="B2" s="319">
        <f>1+F4</f>
        <v>1.0128999999999999</v>
      </c>
      <c r="C2" s="320"/>
      <c r="D2" s="321"/>
      <c r="E2" s="321"/>
      <c r="F2" s="322"/>
      <c r="G2" s="323"/>
      <c r="H2" s="316"/>
      <c r="I2" s="317"/>
      <c r="J2" s="317"/>
      <c r="K2" s="317"/>
      <c r="L2" s="317"/>
      <c r="M2" s="317"/>
    </row>
    <row r="3" spans="1:20" ht="13.5">
      <c r="A3" s="238" t="s">
        <v>2097</v>
      </c>
      <c r="B3" s="239" t="s">
        <v>2098</v>
      </c>
      <c r="C3" s="324" t="s">
        <v>2099</v>
      </c>
      <c r="D3" s="325" t="s">
        <v>2100</v>
      </c>
      <c r="E3" s="325" t="s">
        <v>2101</v>
      </c>
      <c r="F3" s="326" t="s">
        <v>2102</v>
      </c>
      <c r="G3" s="327" t="s">
        <v>2103</v>
      </c>
      <c r="H3" s="325" t="s">
        <v>1451</v>
      </c>
      <c r="I3" s="357" t="s">
        <v>2104</v>
      </c>
      <c r="J3" s="357" t="s">
        <v>2105</v>
      </c>
      <c r="K3" s="357" t="s">
        <v>2106</v>
      </c>
      <c r="L3" s="357" t="s">
        <v>2107</v>
      </c>
      <c r="M3" s="357" t="s">
        <v>2108</v>
      </c>
    </row>
    <row r="4" spans="1:20" ht="24">
      <c r="A4" s="238" t="s">
        <v>2109</v>
      </c>
      <c r="B4" s="328" t="str">
        <f>估价对象房地状况!C4</f>
        <v>估价对象位于XX商圈，周边商业氛围成熟，人流量大，商业繁华度好</v>
      </c>
      <c r="C4" s="329" t="s">
        <v>899</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2110</v>
      </c>
      <c r="B5" s="335" t="str">
        <f>估价对象房地状况!C6</f>
        <v>估价对象周边道路状况、公共交通通达情况、停车便捷程度，综合评价交通便捷度较好</v>
      </c>
      <c r="C5" s="329" t="s">
        <v>2111</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2112</v>
      </c>
      <c r="B6" s="239">
        <f>估价对象房地状况!C19</f>
        <v>0</v>
      </c>
      <c r="C6" s="329" t="s">
        <v>899</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2113</v>
      </c>
      <c r="B7" s="338" t="s">
        <v>2114</v>
      </c>
      <c r="C7" s="329" t="s">
        <v>2115</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2116</v>
      </c>
      <c r="B8" s="239">
        <f>估价对象房地状况!C10</f>
        <v>0</v>
      </c>
      <c r="C8" s="329" t="s">
        <v>899</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2117</v>
      </c>
      <c r="B9" s="339" t="s">
        <v>2118</v>
      </c>
      <c r="C9" s="329" t="s">
        <v>899</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2119</v>
      </c>
      <c r="B10" s="241" t="str">
        <f>估价对象房地状况!C7</f>
        <v>估价对象所在区域公共配套设施齐备情况</v>
      </c>
      <c r="C10" s="329" t="s">
        <v>2120</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2121</v>
      </c>
      <c r="B11" s="341"/>
      <c r="C11" s="329" t="s">
        <v>2111</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2122</v>
      </c>
      <c r="B12" s="343" t="str">
        <f>估价对象房地状况!C9</f>
        <v>区域自然环境：；人文环境；综合评价环境状况一般</v>
      </c>
      <c r="C12" s="329" t="s">
        <v>2120</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1741</v>
      </c>
      <c r="B13" s="319">
        <f>1+F15</f>
        <v>1.0148999999999999</v>
      </c>
      <c r="C13" s="346"/>
      <c r="D13" s="321"/>
      <c r="E13" s="321"/>
      <c r="F13" s="322"/>
      <c r="G13" s="323"/>
      <c r="H13" s="316"/>
      <c r="I13" s="271"/>
      <c r="J13" s="271"/>
      <c r="K13" s="271"/>
      <c r="L13" s="271"/>
      <c r="M13" s="271"/>
    </row>
    <row r="14" spans="1:20" ht="18" customHeight="1">
      <c r="A14" s="238" t="s">
        <v>2097</v>
      </c>
      <c r="B14" s="239"/>
      <c r="C14" s="324" t="s">
        <v>2099</v>
      </c>
      <c r="D14" s="325" t="s">
        <v>2100</v>
      </c>
      <c r="E14" s="325" t="s">
        <v>2101</v>
      </c>
      <c r="F14" s="326" t="s">
        <v>2102</v>
      </c>
      <c r="G14" s="327" t="s">
        <v>2103</v>
      </c>
      <c r="H14" s="325" t="s">
        <v>1451</v>
      </c>
      <c r="I14" s="357" t="s">
        <v>2104</v>
      </c>
      <c r="J14" s="357" t="s">
        <v>2105</v>
      </c>
      <c r="K14" s="357" t="s">
        <v>2106</v>
      </c>
      <c r="L14" s="357" t="s">
        <v>2107</v>
      </c>
      <c r="M14" s="357" t="s">
        <v>2108</v>
      </c>
    </row>
    <row r="15" spans="1:20" ht="24">
      <c r="A15" s="238" t="s">
        <v>2123</v>
      </c>
      <c r="B15" s="328" t="str">
        <f>估价对象房地状况!C5</f>
        <v>估价对象位于XX商圈，周边办公楼项目较多，入驻率高，办公集聚程度较好</v>
      </c>
      <c r="C15" s="329" t="s">
        <v>899</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2110</v>
      </c>
      <c r="B16" s="239" t="str">
        <f>估价对象房地状况!C6</f>
        <v>估价对象周边道路状况、公共交通通达情况、停车便捷程度，综合评价交通便捷度较好</v>
      </c>
      <c r="C16" s="329" t="s">
        <v>899</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2112</v>
      </c>
      <c r="B17" s="239">
        <f>估价对象房地状况!C19</f>
        <v>0</v>
      </c>
      <c r="C17" s="329" t="s">
        <v>899</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2113</v>
      </c>
      <c r="B18" s="338" t="s">
        <v>2114</v>
      </c>
      <c r="C18" s="329" t="s">
        <v>899</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2116</v>
      </c>
      <c r="B19" s="239">
        <f>估价对象房地状况!C10</f>
        <v>0</v>
      </c>
      <c r="C19" s="329" t="s">
        <v>899</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2117</v>
      </c>
      <c r="B20" s="339" t="s">
        <v>2118</v>
      </c>
      <c r="C20" s="329" t="s">
        <v>899</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2119</v>
      </c>
      <c r="B21" s="241" t="str">
        <f>估价对象房地状况!C7</f>
        <v>估价对象所在区域公共配套设施齐备情况</v>
      </c>
      <c r="C21" s="329" t="s">
        <v>899</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2121</v>
      </c>
      <c r="B22" s="341"/>
      <c r="C22" s="329" t="s">
        <v>899</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2122</v>
      </c>
      <c r="B23" s="347" t="str">
        <f>估价对象房地状况!C9</f>
        <v>区域自然环境：；人文环境；综合评价环境状况一般</v>
      </c>
      <c r="C23" s="329" t="s">
        <v>899</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2097</v>
      </c>
      <c r="B25" s="239"/>
      <c r="C25" s="324" t="s">
        <v>2099</v>
      </c>
      <c r="D25" s="325" t="s">
        <v>2100</v>
      </c>
      <c r="E25" s="325" t="s">
        <v>2101</v>
      </c>
      <c r="F25" s="326" t="s">
        <v>2102</v>
      </c>
      <c r="G25" s="327" t="s">
        <v>2103</v>
      </c>
      <c r="H25" s="325" t="s">
        <v>1451</v>
      </c>
      <c r="I25" s="357" t="s">
        <v>2104</v>
      </c>
      <c r="J25" s="357" t="s">
        <v>2105</v>
      </c>
      <c r="K25" s="357" t="s">
        <v>2106</v>
      </c>
      <c r="L25" s="357" t="s">
        <v>2107</v>
      </c>
      <c r="M25" s="357" t="s">
        <v>2108</v>
      </c>
    </row>
    <row r="26" spans="1:20" ht="24">
      <c r="A26" s="238" t="s">
        <v>2124</v>
      </c>
      <c r="B26" s="328" t="str">
        <f>估价对象房地状况!C3</f>
        <v>估价对象周边居住用地比例、居住小区规模和社区发展完善程度，综合评价居住社区成熟度一般</v>
      </c>
      <c r="C26" s="329" t="s">
        <v>899</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2110</v>
      </c>
      <c r="B27" s="239" t="str">
        <f>估价对象房地状况!C6</f>
        <v>估价对象周边道路状况、公共交通通达情况、停车便捷程度，综合评价交通便捷度较好</v>
      </c>
      <c r="C27" s="329" t="s">
        <v>899</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2112</v>
      </c>
      <c r="B28" s="239">
        <f>估价对象房地状况!C19</f>
        <v>0</v>
      </c>
      <c r="C28" s="329" t="s">
        <v>899</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2125</v>
      </c>
      <c r="B29" s="239">
        <f>估价对象房地状况!C10</f>
        <v>0</v>
      </c>
      <c r="C29" s="329" t="s">
        <v>2120</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2119</v>
      </c>
      <c r="B30" s="241" t="str">
        <f>估价对象房地状况!C7</f>
        <v>估价对象所在区域公共配套设施齐备情况</v>
      </c>
      <c r="C30" s="329" t="s">
        <v>899</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2121</v>
      </c>
      <c r="B31" s="341"/>
      <c r="C31" s="329" t="s">
        <v>2120</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2117</v>
      </c>
      <c r="B32" s="339" t="s">
        <v>2118</v>
      </c>
      <c r="C32" s="329" t="s">
        <v>899</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2122</v>
      </c>
      <c r="B33" s="328" t="str">
        <f>估价对象房地状况!C9</f>
        <v>区域自然环境：；人文环境；综合评价环境状况一般</v>
      </c>
      <c r="C33" s="329" t="s">
        <v>899</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2126</v>
      </c>
      <c r="B34" s="350" t="s">
        <v>2127</v>
      </c>
      <c r="C34" s="329" t="s">
        <v>2111</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1742</v>
      </c>
      <c r="B35" s="319">
        <f>1+F37</f>
        <v>1.0127999999999999</v>
      </c>
      <c r="C35" s="346"/>
      <c r="D35" s="321"/>
      <c r="E35" s="321"/>
      <c r="F35" s="322"/>
      <c r="G35" s="323"/>
      <c r="H35" s="316"/>
      <c r="I35" s="271"/>
      <c r="J35" s="271"/>
      <c r="K35" s="271"/>
      <c r="L35" s="271"/>
      <c r="M35" s="271"/>
    </row>
    <row r="36" spans="1:13" ht="13.5">
      <c r="A36" s="238" t="s">
        <v>2097</v>
      </c>
      <c r="B36" s="239"/>
      <c r="C36" s="324" t="s">
        <v>2099</v>
      </c>
      <c r="D36" s="325" t="s">
        <v>2100</v>
      </c>
      <c r="E36" s="325" t="s">
        <v>2101</v>
      </c>
      <c r="F36" s="326" t="s">
        <v>2102</v>
      </c>
      <c r="G36" s="327" t="s">
        <v>2103</v>
      </c>
      <c r="H36" s="325" t="s">
        <v>1451</v>
      </c>
      <c r="I36" s="357" t="s">
        <v>2104</v>
      </c>
      <c r="J36" s="357" t="s">
        <v>2105</v>
      </c>
      <c r="K36" s="357" t="s">
        <v>2106</v>
      </c>
      <c r="L36" s="357" t="s">
        <v>2107</v>
      </c>
      <c r="M36" s="357" t="s">
        <v>2108</v>
      </c>
    </row>
    <row r="37" spans="1:13" ht="24">
      <c r="A37" s="238" t="s">
        <v>2128</v>
      </c>
      <c r="B37" s="239" t="str">
        <f>估价对象房地状况!G3</f>
        <v>估价对象位于XX开发区，园区建设成熟度XX，产业集聚程度XX</v>
      </c>
      <c r="C37" s="329" t="s">
        <v>899</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2110</v>
      </c>
      <c r="B38" s="239" t="str">
        <f>估价对象房地状况!G4</f>
        <v>估价对象周边道路状况、公共交通通达情况、停车便捷程度，综合评价交通便捷度较好</v>
      </c>
      <c r="C38" s="329" t="s">
        <v>899</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2112</v>
      </c>
      <c r="B39" s="239">
        <f>估价对象房地状况!G17</f>
        <v>0</v>
      </c>
      <c r="C39" s="329" t="s">
        <v>899</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2125</v>
      </c>
      <c r="B40" s="239">
        <f>估价对象房地状况!G22</f>
        <v>0</v>
      </c>
      <c r="C40" s="329" t="s">
        <v>899</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2119</v>
      </c>
      <c r="B41" s="241" t="str">
        <f>估价对象房地状况!G19</f>
        <v>估价对象所在区域公共配套设施齐备情况</v>
      </c>
      <c r="C41" s="329" t="s">
        <v>899</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2121</v>
      </c>
      <c r="B42" s="341"/>
      <c r="C42" s="329" t="s">
        <v>899</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2117</v>
      </c>
      <c r="B43" s="339" t="s">
        <v>2118</v>
      </c>
      <c r="C43" s="329" t="s">
        <v>930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2129</v>
      </c>
      <c r="B44" s="352" t="str">
        <f>估价对象房地状况!G18</f>
        <v>该园区内是否有污染型企业，绿化情况，卫生条件，整体环境状况判断</v>
      </c>
      <c r="C44" s="329" t="s">
        <v>2120</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83" t="s">
        <v>2130</v>
      </c>
      <c r="B1" s="3683"/>
      <c r="C1" s="3683"/>
      <c r="D1" s="3683"/>
      <c r="E1" s="3683"/>
      <c r="F1" s="3683"/>
      <c r="H1" s="268"/>
      <c r="I1" s="301" t="s">
        <v>1745</v>
      </c>
      <c r="J1" s="226" t="s">
        <v>529</v>
      </c>
      <c r="K1" s="226" t="s">
        <v>1770</v>
      </c>
      <c r="L1" s="226" t="s">
        <v>1791</v>
      </c>
      <c r="M1" s="226" t="s">
        <v>1819</v>
      </c>
      <c r="N1" s="226" t="s">
        <v>1854</v>
      </c>
      <c r="O1" s="226" t="s">
        <v>1903</v>
      </c>
      <c r="P1" s="226" t="s">
        <v>1952</v>
      </c>
      <c r="Q1" s="226" t="s">
        <v>1992</v>
      </c>
      <c r="R1" s="226" t="s">
        <v>2038</v>
      </c>
      <c r="S1" s="226" t="s">
        <v>2066</v>
      </c>
      <c r="T1" s="261" t="s">
        <v>2088</v>
      </c>
    </row>
    <row r="2" spans="1:20">
      <c r="A2" s="3684" t="s">
        <v>2131</v>
      </c>
      <c r="B2" s="3684"/>
      <c r="C2" s="3684"/>
      <c r="D2" s="3684"/>
      <c r="E2" s="3684"/>
      <c r="F2" s="3684"/>
      <c r="I2" s="302" t="s">
        <v>1746</v>
      </c>
      <c r="J2" s="283" t="s">
        <v>1751</v>
      </c>
      <c r="K2" s="283" t="s">
        <v>1771</v>
      </c>
      <c r="L2" s="283" t="s">
        <v>1792</v>
      </c>
      <c r="M2" s="283" t="s">
        <v>1820</v>
      </c>
      <c r="N2" s="283" t="s">
        <v>1855</v>
      </c>
      <c r="O2" s="283" t="s">
        <v>1904</v>
      </c>
      <c r="P2" s="283" t="s">
        <v>1953</v>
      </c>
      <c r="Q2" s="283" t="s">
        <v>1993</v>
      </c>
      <c r="R2" s="283" t="s">
        <v>2039</v>
      </c>
      <c r="S2" s="283" t="s">
        <v>2067</v>
      </c>
      <c r="T2" s="283" t="s">
        <v>2089</v>
      </c>
    </row>
    <row r="3" spans="1:20" s="268" customFormat="1" ht="19.5" customHeight="1">
      <c r="A3" s="3685" t="s">
        <v>1743</v>
      </c>
      <c r="B3" s="273"/>
      <c r="C3" s="274" t="s">
        <v>1740</v>
      </c>
      <c r="D3" s="274" t="s">
        <v>1741</v>
      </c>
      <c r="E3" s="274" t="s">
        <v>461</v>
      </c>
      <c r="F3" s="274" t="s">
        <v>1742</v>
      </c>
      <c r="G3" s="275"/>
      <c r="I3" s="302" t="s">
        <v>1747</v>
      </c>
      <c r="J3" s="283" t="s">
        <v>1752</v>
      </c>
      <c r="K3" s="283" t="s">
        <v>1772</v>
      </c>
      <c r="L3" s="283" t="s">
        <v>1793</v>
      </c>
      <c r="M3" s="283" t="s">
        <v>1821</v>
      </c>
      <c r="N3" s="283" t="s">
        <v>1856</v>
      </c>
      <c r="O3" s="283" t="s">
        <v>1905</v>
      </c>
      <c r="P3" s="283" t="s">
        <v>1954</v>
      </c>
      <c r="Q3" s="283" t="s">
        <v>1994</v>
      </c>
      <c r="R3" s="283" t="s">
        <v>2040</v>
      </c>
      <c r="S3" s="283" t="s">
        <v>2068</v>
      </c>
      <c r="T3" s="283" t="s">
        <v>2090</v>
      </c>
    </row>
    <row r="4" spans="1:20" s="268" customFormat="1" ht="19.5" customHeight="1">
      <c r="A4" s="3686"/>
      <c r="B4" s="276" t="s">
        <v>1744</v>
      </c>
      <c r="C4" s="276" t="s">
        <v>2132</v>
      </c>
      <c r="D4" s="276" t="s">
        <v>2132</v>
      </c>
      <c r="E4" s="276" t="s">
        <v>2132</v>
      </c>
      <c r="F4" s="277" t="s">
        <v>2132</v>
      </c>
      <c r="G4" s="275"/>
      <c r="I4" s="302" t="s">
        <v>1748</v>
      </c>
      <c r="J4" s="283" t="s">
        <v>1753</v>
      </c>
      <c r="K4" s="283" t="s">
        <v>1773</v>
      </c>
      <c r="L4" s="283" t="s">
        <v>1794</v>
      </c>
      <c r="M4" s="283" t="s">
        <v>1822</v>
      </c>
      <c r="N4" s="283" t="s">
        <v>1857</v>
      </c>
      <c r="O4" s="283" t="s">
        <v>1906</v>
      </c>
      <c r="P4" s="283" t="s">
        <v>1955</v>
      </c>
      <c r="Q4" s="283" t="s">
        <v>1995</v>
      </c>
      <c r="R4" s="283" t="s">
        <v>2041</v>
      </c>
      <c r="S4" s="283" t="s">
        <v>2069</v>
      </c>
      <c r="T4" s="283" t="s">
        <v>2091</v>
      </c>
    </row>
    <row r="5" spans="1:20" ht="14.25" customHeight="1">
      <c r="A5" s="278" t="s">
        <v>1745</v>
      </c>
      <c r="B5" s="279" t="s">
        <v>1746</v>
      </c>
      <c r="C5" s="279">
        <v>29530</v>
      </c>
      <c r="D5" s="279">
        <v>28130</v>
      </c>
      <c r="E5" s="279">
        <v>27930</v>
      </c>
      <c r="F5" s="280">
        <v>11300</v>
      </c>
      <c r="G5" s="281" t="s">
        <v>1745</v>
      </c>
      <c r="H5" s="282">
        <f>SUMPRODUCT((B5:B9=基准地价修正!I2)*(C3:F3=基准地价修正!E2)*(C5:F9))</f>
        <v>0</v>
      </c>
      <c r="I5" s="302" t="s">
        <v>1749</v>
      </c>
      <c r="J5" s="283" t="s">
        <v>1754</v>
      </c>
      <c r="K5" s="283" t="s">
        <v>1774</v>
      </c>
      <c r="L5" s="283" t="s">
        <v>1795</v>
      </c>
      <c r="M5" s="283" t="s">
        <v>1823</v>
      </c>
      <c r="N5" s="283" t="s">
        <v>1858</v>
      </c>
      <c r="O5" s="283" t="s">
        <v>1907</v>
      </c>
      <c r="P5" s="283" t="s">
        <v>1956</v>
      </c>
      <c r="Q5" s="283" t="s">
        <v>1996</v>
      </c>
      <c r="R5" s="283" t="s">
        <v>2043</v>
      </c>
      <c r="S5" s="283" t="s">
        <v>2070</v>
      </c>
      <c r="T5" s="283" t="s">
        <v>2092</v>
      </c>
    </row>
    <row r="6" spans="1:20" ht="14.25" customHeight="1">
      <c r="A6" s="278" t="s">
        <v>1745</v>
      </c>
      <c r="B6" s="283" t="s">
        <v>1747</v>
      </c>
      <c r="C6" s="283">
        <v>30290</v>
      </c>
      <c r="D6" s="283">
        <v>29210</v>
      </c>
      <c r="E6" s="283">
        <v>28860</v>
      </c>
      <c r="F6" s="284">
        <v>12600</v>
      </c>
      <c r="G6" s="285" t="s">
        <v>529</v>
      </c>
      <c r="H6" s="286">
        <f>SUMPRODUCT((B10:B28=基准地价修正!I2)*(C3:F3=基准地价修正!E2)*(C10:F28))</f>
        <v>0</v>
      </c>
      <c r="I6" s="302" t="s">
        <v>1750</v>
      </c>
      <c r="J6" s="283" t="s">
        <v>1755</v>
      </c>
      <c r="K6" s="283" t="s">
        <v>1775</v>
      </c>
      <c r="L6" s="283" t="s">
        <v>1796</v>
      </c>
      <c r="M6" s="283" t="s">
        <v>1824</v>
      </c>
      <c r="N6" s="283" t="s">
        <v>1859</v>
      </c>
      <c r="O6" s="283" t="s">
        <v>1908</v>
      </c>
      <c r="P6" s="283" t="s">
        <v>1957</v>
      </c>
      <c r="Q6" s="283" t="s">
        <v>1997</v>
      </c>
      <c r="R6" s="283" t="s">
        <v>2044</v>
      </c>
      <c r="S6" s="283" t="s">
        <v>2071</v>
      </c>
      <c r="T6" s="283" t="s">
        <v>2093</v>
      </c>
    </row>
    <row r="7" spans="1:20" ht="14.25" customHeight="1">
      <c r="A7" s="278" t="s">
        <v>1745</v>
      </c>
      <c r="B7" s="287" t="s">
        <v>1748</v>
      </c>
      <c r="C7" s="283">
        <v>29350</v>
      </c>
      <c r="D7" s="283">
        <v>28410</v>
      </c>
      <c r="E7" s="283">
        <v>27990</v>
      </c>
      <c r="F7" s="284">
        <v>12300</v>
      </c>
      <c r="G7" s="285" t="s">
        <v>1770</v>
      </c>
      <c r="H7" s="286">
        <f>SUMPRODUCT((B29:B48=基准地价修正!I2)*(C3:F3=基准地价修正!E2)*(C29:F48))</f>
        <v>0</v>
      </c>
      <c r="J7" s="283" t="s">
        <v>1756</v>
      </c>
      <c r="K7" s="283" t="s">
        <v>1776</v>
      </c>
      <c r="L7" s="283" t="s">
        <v>1797</v>
      </c>
      <c r="M7" s="283" t="s">
        <v>1825</v>
      </c>
      <c r="N7" s="283" t="s">
        <v>1860</v>
      </c>
      <c r="O7" s="283" t="s">
        <v>1909</v>
      </c>
      <c r="P7" s="283" t="s">
        <v>1958</v>
      </c>
      <c r="Q7" s="283" t="s">
        <v>1998</v>
      </c>
      <c r="R7" s="283" t="s">
        <v>2045</v>
      </c>
      <c r="S7" s="283" t="s">
        <v>2072</v>
      </c>
      <c r="T7" s="287" t="s">
        <v>2094</v>
      </c>
    </row>
    <row r="8" spans="1:20" ht="14.25" customHeight="1">
      <c r="A8" s="278" t="s">
        <v>1745</v>
      </c>
      <c r="B8" s="283" t="s">
        <v>1749</v>
      </c>
      <c r="C8" s="283">
        <v>30890</v>
      </c>
      <c r="D8" s="283">
        <v>29780</v>
      </c>
      <c r="E8" s="283">
        <v>29270</v>
      </c>
      <c r="F8" s="284">
        <v>11600</v>
      </c>
      <c r="G8" s="285" t="s">
        <v>1791</v>
      </c>
      <c r="H8" s="286">
        <f>SUMPRODUCT((B49:B75=基准地价修正!I2)*(C3:F3=基准地价修正!E2)*(C49:F75))</f>
        <v>0</v>
      </c>
      <c r="J8" s="283" t="s">
        <v>1757</v>
      </c>
      <c r="K8" s="283" t="s">
        <v>1777</v>
      </c>
      <c r="L8" s="283" t="s">
        <v>1798</v>
      </c>
      <c r="M8" s="283" t="s">
        <v>1826</v>
      </c>
      <c r="N8" s="283" t="s">
        <v>1861</v>
      </c>
      <c r="O8" s="283" t="s">
        <v>1910</v>
      </c>
      <c r="P8" s="283" t="s">
        <v>1959</v>
      </c>
      <c r="Q8" s="283" t="s">
        <v>1999</v>
      </c>
      <c r="R8" s="283" t="s">
        <v>2046</v>
      </c>
      <c r="S8" s="283" t="s">
        <v>2073</v>
      </c>
      <c r="T8" s="283" t="s">
        <v>2095</v>
      </c>
    </row>
    <row r="9" spans="1:20" ht="14.25" customHeight="1">
      <c r="A9" s="278" t="s">
        <v>1745</v>
      </c>
      <c r="B9" s="288" t="s">
        <v>1750</v>
      </c>
      <c r="C9" s="289">
        <v>28140</v>
      </c>
      <c r="D9" s="289"/>
      <c r="E9" s="289"/>
      <c r="F9" s="290"/>
      <c r="G9" s="285" t="s">
        <v>1819</v>
      </c>
      <c r="H9" s="286">
        <f>SUMPRODUCT((B76:B109=基准地价修正!I2)*(C3:F3=基准地价修正!E2)*(C76:F109))</f>
        <v>0</v>
      </c>
      <c r="J9" s="283" t="s">
        <v>1758</v>
      </c>
      <c r="K9" s="283" t="s">
        <v>1778</v>
      </c>
      <c r="L9" s="283" t="s">
        <v>1799</v>
      </c>
      <c r="M9" s="283" t="s">
        <v>1827</v>
      </c>
      <c r="N9" s="283" t="s">
        <v>1862</v>
      </c>
      <c r="O9" s="283" t="s">
        <v>1911</v>
      </c>
      <c r="P9" s="283" t="s">
        <v>1960</v>
      </c>
      <c r="Q9" s="283" t="s">
        <v>2000</v>
      </c>
      <c r="R9" s="283" t="s">
        <v>2047</v>
      </c>
      <c r="S9" s="283" t="s">
        <v>2074</v>
      </c>
    </row>
    <row r="10" spans="1:20" ht="14.25" customHeight="1">
      <c r="A10" s="278" t="s">
        <v>529</v>
      </c>
      <c r="B10" s="279" t="s">
        <v>1751</v>
      </c>
      <c r="C10" s="279">
        <v>27450</v>
      </c>
      <c r="D10" s="279">
        <v>26180</v>
      </c>
      <c r="E10" s="279">
        <v>25980</v>
      </c>
      <c r="F10" s="280">
        <v>8910</v>
      </c>
      <c r="G10" s="285" t="s">
        <v>1854</v>
      </c>
      <c r="H10" s="286">
        <f>SUMPRODUCT((B110:B157=基准地价修正!I2)*(C3:F3=基准地价修正!E2)*(C110:F157))</f>
        <v>0</v>
      </c>
      <c r="J10" s="283" t="s">
        <v>1759</v>
      </c>
      <c r="K10" s="283" t="s">
        <v>1779</v>
      </c>
      <c r="L10" s="283" t="s">
        <v>1800</v>
      </c>
      <c r="M10" s="283" t="s">
        <v>1828</v>
      </c>
      <c r="N10" s="283" t="s">
        <v>1863</v>
      </c>
      <c r="O10" s="283" t="s">
        <v>1912</v>
      </c>
      <c r="P10" s="283" t="s">
        <v>1961</v>
      </c>
      <c r="Q10" s="283" t="s">
        <v>2001</v>
      </c>
      <c r="R10" s="283" t="s">
        <v>2048</v>
      </c>
      <c r="S10" s="283" t="s">
        <v>2075</v>
      </c>
    </row>
    <row r="11" spans="1:20" ht="14.25" customHeight="1">
      <c r="A11" s="278" t="s">
        <v>529</v>
      </c>
      <c r="B11" s="287" t="s">
        <v>1752</v>
      </c>
      <c r="C11" s="283">
        <v>22950</v>
      </c>
      <c r="D11" s="283">
        <v>22630</v>
      </c>
      <c r="E11" s="283">
        <v>22030</v>
      </c>
      <c r="F11" s="291">
        <v>8330</v>
      </c>
      <c r="G11" s="285" t="s">
        <v>1903</v>
      </c>
      <c r="H11" s="286">
        <f>SUMPRODUCT((B158:B205=基准地价修正!I2)*(C3:F3=基准地价修正!E2)*(C158:F205))</f>
        <v>0</v>
      </c>
      <c r="J11" s="283" t="s">
        <v>1760</v>
      </c>
      <c r="K11" s="283" t="s">
        <v>1780</v>
      </c>
      <c r="L11" s="283" t="s">
        <v>1801</v>
      </c>
      <c r="M11" s="283" t="s">
        <v>1829</v>
      </c>
      <c r="N11" s="283" t="s">
        <v>1864</v>
      </c>
      <c r="O11" s="283" t="s">
        <v>1913</v>
      </c>
      <c r="P11" s="283" t="s">
        <v>1962</v>
      </c>
      <c r="Q11" s="283" t="s">
        <v>2002</v>
      </c>
      <c r="R11" s="283" t="s">
        <v>2049</v>
      </c>
      <c r="S11" s="283" t="s">
        <v>2076</v>
      </c>
    </row>
    <row r="12" spans="1:20" ht="14.25" customHeight="1">
      <c r="A12" s="278" t="s">
        <v>529</v>
      </c>
      <c r="B12" s="287" t="s">
        <v>1753</v>
      </c>
      <c r="C12" s="283">
        <v>24940</v>
      </c>
      <c r="D12" s="283">
        <v>23180</v>
      </c>
      <c r="E12" s="283">
        <v>22910</v>
      </c>
      <c r="F12" s="291">
        <v>7180</v>
      </c>
      <c r="G12" s="285" t="s">
        <v>1952</v>
      </c>
      <c r="H12" s="286">
        <f>SUMPRODUCT((B206:B244=基准地价修正!I2)*(C3:F3=基准地价修正!E2)*(C206:F244))</f>
        <v>0</v>
      </c>
      <c r="J12" s="283" t="s">
        <v>1761</v>
      </c>
      <c r="K12" s="283" t="s">
        <v>1781</v>
      </c>
      <c r="L12" s="283" t="s">
        <v>1802</v>
      </c>
      <c r="M12" s="283" t="s">
        <v>1830</v>
      </c>
      <c r="N12" s="283" t="s">
        <v>1865</v>
      </c>
      <c r="O12" s="283" t="s">
        <v>1914</v>
      </c>
      <c r="P12" s="283" t="s">
        <v>1963</v>
      </c>
      <c r="Q12" s="283" t="s">
        <v>2003</v>
      </c>
      <c r="R12" s="283" t="s">
        <v>2050</v>
      </c>
      <c r="S12" s="283" t="s">
        <v>2077</v>
      </c>
    </row>
    <row r="13" spans="1:20" ht="14.25" customHeight="1">
      <c r="A13" s="278" t="s">
        <v>529</v>
      </c>
      <c r="B13" s="287" t="s">
        <v>1754</v>
      </c>
      <c r="C13" s="283">
        <v>24140</v>
      </c>
      <c r="D13" s="283">
        <v>22270</v>
      </c>
      <c r="E13" s="283">
        <v>21950</v>
      </c>
      <c r="F13" s="291">
        <v>7600</v>
      </c>
      <c r="G13" s="285" t="s">
        <v>1992</v>
      </c>
      <c r="H13" s="286">
        <f>SUMPRODUCT((B245:B289=基准地价修正!I2)*(C3:F3=基准地价修正!E2)*(C245:F289))</f>
        <v>0</v>
      </c>
      <c r="J13" s="283" t="s">
        <v>1762</v>
      </c>
      <c r="K13" s="283" t="s">
        <v>1782</v>
      </c>
      <c r="L13" s="283" t="s">
        <v>1803</v>
      </c>
      <c r="M13" s="283" t="s">
        <v>1831</v>
      </c>
      <c r="N13" s="283" t="s">
        <v>1866</v>
      </c>
      <c r="O13" s="283" t="s">
        <v>1915</v>
      </c>
      <c r="P13" s="283" t="s">
        <v>1964</v>
      </c>
      <c r="Q13" s="283" t="s">
        <v>2004</v>
      </c>
      <c r="R13" s="283" t="s">
        <v>2051</v>
      </c>
      <c r="S13" s="283" t="s">
        <v>2078</v>
      </c>
    </row>
    <row r="14" spans="1:20" ht="14.25" customHeight="1">
      <c r="A14" s="278" t="s">
        <v>529</v>
      </c>
      <c r="B14" s="287" t="s">
        <v>1755</v>
      </c>
      <c r="C14" s="283">
        <v>25600</v>
      </c>
      <c r="D14" s="283">
        <v>22260</v>
      </c>
      <c r="E14" s="283">
        <v>22110</v>
      </c>
      <c r="F14" s="291">
        <v>7630</v>
      </c>
      <c r="G14" s="285" t="s">
        <v>2038</v>
      </c>
      <c r="H14" s="286">
        <f>SUMPRODUCT((B290:B316=基准地价修正!I2)*(C3:F3=基准地价修正!E2)*(C290:F316))</f>
        <v>0</v>
      </c>
      <c r="J14" s="283" t="s">
        <v>1763</v>
      </c>
      <c r="K14" s="283" t="s">
        <v>1783</v>
      </c>
      <c r="L14" s="283" t="s">
        <v>1804</v>
      </c>
      <c r="M14" s="283" t="s">
        <v>1832</v>
      </c>
      <c r="N14" s="283" t="s">
        <v>1867</v>
      </c>
      <c r="O14" s="283" t="s">
        <v>1916</v>
      </c>
      <c r="P14" s="283" t="s">
        <v>1965</v>
      </c>
      <c r="Q14" s="283" t="s">
        <v>2005</v>
      </c>
      <c r="R14" s="283" t="s">
        <v>2052</v>
      </c>
      <c r="S14" s="283" t="s">
        <v>2079</v>
      </c>
    </row>
    <row r="15" spans="1:20" ht="14.25" customHeight="1">
      <c r="A15" s="278" t="s">
        <v>529</v>
      </c>
      <c r="B15" s="287" t="s">
        <v>1756</v>
      </c>
      <c r="C15" s="283">
        <v>24760</v>
      </c>
      <c r="D15" s="283">
        <v>24440</v>
      </c>
      <c r="E15" s="283">
        <v>24130</v>
      </c>
      <c r="F15" s="291">
        <v>9480</v>
      </c>
      <c r="G15" s="285" t="s">
        <v>2066</v>
      </c>
      <c r="H15" s="286">
        <f>SUMPRODUCT((B317:B337=基准地价修正!I2)*(C3:F3=基准地价修正!E2)*(C317:F337))</f>
        <v>0</v>
      </c>
      <c r="J15" s="283" t="s">
        <v>1764</v>
      </c>
      <c r="K15" s="283" t="s">
        <v>1784</v>
      </c>
      <c r="L15" s="283" t="s">
        <v>1805</v>
      </c>
      <c r="M15" s="283" t="s">
        <v>1833</v>
      </c>
      <c r="N15" s="283" t="s">
        <v>1868</v>
      </c>
      <c r="O15" s="283" t="s">
        <v>1917</v>
      </c>
      <c r="P15" s="283" t="s">
        <v>1966</v>
      </c>
      <c r="Q15" s="283" t="s">
        <v>2006</v>
      </c>
      <c r="R15" s="283" t="s">
        <v>2053</v>
      </c>
      <c r="S15" s="283" t="s">
        <v>2080</v>
      </c>
    </row>
    <row r="16" spans="1:20" ht="14.25" customHeight="1">
      <c r="A16" s="278" t="s">
        <v>529</v>
      </c>
      <c r="B16" s="287" t="s">
        <v>1757</v>
      </c>
      <c r="C16" s="283">
        <v>22220</v>
      </c>
      <c r="D16" s="283">
        <v>22310</v>
      </c>
      <c r="E16" s="283">
        <v>22000</v>
      </c>
      <c r="F16" s="291">
        <v>8900</v>
      </c>
      <c r="G16" s="292" t="s">
        <v>2088</v>
      </c>
      <c r="H16" s="293">
        <f>SUMPRODUCT((B338:B344=基准地价修正!I2)*(C3:F3=基准地价修正!E2)*(C338:F344))</f>
        <v>0</v>
      </c>
      <c r="J16" s="283" t="s">
        <v>1765</v>
      </c>
      <c r="K16" s="283" t="s">
        <v>1785</v>
      </c>
      <c r="L16" s="283" t="s">
        <v>1806</v>
      </c>
      <c r="M16" s="283" t="s">
        <v>1834</v>
      </c>
      <c r="N16" s="283" t="s">
        <v>1869</v>
      </c>
      <c r="O16" s="283" t="s">
        <v>1918</v>
      </c>
      <c r="P16" s="283" t="s">
        <v>1967</v>
      </c>
      <c r="Q16" s="283" t="s">
        <v>2007</v>
      </c>
      <c r="R16" s="283" t="s">
        <v>2054</v>
      </c>
      <c r="S16" s="283" t="s">
        <v>2081</v>
      </c>
    </row>
    <row r="17" spans="1:19" ht="14.25" customHeight="1">
      <c r="A17" s="278" t="s">
        <v>529</v>
      </c>
      <c r="B17" s="287" t="s">
        <v>1758</v>
      </c>
      <c r="C17" s="283">
        <v>24700</v>
      </c>
      <c r="D17" s="283">
        <v>25150</v>
      </c>
      <c r="E17" s="283">
        <v>24700</v>
      </c>
      <c r="F17" s="294"/>
      <c r="H17" s="295"/>
      <c r="J17" s="283" t="s">
        <v>1766</v>
      </c>
      <c r="K17" s="283" t="s">
        <v>1786</v>
      </c>
      <c r="L17" s="283" t="s">
        <v>1807</v>
      </c>
      <c r="M17" s="283" t="s">
        <v>1835</v>
      </c>
      <c r="N17" s="283" t="s">
        <v>1870</v>
      </c>
      <c r="O17" s="283" t="s">
        <v>1919</v>
      </c>
      <c r="P17" s="283" t="s">
        <v>1968</v>
      </c>
      <c r="Q17" s="283" t="s">
        <v>2008</v>
      </c>
      <c r="R17" s="283" t="s">
        <v>2055</v>
      </c>
      <c r="S17" s="283" t="s">
        <v>2082</v>
      </c>
    </row>
    <row r="18" spans="1:19" ht="14.25" customHeight="1">
      <c r="A18" s="278" t="s">
        <v>529</v>
      </c>
      <c r="B18" s="287" t="s">
        <v>1759</v>
      </c>
      <c r="C18" s="283">
        <v>22350</v>
      </c>
      <c r="D18" s="283">
        <v>24340</v>
      </c>
      <c r="E18" s="283">
        <v>24100</v>
      </c>
      <c r="F18" s="294"/>
      <c r="H18" s="295"/>
      <c r="J18" s="283" t="s">
        <v>1767</v>
      </c>
      <c r="K18" s="283" t="s">
        <v>1787</v>
      </c>
      <c r="L18" s="283" t="s">
        <v>1808</v>
      </c>
      <c r="M18" s="283" t="s">
        <v>1836</v>
      </c>
      <c r="N18" s="283" t="s">
        <v>1871</v>
      </c>
      <c r="O18" s="283" t="s">
        <v>1920</v>
      </c>
      <c r="P18" s="283" t="s">
        <v>1969</v>
      </c>
      <c r="Q18" s="283" t="s">
        <v>2009</v>
      </c>
      <c r="R18" s="283" t="s">
        <v>2056</v>
      </c>
      <c r="S18" s="283" t="s">
        <v>2083</v>
      </c>
    </row>
    <row r="19" spans="1:19" ht="14.25" customHeight="1">
      <c r="A19" s="278" t="s">
        <v>529</v>
      </c>
      <c r="B19" s="287" t="s">
        <v>1760</v>
      </c>
      <c r="C19" s="283">
        <v>23430</v>
      </c>
      <c r="D19" s="283">
        <v>21580</v>
      </c>
      <c r="E19" s="283">
        <v>21350</v>
      </c>
      <c r="F19" s="294"/>
      <c r="H19" s="295"/>
      <c r="J19" s="283" t="s">
        <v>1768</v>
      </c>
      <c r="K19" s="283" t="s">
        <v>1788</v>
      </c>
      <c r="L19" s="283" t="s">
        <v>1809</v>
      </c>
      <c r="M19" s="283" t="s">
        <v>1837</v>
      </c>
      <c r="N19" s="283" t="s">
        <v>1872</v>
      </c>
      <c r="O19" s="283" t="s">
        <v>1921</v>
      </c>
      <c r="P19" s="283" t="s">
        <v>1970</v>
      </c>
      <c r="Q19" s="283" t="s">
        <v>2010</v>
      </c>
      <c r="R19" s="283" t="s">
        <v>2057</v>
      </c>
      <c r="S19" s="283" t="s">
        <v>2084</v>
      </c>
    </row>
    <row r="20" spans="1:19" ht="14.25" customHeight="1">
      <c r="A20" s="278" t="s">
        <v>529</v>
      </c>
      <c r="B20" s="287" t="s">
        <v>1761</v>
      </c>
      <c r="C20" s="283">
        <v>27660</v>
      </c>
      <c r="D20" s="283">
        <v>24240</v>
      </c>
      <c r="E20" s="283">
        <v>24020</v>
      </c>
      <c r="F20" s="294"/>
      <c r="J20" s="283" t="s">
        <v>1769</v>
      </c>
      <c r="K20" s="283" t="s">
        <v>1789</v>
      </c>
      <c r="L20" s="283" t="s">
        <v>1810</v>
      </c>
      <c r="M20" s="283" t="s">
        <v>1838</v>
      </c>
      <c r="N20" s="283" t="s">
        <v>1873</v>
      </c>
      <c r="O20" s="283" t="s">
        <v>1922</v>
      </c>
      <c r="P20" s="283" t="s">
        <v>1971</v>
      </c>
      <c r="Q20" s="283" t="s">
        <v>2011</v>
      </c>
      <c r="R20" s="283" t="s">
        <v>2058</v>
      </c>
      <c r="S20" s="283" t="s">
        <v>2085</v>
      </c>
    </row>
    <row r="21" spans="1:19" ht="14.25" customHeight="1">
      <c r="A21" s="278" t="s">
        <v>529</v>
      </c>
      <c r="B21" s="287" t="s">
        <v>1762</v>
      </c>
      <c r="C21" s="283">
        <v>24720</v>
      </c>
      <c r="D21" s="283">
        <v>21670</v>
      </c>
      <c r="E21" s="283">
        <v>21510</v>
      </c>
      <c r="F21" s="294"/>
      <c r="K21" s="283" t="s">
        <v>1790</v>
      </c>
      <c r="L21" s="283" t="s">
        <v>1811</v>
      </c>
      <c r="M21" s="283" t="s">
        <v>1839</v>
      </c>
      <c r="N21" s="283" t="s">
        <v>1874</v>
      </c>
      <c r="O21" s="283" t="s">
        <v>1923</v>
      </c>
      <c r="P21" s="283" t="s">
        <v>1972</v>
      </c>
      <c r="Q21" s="283" t="s">
        <v>2012</v>
      </c>
      <c r="R21" s="283" t="s">
        <v>2059</v>
      </c>
      <c r="S21" s="283" t="s">
        <v>2086</v>
      </c>
    </row>
    <row r="22" spans="1:19" ht="14.25" customHeight="1">
      <c r="A22" s="278" t="s">
        <v>529</v>
      </c>
      <c r="B22" s="287" t="s">
        <v>1763</v>
      </c>
      <c r="C22" s="283">
        <v>26530</v>
      </c>
      <c r="D22" s="283">
        <v>22980</v>
      </c>
      <c r="E22" s="283">
        <v>22650</v>
      </c>
      <c r="F22" s="294"/>
      <c r="L22" s="283" t="s">
        <v>1812</v>
      </c>
      <c r="M22" s="283" t="s">
        <v>1840</v>
      </c>
      <c r="N22" s="283" t="s">
        <v>1875</v>
      </c>
      <c r="O22" s="283" t="s">
        <v>1924</v>
      </c>
      <c r="P22" s="283" t="s">
        <v>1973</v>
      </c>
      <c r="Q22" s="283" t="s">
        <v>2013</v>
      </c>
      <c r="R22" s="283" t="s">
        <v>2060</v>
      </c>
      <c r="S22" s="287" t="s">
        <v>2087</v>
      </c>
    </row>
    <row r="23" spans="1:19" ht="14.25" customHeight="1">
      <c r="A23" s="278" t="s">
        <v>529</v>
      </c>
      <c r="B23" s="287" t="s">
        <v>1764</v>
      </c>
      <c r="C23" s="283">
        <v>24700</v>
      </c>
      <c r="D23" s="283">
        <v>27290</v>
      </c>
      <c r="E23" s="283">
        <v>26710</v>
      </c>
      <c r="F23" s="294"/>
      <c r="L23" s="283" t="s">
        <v>1813</v>
      </c>
      <c r="M23" s="283" t="s">
        <v>1841</v>
      </c>
      <c r="N23" s="283" t="s">
        <v>1876</v>
      </c>
      <c r="O23" s="283" t="s">
        <v>1925</v>
      </c>
      <c r="P23" s="283" t="s">
        <v>1974</v>
      </c>
      <c r="Q23" s="283" t="s">
        <v>2014</v>
      </c>
      <c r="R23" s="283" t="s">
        <v>2061</v>
      </c>
    </row>
    <row r="24" spans="1:19" ht="14.25" customHeight="1">
      <c r="A24" s="278" t="s">
        <v>529</v>
      </c>
      <c r="B24" s="287" t="s">
        <v>1765</v>
      </c>
      <c r="C24" s="283">
        <v>23070</v>
      </c>
      <c r="D24" s="283">
        <v>24130</v>
      </c>
      <c r="E24" s="283">
        <v>23860</v>
      </c>
      <c r="F24" s="294"/>
      <c r="L24" s="283" t="s">
        <v>1814</v>
      </c>
      <c r="M24" s="283" t="s">
        <v>1842</v>
      </c>
      <c r="N24" s="283" t="s">
        <v>1877</v>
      </c>
      <c r="O24" s="283" t="s">
        <v>1926</v>
      </c>
      <c r="P24" s="283" t="s">
        <v>1975</v>
      </c>
      <c r="Q24" s="283" t="s">
        <v>2015</v>
      </c>
      <c r="R24" s="283" t="s">
        <v>2062</v>
      </c>
    </row>
    <row r="25" spans="1:19" ht="14.25" customHeight="1">
      <c r="A25" s="278" t="s">
        <v>529</v>
      </c>
      <c r="B25" s="287" t="s">
        <v>1766</v>
      </c>
      <c r="C25" s="283">
        <v>27550</v>
      </c>
      <c r="D25" s="283">
        <v>25850</v>
      </c>
      <c r="E25" s="283">
        <v>25340</v>
      </c>
      <c r="F25" s="294"/>
      <c r="L25" s="283" t="s">
        <v>1815</v>
      </c>
      <c r="M25" s="283" t="s">
        <v>1843</v>
      </c>
      <c r="N25" s="283" t="s">
        <v>1878</v>
      </c>
      <c r="O25" s="283" t="s">
        <v>1927</v>
      </c>
      <c r="P25" s="283" t="s">
        <v>1976</v>
      </c>
      <c r="Q25" s="283" t="s">
        <v>2016</v>
      </c>
      <c r="R25" s="283" t="s">
        <v>2063</v>
      </c>
    </row>
    <row r="26" spans="1:19" ht="14.25" customHeight="1">
      <c r="A26" s="278" t="s">
        <v>529</v>
      </c>
      <c r="B26" s="287" t="s">
        <v>1767</v>
      </c>
      <c r="C26" s="283"/>
      <c r="D26" s="283">
        <v>23900</v>
      </c>
      <c r="E26" s="283">
        <v>23590</v>
      </c>
      <c r="F26" s="294"/>
      <c r="L26" s="283" t="s">
        <v>1816</v>
      </c>
      <c r="M26" s="283" t="s">
        <v>1844</v>
      </c>
      <c r="N26" s="283" t="s">
        <v>1879</v>
      </c>
      <c r="O26" s="283" t="s">
        <v>1928</v>
      </c>
      <c r="P26" s="283" t="s">
        <v>1977</v>
      </c>
      <c r="Q26" s="283" t="s">
        <v>2017</v>
      </c>
      <c r="R26" s="283" t="s">
        <v>2064</v>
      </c>
    </row>
    <row r="27" spans="1:19" ht="14.25" customHeight="1">
      <c r="A27" s="278" t="s">
        <v>529</v>
      </c>
      <c r="B27" s="287" t="s">
        <v>1768</v>
      </c>
      <c r="C27" s="283"/>
      <c r="D27" s="283">
        <v>22850</v>
      </c>
      <c r="E27" s="283">
        <v>21920</v>
      </c>
      <c r="F27" s="294"/>
      <c r="L27" s="283" t="s">
        <v>1817</v>
      </c>
      <c r="M27" s="283" t="s">
        <v>1845</v>
      </c>
      <c r="N27" s="283" t="s">
        <v>1880</v>
      </c>
      <c r="O27" s="283" t="s">
        <v>1929</v>
      </c>
      <c r="P27" s="283" t="s">
        <v>1978</v>
      </c>
      <c r="Q27" s="283" t="s">
        <v>2018</v>
      </c>
      <c r="R27" s="283" t="s">
        <v>2065</v>
      </c>
    </row>
    <row r="28" spans="1:19" ht="14.25" customHeight="1">
      <c r="A28" s="296" t="s">
        <v>529</v>
      </c>
      <c r="B28" s="288" t="s">
        <v>1769</v>
      </c>
      <c r="C28" s="289"/>
      <c r="D28" s="289">
        <v>26610</v>
      </c>
      <c r="E28" s="289">
        <v>26370</v>
      </c>
      <c r="F28" s="290"/>
      <c r="L28" s="283" t="s">
        <v>1818</v>
      </c>
      <c r="M28" s="283" t="s">
        <v>1846</v>
      </c>
      <c r="N28" s="283" t="s">
        <v>1881</v>
      </c>
      <c r="O28" s="283" t="s">
        <v>1930</v>
      </c>
      <c r="P28" s="283" t="s">
        <v>1979</v>
      </c>
      <c r="Q28" s="283" t="s">
        <v>2019</v>
      </c>
    </row>
    <row r="29" spans="1:19" ht="14.25" customHeight="1">
      <c r="A29" s="278" t="s">
        <v>1770</v>
      </c>
      <c r="B29" s="279" t="s">
        <v>1771</v>
      </c>
      <c r="C29" s="279">
        <v>22090</v>
      </c>
      <c r="D29" s="279">
        <v>21860</v>
      </c>
      <c r="E29" s="279">
        <v>19380</v>
      </c>
      <c r="F29" s="280">
        <v>6610</v>
      </c>
      <c r="M29" s="283" t="s">
        <v>1847</v>
      </c>
      <c r="N29" s="283" t="s">
        <v>1882</v>
      </c>
      <c r="O29" s="283" t="s">
        <v>1931</v>
      </c>
      <c r="P29" s="283" t="s">
        <v>1980</v>
      </c>
      <c r="Q29" s="283" t="s">
        <v>2020</v>
      </c>
    </row>
    <row r="30" spans="1:19" ht="14.25" customHeight="1">
      <c r="A30" s="278" t="s">
        <v>1770</v>
      </c>
      <c r="B30" s="287" t="s">
        <v>1772</v>
      </c>
      <c r="C30" s="283">
        <v>21380</v>
      </c>
      <c r="D30" s="283">
        <v>19930</v>
      </c>
      <c r="E30" s="283">
        <v>19860</v>
      </c>
      <c r="F30" s="291">
        <v>6010</v>
      </c>
      <c r="H30" s="295"/>
      <c r="M30" s="283" t="s">
        <v>1848</v>
      </c>
      <c r="N30" s="283" t="s">
        <v>1883</v>
      </c>
      <c r="O30" s="283" t="s">
        <v>1932</v>
      </c>
      <c r="P30" s="283" t="s">
        <v>2133</v>
      </c>
      <c r="Q30" s="283" t="s">
        <v>2021</v>
      </c>
    </row>
    <row r="31" spans="1:19" ht="14.25" customHeight="1">
      <c r="A31" s="278" t="s">
        <v>1770</v>
      </c>
      <c r="B31" s="287" t="s">
        <v>1773</v>
      </c>
      <c r="C31" s="283">
        <v>21670</v>
      </c>
      <c r="D31" s="283">
        <v>20660</v>
      </c>
      <c r="E31" s="283">
        <v>20290</v>
      </c>
      <c r="F31" s="291">
        <v>5840</v>
      </c>
      <c r="H31" s="295"/>
      <c r="M31" s="283" t="s">
        <v>1849</v>
      </c>
      <c r="N31" s="283" t="s">
        <v>1884</v>
      </c>
      <c r="O31" s="283" t="s">
        <v>1933</v>
      </c>
      <c r="P31" s="283" t="s">
        <v>1982</v>
      </c>
      <c r="Q31" s="283" t="s">
        <v>2022</v>
      </c>
    </row>
    <row r="32" spans="1:19" ht="14.25" customHeight="1">
      <c r="A32" s="278" t="s">
        <v>1770</v>
      </c>
      <c r="B32" s="287" t="s">
        <v>1774</v>
      </c>
      <c r="C32" s="283">
        <v>22280</v>
      </c>
      <c r="D32" s="283">
        <v>21800</v>
      </c>
      <c r="E32" s="283">
        <v>17650</v>
      </c>
      <c r="F32" s="291">
        <v>4690</v>
      </c>
      <c r="H32" s="295"/>
      <c r="M32" s="283" t="s">
        <v>1850</v>
      </c>
      <c r="N32" s="283" t="s">
        <v>1885</v>
      </c>
      <c r="O32" s="283" t="s">
        <v>1934</v>
      </c>
      <c r="P32" s="283" t="s">
        <v>1983</v>
      </c>
      <c r="Q32" s="283" t="s">
        <v>2023</v>
      </c>
    </row>
    <row r="33" spans="1:17" ht="14.25" customHeight="1">
      <c r="A33" s="278" t="s">
        <v>1770</v>
      </c>
      <c r="B33" s="287" t="s">
        <v>1775</v>
      </c>
      <c r="C33" s="283">
        <v>22130</v>
      </c>
      <c r="D33" s="283">
        <v>20460</v>
      </c>
      <c r="E33" s="283">
        <v>18500</v>
      </c>
      <c r="F33" s="291">
        <v>5340</v>
      </c>
      <c r="H33" s="295"/>
      <c r="M33" s="283" t="s">
        <v>1851</v>
      </c>
      <c r="N33" s="283" t="s">
        <v>1886</v>
      </c>
      <c r="O33" s="283" t="s">
        <v>1935</v>
      </c>
      <c r="P33" s="283" t="s">
        <v>1984</v>
      </c>
      <c r="Q33" s="283" t="s">
        <v>2024</v>
      </c>
    </row>
    <row r="34" spans="1:17" ht="14.25" customHeight="1">
      <c r="A34" s="278" t="s">
        <v>1770</v>
      </c>
      <c r="B34" s="287" t="s">
        <v>1776</v>
      </c>
      <c r="C34" s="283">
        <v>22070</v>
      </c>
      <c r="D34" s="283">
        <v>20110</v>
      </c>
      <c r="E34" s="283">
        <v>18830</v>
      </c>
      <c r="F34" s="291">
        <v>5190</v>
      </c>
      <c r="H34" s="295"/>
      <c r="M34" s="283" t="s">
        <v>1852</v>
      </c>
      <c r="N34" s="283" t="s">
        <v>1887</v>
      </c>
      <c r="O34" s="283" t="s">
        <v>1936</v>
      </c>
      <c r="P34" s="283" t="s">
        <v>1985</v>
      </c>
      <c r="Q34" s="283" t="s">
        <v>2025</v>
      </c>
    </row>
    <row r="35" spans="1:17" ht="14.25" customHeight="1">
      <c r="A35" s="278" t="s">
        <v>1770</v>
      </c>
      <c r="B35" s="287" t="s">
        <v>1777</v>
      </c>
      <c r="C35" s="283">
        <v>22240</v>
      </c>
      <c r="D35" s="283">
        <v>19550</v>
      </c>
      <c r="E35" s="283">
        <v>19220</v>
      </c>
      <c r="F35" s="291">
        <v>5800</v>
      </c>
      <c r="H35" s="295"/>
      <c r="M35" s="283" t="s">
        <v>1853</v>
      </c>
      <c r="N35" s="283" t="s">
        <v>1888</v>
      </c>
      <c r="O35" s="283" t="s">
        <v>1937</v>
      </c>
      <c r="P35" s="283" t="s">
        <v>1986</v>
      </c>
      <c r="Q35" s="283" t="s">
        <v>2026</v>
      </c>
    </row>
    <row r="36" spans="1:17" ht="14.25" customHeight="1">
      <c r="A36" s="278" t="s">
        <v>1770</v>
      </c>
      <c r="B36" s="287" t="s">
        <v>1778</v>
      </c>
      <c r="C36" s="283">
        <v>19750</v>
      </c>
      <c r="D36" s="283">
        <v>19790</v>
      </c>
      <c r="E36" s="283">
        <v>18510</v>
      </c>
      <c r="F36" s="291">
        <v>6520</v>
      </c>
      <c r="H36" s="295"/>
      <c r="N36" s="283" t="s">
        <v>1889</v>
      </c>
      <c r="O36" s="283" t="s">
        <v>1938</v>
      </c>
      <c r="P36" s="283" t="s">
        <v>1987</v>
      </c>
      <c r="Q36" s="283" t="s">
        <v>2027</v>
      </c>
    </row>
    <row r="37" spans="1:17" ht="14.25" customHeight="1">
      <c r="A37" s="278" t="s">
        <v>1770</v>
      </c>
      <c r="B37" s="287" t="s">
        <v>1779</v>
      </c>
      <c r="C37" s="283">
        <v>22380</v>
      </c>
      <c r="D37" s="283">
        <v>18530</v>
      </c>
      <c r="E37" s="283">
        <v>17930</v>
      </c>
      <c r="F37" s="291">
        <v>6270</v>
      </c>
      <c r="H37" s="297"/>
      <c r="N37" s="283" t="s">
        <v>1890</v>
      </c>
      <c r="O37" s="283" t="s">
        <v>1939</v>
      </c>
      <c r="P37" s="283" t="s">
        <v>1988</v>
      </c>
      <c r="Q37" s="283" t="s">
        <v>2028</v>
      </c>
    </row>
    <row r="38" spans="1:17" ht="14.25" customHeight="1">
      <c r="A38" s="278" t="s">
        <v>1770</v>
      </c>
      <c r="B38" s="287" t="s">
        <v>1780</v>
      </c>
      <c r="C38" s="283">
        <v>20200</v>
      </c>
      <c r="D38" s="283">
        <v>20070</v>
      </c>
      <c r="E38" s="283">
        <v>19950</v>
      </c>
      <c r="F38" s="291"/>
      <c r="H38" s="298"/>
      <c r="N38" s="283" t="s">
        <v>1891</v>
      </c>
      <c r="O38" s="283" t="s">
        <v>1940</v>
      </c>
      <c r="P38" s="283" t="s">
        <v>1989</v>
      </c>
      <c r="Q38" s="283" t="s">
        <v>2029</v>
      </c>
    </row>
    <row r="39" spans="1:17" ht="14.25" customHeight="1">
      <c r="A39" s="278" t="s">
        <v>1770</v>
      </c>
      <c r="B39" s="287" t="s">
        <v>1781</v>
      </c>
      <c r="C39" s="283">
        <v>19300</v>
      </c>
      <c r="D39" s="283">
        <v>20360</v>
      </c>
      <c r="E39" s="283">
        <v>20230</v>
      </c>
      <c r="F39" s="291"/>
      <c r="H39" s="298"/>
      <c r="N39" s="283" t="s">
        <v>1892</v>
      </c>
      <c r="O39" s="283" t="s">
        <v>1941</v>
      </c>
      <c r="P39" s="283" t="s">
        <v>1990</v>
      </c>
      <c r="Q39" s="283" t="s">
        <v>2030</v>
      </c>
    </row>
    <row r="40" spans="1:17" ht="14.25" customHeight="1">
      <c r="A40" s="278" t="s">
        <v>1770</v>
      </c>
      <c r="B40" s="287" t="s">
        <v>1782</v>
      </c>
      <c r="C40" s="283">
        <v>20210</v>
      </c>
      <c r="D40" s="283">
        <v>19060</v>
      </c>
      <c r="E40" s="283">
        <v>18890</v>
      </c>
      <c r="F40" s="291"/>
      <c r="H40" s="298"/>
      <c r="N40" s="283" t="s">
        <v>1893</v>
      </c>
      <c r="O40" s="283" t="s">
        <v>1942</v>
      </c>
      <c r="P40" s="283" t="s">
        <v>1991</v>
      </c>
      <c r="Q40" s="283" t="s">
        <v>2031</v>
      </c>
    </row>
    <row r="41" spans="1:17" ht="14.25" customHeight="1">
      <c r="A41" s="278" t="s">
        <v>1770</v>
      </c>
      <c r="B41" s="287" t="s">
        <v>1783</v>
      </c>
      <c r="C41" s="283">
        <v>20560</v>
      </c>
      <c r="D41" s="283">
        <v>21040</v>
      </c>
      <c r="E41" s="283">
        <v>20740</v>
      </c>
      <c r="F41" s="291"/>
      <c r="H41" s="298"/>
      <c r="N41" s="287" t="s">
        <v>1894</v>
      </c>
      <c r="O41" s="287" t="s">
        <v>1943</v>
      </c>
      <c r="Q41" s="287" t="s">
        <v>2032</v>
      </c>
    </row>
    <row r="42" spans="1:17" ht="14.25" customHeight="1">
      <c r="A42" s="278" t="s">
        <v>1770</v>
      </c>
      <c r="B42" s="287" t="s">
        <v>1784</v>
      </c>
      <c r="C42" s="283">
        <v>19280</v>
      </c>
      <c r="D42" s="283">
        <v>22940</v>
      </c>
      <c r="E42" s="283">
        <v>22500</v>
      </c>
      <c r="F42" s="291"/>
      <c r="H42" s="298"/>
      <c r="N42" s="283" t="s">
        <v>1895</v>
      </c>
      <c r="O42" s="283" t="s">
        <v>1944</v>
      </c>
      <c r="Q42" s="283" t="s">
        <v>2033</v>
      </c>
    </row>
    <row r="43" spans="1:17" ht="14.25" customHeight="1">
      <c r="A43" s="278" t="s">
        <v>1770</v>
      </c>
      <c r="B43" s="287" t="s">
        <v>1785</v>
      </c>
      <c r="C43" s="283">
        <v>21520</v>
      </c>
      <c r="D43" s="283">
        <v>19230</v>
      </c>
      <c r="E43" s="283">
        <v>18540</v>
      </c>
      <c r="F43" s="291"/>
      <c r="H43" s="298"/>
      <c r="N43" s="283" t="s">
        <v>1896</v>
      </c>
      <c r="O43" s="283" t="s">
        <v>1945</v>
      </c>
      <c r="Q43" s="283" t="s">
        <v>2034</v>
      </c>
    </row>
    <row r="44" spans="1:17" ht="14.25" customHeight="1">
      <c r="A44" s="278" t="s">
        <v>1770</v>
      </c>
      <c r="B44" s="287" t="s">
        <v>1786</v>
      </c>
      <c r="C44" s="283">
        <v>23260</v>
      </c>
      <c r="D44" s="283">
        <v>21180</v>
      </c>
      <c r="E44" s="283">
        <v>20730</v>
      </c>
      <c r="F44" s="291"/>
      <c r="H44" s="298"/>
      <c r="N44" s="283" t="s">
        <v>1897</v>
      </c>
      <c r="O44" s="283" t="s">
        <v>1946</v>
      </c>
      <c r="Q44" s="283" t="s">
        <v>2035</v>
      </c>
    </row>
    <row r="45" spans="1:17" ht="14.25" customHeight="1">
      <c r="A45" s="278" t="s">
        <v>1770</v>
      </c>
      <c r="B45" s="287" t="s">
        <v>1787</v>
      </c>
      <c r="C45" s="283">
        <v>19610</v>
      </c>
      <c r="D45" s="283">
        <v>18090</v>
      </c>
      <c r="E45" s="283">
        <v>17970</v>
      </c>
      <c r="F45" s="291"/>
      <c r="H45" s="295"/>
      <c r="N45" s="283" t="s">
        <v>1898</v>
      </c>
      <c r="O45" s="283" t="s">
        <v>1947</v>
      </c>
      <c r="Q45" s="283" t="s">
        <v>2036</v>
      </c>
    </row>
    <row r="46" spans="1:17" ht="14.25" customHeight="1">
      <c r="A46" s="278" t="s">
        <v>1770</v>
      </c>
      <c r="B46" s="287" t="s">
        <v>1788</v>
      </c>
      <c r="C46" s="283">
        <v>21660</v>
      </c>
      <c r="D46" s="283">
        <v>19190</v>
      </c>
      <c r="E46" s="283">
        <v>19790</v>
      </c>
      <c r="F46" s="291"/>
      <c r="H46" s="298"/>
      <c r="N46" s="283" t="s">
        <v>1899</v>
      </c>
      <c r="O46" s="283" t="s">
        <v>1948</v>
      </c>
      <c r="Q46" s="283" t="s">
        <v>2037</v>
      </c>
    </row>
    <row r="47" spans="1:17" ht="14.25" customHeight="1">
      <c r="A47" s="278" t="s">
        <v>1770</v>
      </c>
      <c r="B47" s="287" t="s">
        <v>1789</v>
      </c>
      <c r="C47" s="283">
        <v>18220</v>
      </c>
      <c r="D47" s="283"/>
      <c r="E47" s="283">
        <v>17220</v>
      </c>
      <c r="F47" s="291"/>
      <c r="H47" s="298"/>
      <c r="N47" s="283" t="s">
        <v>1900</v>
      </c>
      <c r="O47" s="283" t="s">
        <v>1949</v>
      </c>
    </row>
    <row r="48" spans="1:17" ht="14.25" customHeight="1">
      <c r="A48" s="278" t="s">
        <v>1770</v>
      </c>
      <c r="B48" s="288" t="s">
        <v>1790</v>
      </c>
      <c r="C48" s="289">
        <v>19430</v>
      </c>
      <c r="D48" s="289"/>
      <c r="E48" s="289">
        <v>17830</v>
      </c>
      <c r="F48" s="299"/>
      <c r="H48" s="295"/>
      <c r="N48" s="283" t="s">
        <v>1901</v>
      </c>
      <c r="O48" s="283" t="s">
        <v>1950</v>
      </c>
    </row>
    <row r="49" spans="1:15" ht="14.25" customHeight="1">
      <c r="A49" s="278" t="s">
        <v>1791</v>
      </c>
      <c r="B49" s="279" t="s">
        <v>1792</v>
      </c>
      <c r="C49" s="279">
        <v>17090</v>
      </c>
      <c r="D49" s="279">
        <v>16950</v>
      </c>
      <c r="E49" s="279">
        <v>16310</v>
      </c>
      <c r="F49" s="280">
        <v>4540</v>
      </c>
      <c r="H49" s="298"/>
      <c r="N49" s="283" t="s">
        <v>1902</v>
      </c>
      <c r="O49" s="283" t="s">
        <v>1951</v>
      </c>
    </row>
    <row r="50" spans="1:15" ht="14.25" customHeight="1">
      <c r="A50" s="278" t="s">
        <v>1791</v>
      </c>
      <c r="B50" s="283" t="s">
        <v>1793</v>
      </c>
      <c r="C50" s="283">
        <v>19040</v>
      </c>
      <c r="D50" s="283">
        <v>16960</v>
      </c>
      <c r="E50" s="283">
        <v>14800</v>
      </c>
      <c r="F50" s="291">
        <v>3940</v>
      </c>
      <c r="H50" s="298"/>
    </row>
    <row r="51" spans="1:15" ht="14.25" customHeight="1">
      <c r="A51" s="278" t="s">
        <v>1791</v>
      </c>
      <c r="B51" s="283" t="s">
        <v>1794</v>
      </c>
      <c r="C51" s="283">
        <v>17040</v>
      </c>
      <c r="D51" s="283">
        <v>16930</v>
      </c>
      <c r="E51" s="283">
        <v>15030</v>
      </c>
      <c r="F51" s="291">
        <v>4120</v>
      </c>
      <c r="H51" s="298"/>
    </row>
    <row r="52" spans="1:15" ht="14.25" customHeight="1">
      <c r="A52" s="278" t="s">
        <v>1791</v>
      </c>
      <c r="B52" s="283" t="s">
        <v>1795</v>
      </c>
      <c r="C52" s="283">
        <v>17110</v>
      </c>
      <c r="D52" s="283">
        <v>17750</v>
      </c>
      <c r="E52" s="283">
        <v>17310</v>
      </c>
      <c r="F52" s="291">
        <v>3220</v>
      </c>
      <c r="H52" s="298"/>
    </row>
    <row r="53" spans="1:15" ht="14.25" customHeight="1">
      <c r="A53" s="278" t="s">
        <v>1791</v>
      </c>
      <c r="B53" s="283" t="s">
        <v>1796</v>
      </c>
      <c r="C53" s="283">
        <v>17810</v>
      </c>
      <c r="D53" s="283">
        <v>17260</v>
      </c>
      <c r="E53" s="283">
        <v>17090</v>
      </c>
      <c r="F53" s="291">
        <v>3520</v>
      </c>
      <c r="H53" s="298"/>
    </row>
    <row r="54" spans="1:15" ht="14.25" customHeight="1">
      <c r="A54" s="278" t="s">
        <v>1791</v>
      </c>
      <c r="B54" s="283" t="s">
        <v>1797</v>
      </c>
      <c r="C54" s="283">
        <v>17410</v>
      </c>
      <c r="D54" s="283">
        <v>16780</v>
      </c>
      <c r="E54" s="283">
        <v>16370</v>
      </c>
      <c r="F54" s="291">
        <v>3410</v>
      </c>
      <c r="H54" s="298"/>
    </row>
    <row r="55" spans="1:15" ht="14.25" customHeight="1">
      <c r="A55" s="278" t="s">
        <v>1791</v>
      </c>
      <c r="B55" s="283" t="s">
        <v>1798</v>
      </c>
      <c r="C55" s="283">
        <v>16930</v>
      </c>
      <c r="D55" s="283">
        <v>14720</v>
      </c>
      <c r="E55" s="283">
        <v>15000</v>
      </c>
      <c r="F55" s="291">
        <v>3710</v>
      </c>
      <c r="H55" s="298"/>
    </row>
    <row r="56" spans="1:15" ht="14.25" customHeight="1">
      <c r="A56" s="278" t="s">
        <v>1791</v>
      </c>
      <c r="B56" s="283" t="s">
        <v>1799</v>
      </c>
      <c r="C56" s="283">
        <v>14930</v>
      </c>
      <c r="D56" s="283">
        <v>15850</v>
      </c>
      <c r="E56" s="283">
        <v>14320</v>
      </c>
      <c r="F56" s="291">
        <v>3960</v>
      </c>
      <c r="H56" s="298"/>
    </row>
    <row r="57" spans="1:15" ht="14.25" customHeight="1">
      <c r="A57" s="278" t="s">
        <v>1791</v>
      </c>
      <c r="B57" s="283" t="s">
        <v>1800</v>
      </c>
      <c r="C57" s="283">
        <v>16160</v>
      </c>
      <c r="D57" s="283">
        <v>16190</v>
      </c>
      <c r="E57" s="283">
        <v>15650</v>
      </c>
      <c r="F57" s="291">
        <v>4200</v>
      </c>
      <c r="H57" s="298"/>
    </row>
    <row r="58" spans="1:15" ht="14.25" customHeight="1">
      <c r="A58" s="278" t="s">
        <v>1791</v>
      </c>
      <c r="B58" s="283" t="s">
        <v>1801</v>
      </c>
      <c r="C58" s="283">
        <v>16360</v>
      </c>
      <c r="D58" s="283">
        <v>14050</v>
      </c>
      <c r="E58" s="283">
        <v>16070</v>
      </c>
      <c r="F58" s="291">
        <v>3990</v>
      </c>
      <c r="H58" s="298"/>
    </row>
    <row r="59" spans="1:15" ht="14.25" customHeight="1">
      <c r="A59" s="278" t="s">
        <v>1791</v>
      </c>
      <c r="B59" s="283" t="s">
        <v>1802</v>
      </c>
      <c r="C59" s="283">
        <v>14160</v>
      </c>
      <c r="D59" s="283">
        <v>16620</v>
      </c>
      <c r="E59" s="283">
        <v>13940</v>
      </c>
      <c r="F59" s="291">
        <v>4260</v>
      </c>
      <c r="H59" s="298"/>
    </row>
    <row r="60" spans="1:15" ht="14.25" customHeight="1">
      <c r="A60" s="278" t="s">
        <v>1791</v>
      </c>
      <c r="B60" s="283" t="s">
        <v>1803</v>
      </c>
      <c r="C60" s="283">
        <v>16750</v>
      </c>
      <c r="D60" s="283">
        <v>13910</v>
      </c>
      <c r="E60" s="283">
        <v>16550</v>
      </c>
      <c r="F60" s="291">
        <v>4550</v>
      </c>
      <c r="H60" s="298"/>
    </row>
    <row r="61" spans="1:15" ht="14.25" customHeight="1">
      <c r="A61" s="278" t="s">
        <v>1791</v>
      </c>
      <c r="B61" s="283" t="s">
        <v>1804</v>
      </c>
      <c r="C61" s="283">
        <v>14000</v>
      </c>
      <c r="D61" s="283">
        <v>14550</v>
      </c>
      <c r="E61" s="283">
        <v>13860</v>
      </c>
      <c r="F61" s="300"/>
      <c r="H61" s="298"/>
    </row>
    <row r="62" spans="1:15" ht="14.25" customHeight="1">
      <c r="A62" s="278" t="s">
        <v>1791</v>
      </c>
      <c r="B62" s="283" t="s">
        <v>1805</v>
      </c>
      <c r="C62" s="283">
        <v>14660</v>
      </c>
      <c r="D62" s="283">
        <v>17450</v>
      </c>
      <c r="E62" s="283">
        <v>14470</v>
      </c>
      <c r="F62" s="300"/>
      <c r="H62" s="298"/>
    </row>
    <row r="63" spans="1:15" ht="14.25" customHeight="1">
      <c r="A63" s="278" t="s">
        <v>1791</v>
      </c>
      <c r="B63" s="283" t="s">
        <v>1806</v>
      </c>
      <c r="C63" s="283">
        <v>17610</v>
      </c>
      <c r="D63" s="283">
        <v>16500</v>
      </c>
      <c r="E63" s="283">
        <v>17330</v>
      </c>
      <c r="F63" s="300"/>
      <c r="H63" s="298"/>
    </row>
    <row r="64" spans="1:15" ht="14.25" customHeight="1">
      <c r="A64" s="278" t="s">
        <v>1791</v>
      </c>
      <c r="B64" s="283" t="s">
        <v>1807</v>
      </c>
      <c r="C64" s="283">
        <v>16590</v>
      </c>
      <c r="D64" s="283">
        <v>15130</v>
      </c>
      <c r="E64" s="283">
        <v>16420</v>
      </c>
      <c r="F64" s="300"/>
      <c r="H64" s="298"/>
    </row>
    <row r="65" spans="1:8" s="269" customFormat="1" ht="14.25" customHeight="1">
      <c r="A65" s="278" t="s">
        <v>1791</v>
      </c>
      <c r="B65" s="283" t="s">
        <v>1808</v>
      </c>
      <c r="C65" s="283">
        <v>15220</v>
      </c>
      <c r="D65" s="283">
        <v>14660</v>
      </c>
      <c r="E65" s="283">
        <v>15060</v>
      </c>
      <c r="F65" s="291"/>
      <c r="H65" s="298"/>
    </row>
    <row r="66" spans="1:8" s="269" customFormat="1" ht="14.25" customHeight="1">
      <c r="A66" s="278" t="s">
        <v>1791</v>
      </c>
      <c r="B66" s="283" t="s">
        <v>1809</v>
      </c>
      <c r="C66" s="283">
        <v>14720</v>
      </c>
      <c r="D66" s="283">
        <v>15970</v>
      </c>
      <c r="E66" s="283">
        <v>14610</v>
      </c>
      <c r="F66" s="291"/>
      <c r="H66" s="298"/>
    </row>
    <row r="67" spans="1:8" s="269" customFormat="1" ht="14.25" customHeight="1">
      <c r="A67" s="278" t="s">
        <v>1791</v>
      </c>
      <c r="B67" s="283" t="s">
        <v>1810</v>
      </c>
      <c r="C67" s="283">
        <v>16080</v>
      </c>
      <c r="D67" s="283">
        <v>14840</v>
      </c>
      <c r="E67" s="283">
        <v>15630</v>
      </c>
      <c r="F67" s="291"/>
      <c r="H67" s="298"/>
    </row>
    <row r="68" spans="1:8" s="269" customFormat="1" ht="14.25" customHeight="1">
      <c r="A68" s="278" t="s">
        <v>1791</v>
      </c>
      <c r="B68" s="283" t="s">
        <v>1811</v>
      </c>
      <c r="C68" s="283">
        <v>14940</v>
      </c>
      <c r="D68" s="283">
        <v>18000</v>
      </c>
      <c r="E68" s="283">
        <v>14040</v>
      </c>
      <c r="F68" s="291"/>
      <c r="H68" s="298"/>
    </row>
    <row r="69" spans="1:8" s="269" customFormat="1" ht="14.25" customHeight="1">
      <c r="A69" s="278" t="s">
        <v>1791</v>
      </c>
      <c r="B69" s="283" t="s">
        <v>1812</v>
      </c>
      <c r="C69" s="283">
        <v>18810</v>
      </c>
      <c r="D69" s="283">
        <v>15100</v>
      </c>
      <c r="E69" s="283">
        <v>14710</v>
      </c>
      <c r="F69" s="291"/>
      <c r="H69" s="298"/>
    </row>
    <row r="70" spans="1:8" s="269" customFormat="1" ht="14.25" customHeight="1">
      <c r="A70" s="278" t="s">
        <v>1791</v>
      </c>
      <c r="B70" s="283" t="s">
        <v>1813</v>
      </c>
      <c r="C70" s="283">
        <v>18270</v>
      </c>
      <c r="D70" s="283"/>
      <c r="E70" s="283"/>
      <c r="F70" s="291"/>
      <c r="H70" s="298"/>
    </row>
    <row r="71" spans="1:8" s="269" customFormat="1" ht="14.25" customHeight="1">
      <c r="A71" s="278" t="s">
        <v>1791</v>
      </c>
      <c r="B71" s="283" t="s">
        <v>1814</v>
      </c>
      <c r="C71" s="283">
        <v>15230</v>
      </c>
      <c r="D71" s="283"/>
      <c r="E71" s="283"/>
      <c r="F71" s="291"/>
      <c r="H71" s="298"/>
    </row>
    <row r="72" spans="1:8" s="269" customFormat="1" ht="14.25" customHeight="1">
      <c r="A72" s="278" t="s">
        <v>1791</v>
      </c>
      <c r="B72" s="283" t="s">
        <v>1815</v>
      </c>
      <c r="C72" s="283"/>
      <c r="D72" s="283"/>
      <c r="E72" s="283"/>
      <c r="F72" s="291">
        <v>4120</v>
      </c>
      <c r="H72" s="298"/>
    </row>
    <row r="73" spans="1:8" s="269" customFormat="1" ht="14.25" customHeight="1">
      <c r="A73" s="278" t="s">
        <v>1791</v>
      </c>
      <c r="B73" s="283" t="s">
        <v>1816</v>
      </c>
      <c r="C73" s="283"/>
      <c r="D73" s="283"/>
      <c r="E73" s="283"/>
      <c r="F73" s="291">
        <v>3930</v>
      </c>
      <c r="H73" s="298"/>
    </row>
    <row r="74" spans="1:8" s="269" customFormat="1" ht="14.25" customHeight="1">
      <c r="A74" s="278" t="s">
        <v>1791</v>
      </c>
      <c r="B74" s="283" t="s">
        <v>1817</v>
      </c>
      <c r="C74" s="283"/>
      <c r="D74" s="283"/>
      <c r="E74" s="283"/>
      <c r="F74" s="291">
        <v>4060</v>
      </c>
      <c r="H74" s="298"/>
    </row>
    <row r="75" spans="1:8" s="269" customFormat="1" ht="14.25" customHeight="1">
      <c r="A75" s="278" t="s">
        <v>1791</v>
      </c>
      <c r="B75" s="289" t="s">
        <v>1818</v>
      </c>
      <c r="C75" s="289"/>
      <c r="D75" s="289"/>
      <c r="E75" s="289"/>
      <c r="F75" s="299">
        <v>3750</v>
      </c>
      <c r="H75" s="298"/>
    </row>
    <row r="76" spans="1:8" s="269" customFormat="1" ht="14.25" customHeight="1">
      <c r="A76" s="278" t="s">
        <v>1819</v>
      </c>
      <c r="B76" s="279" t="s">
        <v>1820</v>
      </c>
      <c r="C76" s="279">
        <v>14690</v>
      </c>
      <c r="D76" s="279">
        <v>14640</v>
      </c>
      <c r="E76" s="279">
        <v>14590</v>
      </c>
      <c r="F76" s="280">
        <v>3060</v>
      </c>
      <c r="H76" s="298"/>
    </row>
    <row r="77" spans="1:8" s="269" customFormat="1" ht="14.25" customHeight="1">
      <c r="A77" s="278" t="s">
        <v>1819</v>
      </c>
      <c r="B77" s="283" t="s">
        <v>1821</v>
      </c>
      <c r="C77" s="283">
        <v>12550</v>
      </c>
      <c r="D77" s="283">
        <v>12480</v>
      </c>
      <c r="E77" s="283">
        <v>12450</v>
      </c>
      <c r="F77" s="291">
        <v>2590</v>
      </c>
      <c r="H77" s="298"/>
    </row>
    <row r="78" spans="1:8" s="269" customFormat="1" ht="14.25" customHeight="1">
      <c r="A78" s="278" t="s">
        <v>1819</v>
      </c>
      <c r="B78" s="283" t="s">
        <v>1822</v>
      </c>
      <c r="C78" s="283">
        <v>14360</v>
      </c>
      <c r="D78" s="283">
        <v>14320</v>
      </c>
      <c r="E78" s="283">
        <v>12510</v>
      </c>
      <c r="F78" s="291">
        <v>2700</v>
      </c>
      <c r="H78" s="298"/>
    </row>
    <row r="79" spans="1:8" s="269" customFormat="1" ht="14.25" customHeight="1">
      <c r="A79" s="278" t="s">
        <v>1819</v>
      </c>
      <c r="B79" s="283" t="s">
        <v>1823</v>
      </c>
      <c r="C79" s="283">
        <v>12590</v>
      </c>
      <c r="D79" s="283">
        <v>12540</v>
      </c>
      <c r="E79" s="283">
        <v>12350</v>
      </c>
      <c r="F79" s="291">
        <v>2740</v>
      </c>
      <c r="H79" s="298"/>
    </row>
    <row r="80" spans="1:8" s="269" customFormat="1" ht="14.25" customHeight="1">
      <c r="A80" s="278" t="s">
        <v>1819</v>
      </c>
      <c r="B80" s="283" t="s">
        <v>1824</v>
      </c>
      <c r="C80" s="283">
        <v>12450</v>
      </c>
      <c r="D80" s="283">
        <v>12370</v>
      </c>
      <c r="E80" s="283">
        <v>10790</v>
      </c>
      <c r="F80" s="291">
        <v>2290</v>
      </c>
      <c r="H80" s="298"/>
    </row>
    <row r="81" spans="1:8" s="269" customFormat="1" ht="14.25" customHeight="1">
      <c r="A81" s="278" t="s">
        <v>1819</v>
      </c>
      <c r="B81" s="283" t="s">
        <v>1825</v>
      </c>
      <c r="C81" s="283">
        <v>14210</v>
      </c>
      <c r="D81" s="283">
        <v>14150</v>
      </c>
      <c r="E81" s="283">
        <v>12730</v>
      </c>
      <c r="F81" s="291">
        <v>2240</v>
      </c>
      <c r="H81" s="298"/>
    </row>
    <row r="82" spans="1:8" s="269" customFormat="1" ht="14.25" customHeight="1">
      <c r="A82" s="278" t="s">
        <v>1819</v>
      </c>
      <c r="B82" s="283" t="s">
        <v>1826</v>
      </c>
      <c r="C82" s="283">
        <v>10860</v>
      </c>
      <c r="D82" s="283">
        <v>10820</v>
      </c>
      <c r="E82" s="283">
        <v>14720</v>
      </c>
      <c r="F82" s="291">
        <v>2490</v>
      </c>
      <c r="H82" s="298"/>
    </row>
    <row r="83" spans="1:8" s="269" customFormat="1" ht="14.25" customHeight="1">
      <c r="A83" s="278" t="s">
        <v>1819</v>
      </c>
      <c r="B83" s="283" t="s">
        <v>1827</v>
      </c>
      <c r="C83" s="283">
        <v>12810</v>
      </c>
      <c r="D83" s="283">
        <v>12760</v>
      </c>
      <c r="E83" s="283">
        <v>14830</v>
      </c>
      <c r="F83" s="291">
        <v>2450</v>
      </c>
      <c r="H83" s="298"/>
    </row>
    <row r="84" spans="1:8" s="269" customFormat="1" ht="14.25" customHeight="1">
      <c r="A84" s="278" t="s">
        <v>1819</v>
      </c>
      <c r="B84" s="283" t="s">
        <v>1828</v>
      </c>
      <c r="C84" s="283">
        <v>14950</v>
      </c>
      <c r="D84" s="283">
        <v>14810</v>
      </c>
      <c r="E84" s="283">
        <v>12590</v>
      </c>
      <c r="F84" s="291">
        <v>2540</v>
      </c>
      <c r="H84" s="298"/>
    </row>
    <row r="85" spans="1:8" s="269" customFormat="1" ht="14.25" customHeight="1">
      <c r="A85" s="278" t="s">
        <v>1819</v>
      </c>
      <c r="B85" s="283" t="s">
        <v>1829</v>
      </c>
      <c r="C85" s="283">
        <v>14960</v>
      </c>
      <c r="D85" s="283">
        <v>14890</v>
      </c>
      <c r="E85" s="283">
        <v>12840</v>
      </c>
      <c r="F85" s="291">
        <v>2840</v>
      </c>
      <c r="H85" s="298"/>
    </row>
    <row r="86" spans="1:8" s="269" customFormat="1" ht="14.25" customHeight="1">
      <c r="A86" s="278" t="s">
        <v>1819</v>
      </c>
      <c r="B86" s="283" t="s">
        <v>1830</v>
      </c>
      <c r="C86" s="283">
        <v>12730</v>
      </c>
      <c r="D86" s="283">
        <v>12660</v>
      </c>
      <c r="E86" s="283">
        <v>13310</v>
      </c>
      <c r="F86" s="291">
        <v>3140</v>
      </c>
      <c r="H86" s="298"/>
    </row>
    <row r="87" spans="1:8" s="269" customFormat="1" ht="14.25" customHeight="1">
      <c r="A87" s="278" t="s">
        <v>1819</v>
      </c>
      <c r="B87" s="283" t="s">
        <v>1831</v>
      </c>
      <c r="C87" s="283">
        <v>12940</v>
      </c>
      <c r="D87" s="283">
        <v>12890</v>
      </c>
      <c r="E87" s="283">
        <v>11580</v>
      </c>
      <c r="F87" s="300"/>
      <c r="H87" s="298"/>
    </row>
    <row r="88" spans="1:8" s="269" customFormat="1" ht="14.25" customHeight="1">
      <c r="A88" s="278" t="s">
        <v>1819</v>
      </c>
      <c r="B88" s="283" t="s">
        <v>1832</v>
      </c>
      <c r="C88" s="283">
        <v>13430</v>
      </c>
      <c r="D88" s="283">
        <v>13360</v>
      </c>
      <c r="E88" s="283">
        <v>12790</v>
      </c>
      <c r="F88" s="300"/>
      <c r="H88" s="298"/>
    </row>
    <row r="89" spans="1:8" s="269" customFormat="1" ht="14.25" customHeight="1">
      <c r="A89" s="278" t="s">
        <v>1819</v>
      </c>
      <c r="B89" s="283" t="s">
        <v>1833</v>
      </c>
      <c r="C89" s="283">
        <v>11680</v>
      </c>
      <c r="D89" s="283">
        <v>11630</v>
      </c>
      <c r="E89" s="283">
        <v>11320</v>
      </c>
      <c r="F89" s="300"/>
      <c r="H89" s="298"/>
    </row>
    <row r="90" spans="1:8" s="269" customFormat="1" ht="14.25" customHeight="1">
      <c r="A90" s="278" t="s">
        <v>1819</v>
      </c>
      <c r="B90" s="283" t="s">
        <v>1834</v>
      </c>
      <c r="C90" s="283">
        <v>12890</v>
      </c>
      <c r="D90" s="283">
        <v>12820</v>
      </c>
      <c r="E90" s="283">
        <v>12710</v>
      </c>
      <c r="F90" s="300"/>
      <c r="H90" s="298"/>
    </row>
    <row r="91" spans="1:8" s="269" customFormat="1" ht="14.25" customHeight="1">
      <c r="A91" s="278" t="s">
        <v>1819</v>
      </c>
      <c r="B91" s="283" t="s">
        <v>1835</v>
      </c>
      <c r="C91" s="283">
        <v>11410</v>
      </c>
      <c r="D91" s="283">
        <v>11360</v>
      </c>
      <c r="E91" s="283">
        <v>12670</v>
      </c>
      <c r="F91" s="300"/>
      <c r="H91" s="298"/>
    </row>
    <row r="92" spans="1:8" s="269" customFormat="1" ht="14.25" customHeight="1">
      <c r="A92" s="278" t="s">
        <v>1819</v>
      </c>
      <c r="B92" s="283" t="s">
        <v>1836</v>
      </c>
      <c r="C92" s="283">
        <v>12770</v>
      </c>
      <c r="D92" s="283">
        <v>12740</v>
      </c>
      <c r="E92" s="283">
        <v>11970</v>
      </c>
      <c r="F92" s="300"/>
      <c r="H92" s="298"/>
    </row>
    <row r="93" spans="1:8" s="269" customFormat="1" ht="14.25" customHeight="1">
      <c r="A93" s="278" t="s">
        <v>1819</v>
      </c>
      <c r="B93" s="283" t="s">
        <v>1837</v>
      </c>
      <c r="C93" s="283">
        <v>12740</v>
      </c>
      <c r="D93" s="283">
        <v>12700</v>
      </c>
      <c r="E93" s="283">
        <v>12540</v>
      </c>
      <c r="F93" s="300"/>
      <c r="H93" s="298"/>
    </row>
    <row r="94" spans="1:8" s="269" customFormat="1" ht="14.25" customHeight="1">
      <c r="A94" s="278" t="s">
        <v>1819</v>
      </c>
      <c r="B94" s="283" t="s">
        <v>1838</v>
      </c>
      <c r="C94" s="283">
        <v>12020</v>
      </c>
      <c r="D94" s="283">
        <v>11990</v>
      </c>
      <c r="E94" s="283">
        <v>13110</v>
      </c>
      <c r="F94" s="300"/>
      <c r="H94" s="298"/>
    </row>
    <row r="95" spans="1:8" s="269" customFormat="1" ht="14.25" customHeight="1">
      <c r="A95" s="278" t="s">
        <v>1819</v>
      </c>
      <c r="B95" s="283" t="s">
        <v>1839</v>
      </c>
      <c r="C95" s="283">
        <v>12620</v>
      </c>
      <c r="D95" s="283">
        <v>12580</v>
      </c>
      <c r="E95" s="283">
        <v>13160</v>
      </c>
      <c r="F95" s="291"/>
      <c r="H95" s="298"/>
    </row>
    <row r="96" spans="1:8" s="269" customFormat="1" ht="14.25" customHeight="1">
      <c r="A96" s="278" t="s">
        <v>1819</v>
      </c>
      <c r="B96" s="283" t="s">
        <v>1840</v>
      </c>
      <c r="C96" s="283">
        <v>13200</v>
      </c>
      <c r="D96" s="283">
        <v>13150</v>
      </c>
      <c r="E96" s="283">
        <v>12900</v>
      </c>
      <c r="F96" s="291"/>
      <c r="H96" s="298"/>
    </row>
    <row r="97" spans="1:8" s="269" customFormat="1" ht="14.25" customHeight="1">
      <c r="A97" s="278" t="s">
        <v>1819</v>
      </c>
      <c r="B97" s="283" t="s">
        <v>1841</v>
      </c>
      <c r="C97" s="283">
        <v>13270</v>
      </c>
      <c r="D97" s="283">
        <v>13210</v>
      </c>
      <c r="E97" s="283">
        <v>11080</v>
      </c>
      <c r="F97" s="291"/>
      <c r="H97" s="298"/>
    </row>
    <row r="98" spans="1:8" s="269" customFormat="1" ht="14.25" customHeight="1">
      <c r="A98" s="278" t="s">
        <v>1819</v>
      </c>
      <c r="B98" s="283" t="s">
        <v>1842</v>
      </c>
      <c r="C98" s="283">
        <v>13010</v>
      </c>
      <c r="D98" s="283">
        <v>12930</v>
      </c>
      <c r="E98" s="283">
        <v>12840</v>
      </c>
      <c r="F98" s="291"/>
      <c r="H98" s="298"/>
    </row>
    <row r="99" spans="1:8" s="269" customFormat="1" ht="14.25" customHeight="1">
      <c r="A99" s="278" t="s">
        <v>1819</v>
      </c>
      <c r="B99" s="283" t="s">
        <v>1843</v>
      </c>
      <c r="C99" s="283">
        <v>11190</v>
      </c>
      <c r="D99" s="283">
        <v>11130</v>
      </c>
      <c r="E99" s="283"/>
      <c r="F99" s="291"/>
      <c r="H99" s="298"/>
    </row>
    <row r="100" spans="1:8" s="269" customFormat="1" ht="14.25" customHeight="1">
      <c r="A100" s="278" t="s">
        <v>1819</v>
      </c>
      <c r="B100" s="283" t="s">
        <v>1844</v>
      </c>
      <c r="C100" s="283">
        <v>14280</v>
      </c>
      <c r="D100" s="283">
        <v>14180</v>
      </c>
      <c r="E100" s="283"/>
      <c r="F100" s="291"/>
      <c r="H100" s="298"/>
    </row>
    <row r="101" spans="1:8" s="269" customFormat="1" ht="14.25" customHeight="1">
      <c r="A101" s="278" t="s">
        <v>1819</v>
      </c>
      <c r="B101" s="283" t="s">
        <v>1845</v>
      </c>
      <c r="C101" s="283">
        <v>12960</v>
      </c>
      <c r="D101" s="283">
        <v>12890</v>
      </c>
      <c r="E101" s="283"/>
      <c r="F101" s="291"/>
      <c r="H101" s="298"/>
    </row>
    <row r="102" spans="1:8" s="269" customFormat="1" ht="14.25" customHeight="1">
      <c r="A102" s="278" t="s">
        <v>1819</v>
      </c>
      <c r="B102" s="283" t="s">
        <v>1846</v>
      </c>
      <c r="C102" s="283"/>
      <c r="D102" s="283"/>
      <c r="E102" s="283"/>
      <c r="F102" s="291">
        <v>3100</v>
      </c>
      <c r="H102" s="298"/>
    </row>
    <row r="103" spans="1:8" s="269" customFormat="1" ht="14.25" customHeight="1">
      <c r="A103" s="278" t="s">
        <v>1819</v>
      </c>
      <c r="B103" s="283" t="s">
        <v>1847</v>
      </c>
      <c r="C103" s="283"/>
      <c r="D103" s="283"/>
      <c r="E103" s="283"/>
      <c r="F103" s="291">
        <v>2320</v>
      </c>
      <c r="H103" s="298"/>
    </row>
    <row r="104" spans="1:8" s="269" customFormat="1" ht="14.25" customHeight="1">
      <c r="A104" s="278" t="s">
        <v>1819</v>
      </c>
      <c r="B104" s="283" t="s">
        <v>1848</v>
      </c>
      <c r="C104" s="283"/>
      <c r="D104" s="283"/>
      <c r="E104" s="283"/>
      <c r="F104" s="291">
        <v>2320</v>
      </c>
      <c r="H104" s="298"/>
    </row>
    <row r="105" spans="1:8" s="269" customFormat="1" ht="14.25" customHeight="1">
      <c r="A105" s="278" t="s">
        <v>1819</v>
      </c>
      <c r="B105" s="283" t="s">
        <v>1849</v>
      </c>
      <c r="C105" s="283"/>
      <c r="D105" s="283"/>
      <c r="E105" s="283"/>
      <c r="F105" s="291">
        <v>2320</v>
      </c>
      <c r="H105" s="298"/>
    </row>
    <row r="106" spans="1:8" s="269" customFormat="1" ht="14.25" customHeight="1">
      <c r="A106" s="278" t="s">
        <v>1819</v>
      </c>
      <c r="B106" s="283" t="s">
        <v>1850</v>
      </c>
      <c r="C106" s="283"/>
      <c r="D106" s="283"/>
      <c r="E106" s="283"/>
      <c r="F106" s="291">
        <v>2320</v>
      </c>
      <c r="H106" s="298"/>
    </row>
    <row r="107" spans="1:8" s="269" customFormat="1" ht="14.25" customHeight="1">
      <c r="A107" s="278" t="s">
        <v>1819</v>
      </c>
      <c r="B107" s="283" t="s">
        <v>1851</v>
      </c>
      <c r="C107" s="283"/>
      <c r="D107" s="283"/>
      <c r="E107" s="283"/>
      <c r="F107" s="291">
        <v>2280</v>
      </c>
      <c r="H107" s="298"/>
    </row>
    <row r="108" spans="1:8" s="269" customFormat="1" ht="14.25" customHeight="1">
      <c r="A108" s="278" t="s">
        <v>1819</v>
      </c>
      <c r="B108" s="283" t="s">
        <v>1852</v>
      </c>
      <c r="C108" s="283"/>
      <c r="D108" s="283"/>
      <c r="E108" s="283"/>
      <c r="F108" s="291">
        <v>2280</v>
      </c>
      <c r="H108" s="298"/>
    </row>
    <row r="109" spans="1:8" s="269" customFormat="1" ht="14.25" customHeight="1">
      <c r="A109" s="278" t="s">
        <v>1819</v>
      </c>
      <c r="B109" s="289" t="s">
        <v>1853</v>
      </c>
      <c r="C109" s="289"/>
      <c r="D109" s="289"/>
      <c r="E109" s="289"/>
      <c r="F109" s="299">
        <v>2280</v>
      </c>
      <c r="H109" s="298"/>
    </row>
    <row r="110" spans="1:8" s="269" customFormat="1" ht="14.25" customHeight="1">
      <c r="A110" s="278" t="s">
        <v>1854</v>
      </c>
      <c r="B110" s="279" t="s">
        <v>1855</v>
      </c>
      <c r="C110" s="279">
        <v>10520</v>
      </c>
      <c r="D110" s="279">
        <v>10490</v>
      </c>
      <c r="E110" s="279">
        <v>10760</v>
      </c>
      <c r="F110" s="280">
        <v>2160</v>
      </c>
      <c r="H110" s="298"/>
    </row>
    <row r="111" spans="1:8" s="269" customFormat="1" ht="14.25" customHeight="1">
      <c r="A111" s="278" t="s">
        <v>1854</v>
      </c>
      <c r="B111" s="283" t="s">
        <v>1856</v>
      </c>
      <c r="C111" s="283">
        <v>10090</v>
      </c>
      <c r="D111" s="283">
        <v>10060</v>
      </c>
      <c r="E111" s="283">
        <v>10300</v>
      </c>
      <c r="F111" s="291">
        <v>2010</v>
      </c>
      <c r="H111" s="298"/>
    </row>
    <row r="112" spans="1:8" s="269" customFormat="1" ht="14.25" customHeight="1">
      <c r="A112" s="278" t="s">
        <v>1854</v>
      </c>
      <c r="B112" s="283" t="s">
        <v>1857</v>
      </c>
      <c r="C112" s="283">
        <v>9910</v>
      </c>
      <c r="D112" s="283">
        <v>9850</v>
      </c>
      <c r="E112" s="283">
        <v>9960</v>
      </c>
      <c r="F112" s="291">
        <v>2090</v>
      </c>
      <c r="H112" s="298"/>
    </row>
    <row r="113" spans="1:8" s="269" customFormat="1" ht="14.25" customHeight="1">
      <c r="A113" s="278" t="s">
        <v>1854</v>
      </c>
      <c r="B113" s="283" t="s">
        <v>1858</v>
      </c>
      <c r="C113" s="283">
        <v>11430</v>
      </c>
      <c r="D113" s="283">
        <v>11400</v>
      </c>
      <c r="E113" s="283">
        <v>11710</v>
      </c>
      <c r="F113" s="291">
        <v>2050</v>
      </c>
      <c r="H113" s="298"/>
    </row>
    <row r="114" spans="1:8" s="269" customFormat="1" ht="14.25" customHeight="1">
      <c r="A114" s="278" t="s">
        <v>1854</v>
      </c>
      <c r="B114" s="283" t="s">
        <v>1859</v>
      </c>
      <c r="C114" s="283">
        <v>11390</v>
      </c>
      <c r="D114" s="283">
        <v>11350</v>
      </c>
      <c r="E114" s="283">
        <v>11640</v>
      </c>
      <c r="F114" s="291">
        <v>1620</v>
      </c>
      <c r="H114" s="298"/>
    </row>
    <row r="115" spans="1:8" s="269" customFormat="1" ht="14.25" customHeight="1">
      <c r="A115" s="278" t="s">
        <v>1854</v>
      </c>
      <c r="B115" s="283" t="s">
        <v>1860</v>
      </c>
      <c r="C115" s="283">
        <v>9930</v>
      </c>
      <c r="D115" s="283">
        <v>9900</v>
      </c>
      <c r="E115" s="283">
        <v>10160</v>
      </c>
      <c r="F115" s="291">
        <v>1580</v>
      </c>
      <c r="H115" s="298"/>
    </row>
    <row r="116" spans="1:8" s="269" customFormat="1" ht="14.25" customHeight="1">
      <c r="A116" s="278" t="s">
        <v>1854</v>
      </c>
      <c r="B116" s="283" t="s">
        <v>1861</v>
      </c>
      <c r="C116" s="283">
        <v>9150</v>
      </c>
      <c r="D116" s="283">
        <v>9120</v>
      </c>
      <c r="E116" s="283">
        <v>9380</v>
      </c>
      <c r="F116" s="291">
        <v>1750</v>
      </c>
      <c r="H116" s="298"/>
    </row>
    <row r="117" spans="1:8" s="269" customFormat="1" ht="14.25" customHeight="1">
      <c r="A117" s="278" t="s">
        <v>1854</v>
      </c>
      <c r="B117" s="283" t="s">
        <v>1862</v>
      </c>
      <c r="C117" s="283">
        <v>10680</v>
      </c>
      <c r="D117" s="283">
        <v>10650</v>
      </c>
      <c r="E117" s="283">
        <v>10970</v>
      </c>
      <c r="F117" s="291">
        <v>1730</v>
      </c>
      <c r="H117" s="298"/>
    </row>
    <row r="118" spans="1:8" s="269" customFormat="1" ht="14.25" customHeight="1">
      <c r="A118" s="278" t="s">
        <v>1854</v>
      </c>
      <c r="B118" s="283" t="s">
        <v>1863</v>
      </c>
      <c r="C118" s="283">
        <v>10080</v>
      </c>
      <c r="D118" s="283">
        <v>10050</v>
      </c>
      <c r="E118" s="283">
        <v>10350</v>
      </c>
      <c r="F118" s="291">
        <v>1920</v>
      </c>
      <c r="H118" s="298"/>
    </row>
    <row r="119" spans="1:8" s="269" customFormat="1" ht="14.25" customHeight="1">
      <c r="A119" s="278" t="s">
        <v>1854</v>
      </c>
      <c r="B119" s="283" t="s">
        <v>1864</v>
      </c>
      <c r="C119" s="283">
        <v>9450</v>
      </c>
      <c r="D119" s="283">
        <v>9410</v>
      </c>
      <c r="E119" s="283">
        <v>9680</v>
      </c>
      <c r="F119" s="291">
        <v>1880</v>
      </c>
      <c r="H119" s="298"/>
    </row>
    <row r="120" spans="1:8" s="269" customFormat="1" ht="14.25" customHeight="1">
      <c r="A120" s="278" t="s">
        <v>1854</v>
      </c>
      <c r="B120" s="283" t="s">
        <v>1865</v>
      </c>
      <c r="C120" s="283">
        <v>8730</v>
      </c>
      <c r="D120" s="283">
        <v>8700</v>
      </c>
      <c r="E120" s="283">
        <v>8950</v>
      </c>
      <c r="F120" s="291">
        <v>1830</v>
      </c>
      <c r="H120" s="298"/>
    </row>
    <row r="121" spans="1:8" s="269" customFormat="1" ht="14.25" customHeight="1">
      <c r="A121" s="278" t="s">
        <v>1854</v>
      </c>
      <c r="B121" s="283" t="s">
        <v>1866</v>
      </c>
      <c r="C121" s="283">
        <v>10070</v>
      </c>
      <c r="D121" s="283">
        <v>10040</v>
      </c>
      <c r="E121" s="283">
        <v>10270</v>
      </c>
      <c r="F121" s="291">
        <v>1960</v>
      </c>
      <c r="H121" s="298"/>
    </row>
    <row r="122" spans="1:8" s="269" customFormat="1" ht="14.25" customHeight="1">
      <c r="A122" s="278" t="s">
        <v>1854</v>
      </c>
      <c r="B122" s="283" t="s">
        <v>1867</v>
      </c>
      <c r="C122" s="283">
        <v>10500</v>
      </c>
      <c r="D122" s="283">
        <v>10470</v>
      </c>
      <c r="E122" s="283">
        <v>10780</v>
      </c>
      <c r="F122" s="291">
        <v>2180</v>
      </c>
      <c r="H122" s="298"/>
    </row>
    <row r="123" spans="1:8" s="269" customFormat="1" ht="14.25" customHeight="1">
      <c r="A123" s="278" t="s">
        <v>1854</v>
      </c>
      <c r="B123" s="283" t="s">
        <v>1868</v>
      </c>
      <c r="C123" s="283">
        <v>10390</v>
      </c>
      <c r="D123" s="283">
        <v>10360</v>
      </c>
      <c r="E123" s="283">
        <v>10660</v>
      </c>
      <c r="F123" s="291">
        <v>2040</v>
      </c>
      <c r="H123" s="298"/>
    </row>
    <row r="124" spans="1:8" s="269" customFormat="1" ht="14.25" customHeight="1">
      <c r="A124" s="278" t="s">
        <v>1854</v>
      </c>
      <c r="B124" s="283" t="s">
        <v>1869</v>
      </c>
      <c r="C124" s="283">
        <v>10390</v>
      </c>
      <c r="D124" s="283">
        <v>10360</v>
      </c>
      <c r="E124" s="283">
        <v>10680</v>
      </c>
      <c r="F124" s="300"/>
      <c r="H124" s="298"/>
    </row>
    <row r="125" spans="1:8" s="269" customFormat="1" ht="14.25" customHeight="1">
      <c r="A125" s="278" t="s">
        <v>1854</v>
      </c>
      <c r="B125" s="283" t="s">
        <v>1870</v>
      </c>
      <c r="C125" s="283">
        <v>10440</v>
      </c>
      <c r="D125" s="283">
        <v>10410</v>
      </c>
      <c r="E125" s="283">
        <v>10710</v>
      </c>
      <c r="F125" s="300"/>
      <c r="H125" s="298"/>
    </row>
    <row r="126" spans="1:8" s="269" customFormat="1" ht="14.25" customHeight="1">
      <c r="A126" s="278" t="s">
        <v>1854</v>
      </c>
      <c r="B126" s="283" t="s">
        <v>1871</v>
      </c>
      <c r="C126" s="283">
        <v>10780</v>
      </c>
      <c r="D126" s="283">
        <v>10750</v>
      </c>
      <c r="E126" s="283">
        <v>11080</v>
      </c>
      <c r="F126" s="300"/>
      <c r="H126" s="298"/>
    </row>
    <row r="127" spans="1:8" s="269" customFormat="1" ht="14.25" customHeight="1">
      <c r="A127" s="278" t="s">
        <v>1854</v>
      </c>
      <c r="B127" s="283" t="s">
        <v>1872</v>
      </c>
      <c r="C127" s="283">
        <v>10100</v>
      </c>
      <c r="D127" s="283">
        <v>10070</v>
      </c>
      <c r="E127" s="283">
        <v>10350</v>
      </c>
      <c r="F127" s="300"/>
      <c r="H127" s="298"/>
    </row>
    <row r="128" spans="1:8" s="269" customFormat="1" ht="14.25" customHeight="1">
      <c r="A128" s="278" t="s">
        <v>1854</v>
      </c>
      <c r="B128" s="283" t="s">
        <v>1873</v>
      </c>
      <c r="C128" s="283">
        <v>9200</v>
      </c>
      <c r="D128" s="283">
        <v>9160</v>
      </c>
      <c r="E128" s="283">
        <v>9660</v>
      </c>
      <c r="F128" s="300"/>
      <c r="H128" s="298"/>
    </row>
    <row r="129" spans="1:8" s="269" customFormat="1" ht="14.25" customHeight="1">
      <c r="A129" s="278" t="s">
        <v>1854</v>
      </c>
      <c r="B129" s="283" t="s">
        <v>1874</v>
      </c>
      <c r="C129" s="283">
        <v>10340</v>
      </c>
      <c r="D129" s="283">
        <v>10310</v>
      </c>
      <c r="E129" s="283">
        <v>10580</v>
      </c>
      <c r="F129" s="300"/>
      <c r="H129" s="298"/>
    </row>
    <row r="130" spans="1:8" s="269" customFormat="1" ht="14.25" customHeight="1">
      <c r="A130" s="278" t="s">
        <v>1854</v>
      </c>
      <c r="B130" s="283" t="s">
        <v>1875</v>
      </c>
      <c r="C130" s="283">
        <v>9680</v>
      </c>
      <c r="D130" s="283">
        <v>9660</v>
      </c>
      <c r="E130" s="283">
        <v>9950</v>
      </c>
      <c r="F130" s="300"/>
      <c r="H130" s="298"/>
    </row>
    <row r="131" spans="1:8" s="269" customFormat="1" ht="14.25" customHeight="1">
      <c r="A131" s="278" t="s">
        <v>1854</v>
      </c>
      <c r="B131" s="283" t="s">
        <v>1876</v>
      </c>
      <c r="C131" s="283">
        <v>9540</v>
      </c>
      <c r="D131" s="283">
        <v>9510</v>
      </c>
      <c r="E131" s="283">
        <v>9790</v>
      </c>
      <c r="F131" s="300"/>
      <c r="H131" s="298"/>
    </row>
    <row r="132" spans="1:8" s="269" customFormat="1" ht="14.25" customHeight="1">
      <c r="A132" s="278" t="s">
        <v>1854</v>
      </c>
      <c r="B132" s="283" t="s">
        <v>1877</v>
      </c>
      <c r="C132" s="283">
        <v>9320</v>
      </c>
      <c r="D132" s="283">
        <v>9290</v>
      </c>
      <c r="E132" s="283">
        <v>9570</v>
      </c>
      <c r="F132" s="300"/>
      <c r="H132" s="298"/>
    </row>
    <row r="133" spans="1:8" s="269" customFormat="1" ht="14.25" customHeight="1">
      <c r="A133" s="278" t="s">
        <v>1854</v>
      </c>
      <c r="B133" s="283" t="s">
        <v>1878</v>
      </c>
      <c r="C133" s="283">
        <v>10310</v>
      </c>
      <c r="D133" s="283">
        <v>10280</v>
      </c>
      <c r="E133" s="283">
        <v>10530</v>
      </c>
      <c r="F133" s="300"/>
      <c r="H133" s="298"/>
    </row>
    <row r="134" spans="1:8" s="269" customFormat="1" ht="14.25" customHeight="1">
      <c r="A134" s="278" t="s">
        <v>1854</v>
      </c>
      <c r="B134" s="283" t="s">
        <v>1879</v>
      </c>
      <c r="C134" s="283">
        <v>10370</v>
      </c>
      <c r="D134" s="283">
        <v>10310</v>
      </c>
      <c r="E134" s="283">
        <v>10240</v>
      </c>
      <c r="F134" s="291">
        <v>2060</v>
      </c>
      <c r="H134" s="298"/>
    </row>
    <row r="135" spans="1:8" s="269" customFormat="1" ht="14.25" customHeight="1">
      <c r="A135" s="278" t="s">
        <v>1854</v>
      </c>
      <c r="B135" s="283" t="s">
        <v>1880</v>
      </c>
      <c r="C135" s="283">
        <v>9300</v>
      </c>
      <c r="D135" s="283">
        <v>9270</v>
      </c>
      <c r="E135" s="283">
        <v>9350</v>
      </c>
      <c r="F135" s="300"/>
      <c r="H135" s="298"/>
    </row>
    <row r="136" spans="1:8" s="269" customFormat="1" ht="14.25" customHeight="1">
      <c r="A136" s="278" t="s">
        <v>1854</v>
      </c>
      <c r="B136" s="283" t="s">
        <v>1881</v>
      </c>
      <c r="C136" s="283">
        <v>10160</v>
      </c>
      <c r="D136" s="283">
        <v>10110</v>
      </c>
      <c r="E136" s="283">
        <v>10080</v>
      </c>
      <c r="F136" s="300"/>
      <c r="H136" s="298"/>
    </row>
    <row r="137" spans="1:8" s="269" customFormat="1" ht="14.25" customHeight="1">
      <c r="A137" s="278" t="s">
        <v>1854</v>
      </c>
      <c r="B137" s="283" t="s">
        <v>1882</v>
      </c>
      <c r="C137" s="283">
        <v>9200</v>
      </c>
      <c r="D137" s="283">
        <v>9170</v>
      </c>
      <c r="E137" s="283">
        <v>9450</v>
      </c>
      <c r="F137" s="300"/>
      <c r="H137" s="298"/>
    </row>
    <row r="138" spans="1:8" s="269" customFormat="1" ht="14.25" customHeight="1">
      <c r="A138" s="278" t="s">
        <v>1854</v>
      </c>
      <c r="B138" s="283" t="s">
        <v>1883</v>
      </c>
      <c r="C138" s="283">
        <v>9690</v>
      </c>
      <c r="D138" s="283">
        <v>9660</v>
      </c>
      <c r="E138" s="283">
        <v>9840</v>
      </c>
      <c r="F138" s="300"/>
      <c r="H138" s="298"/>
    </row>
    <row r="139" spans="1:8" s="269" customFormat="1" ht="14.25" customHeight="1">
      <c r="A139" s="278" t="s">
        <v>1854</v>
      </c>
      <c r="B139" s="283" t="s">
        <v>1884</v>
      </c>
      <c r="C139" s="283">
        <v>10290</v>
      </c>
      <c r="D139" s="283">
        <v>10260</v>
      </c>
      <c r="E139" s="283">
        <v>10550</v>
      </c>
      <c r="F139" s="291">
        <v>1700</v>
      </c>
      <c r="H139" s="298"/>
    </row>
    <row r="140" spans="1:8" s="269" customFormat="1" ht="14.25" customHeight="1">
      <c r="A140" s="278" t="s">
        <v>1854</v>
      </c>
      <c r="B140" s="283" t="s">
        <v>1885</v>
      </c>
      <c r="C140" s="283">
        <v>9740</v>
      </c>
      <c r="D140" s="283">
        <v>9710</v>
      </c>
      <c r="E140" s="283">
        <v>10000</v>
      </c>
      <c r="F140" s="291">
        <v>2000</v>
      </c>
      <c r="H140" s="298"/>
    </row>
    <row r="141" spans="1:8" s="269" customFormat="1" ht="14.25" customHeight="1">
      <c r="A141" s="278" t="s">
        <v>1854</v>
      </c>
      <c r="B141" s="283" t="s">
        <v>1886</v>
      </c>
      <c r="C141" s="283">
        <v>9810</v>
      </c>
      <c r="D141" s="283">
        <v>9770</v>
      </c>
      <c r="E141" s="283">
        <v>10060</v>
      </c>
      <c r="F141" s="300"/>
      <c r="H141" s="298"/>
    </row>
    <row r="142" spans="1:8" s="269" customFormat="1" ht="14.25" customHeight="1">
      <c r="A142" s="278" t="s">
        <v>1854</v>
      </c>
      <c r="B142" s="283" t="s">
        <v>1887</v>
      </c>
      <c r="C142" s="283">
        <v>9300</v>
      </c>
      <c r="D142" s="283">
        <v>9270</v>
      </c>
      <c r="E142" s="283">
        <v>9530</v>
      </c>
      <c r="F142" s="300"/>
      <c r="H142" s="298"/>
    </row>
    <row r="143" spans="1:8" s="269" customFormat="1" ht="14.25" customHeight="1">
      <c r="A143" s="278" t="s">
        <v>1854</v>
      </c>
      <c r="B143" s="283" t="s">
        <v>1888</v>
      </c>
      <c r="C143" s="283">
        <v>10080</v>
      </c>
      <c r="D143" s="283">
        <v>10050</v>
      </c>
      <c r="E143" s="283">
        <v>10340</v>
      </c>
      <c r="F143" s="300"/>
      <c r="H143" s="298"/>
    </row>
    <row r="144" spans="1:8" s="269" customFormat="1" ht="14.25" customHeight="1">
      <c r="A144" s="278" t="s">
        <v>1854</v>
      </c>
      <c r="B144" s="283" t="s">
        <v>1889</v>
      </c>
      <c r="C144" s="283">
        <v>9820</v>
      </c>
      <c r="D144" s="283">
        <v>9750</v>
      </c>
      <c r="E144" s="283">
        <v>9900</v>
      </c>
      <c r="F144" s="300"/>
      <c r="H144" s="298"/>
    </row>
    <row r="145" spans="1:8" s="269" customFormat="1" ht="14.25" customHeight="1">
      <c r="A145" s="278" t="s">
        <v>1854</v>
      </c>
      <c r="B145" s="283" t="s">
        <v>1890</v>
      </c>
      <c r="C145" s="283"/>
      <c r="D145" s="283"/>
      <c r="E145" s="283"/>
      <c r="F145" s="291">
        <v>1740</v>
      </c>
      <c r="H145" s="298"/>
    </row>
    <row r="146" spans="1:8" s="269" customFormat="1" ht="14.25" customHeight="1">
      <c r="A146" s="278" t="s">
        <v>1854</v>
      </c>
      <c r="B146" s="283" t="s">
        <v>1891</v>
      </c>
      <c r="C146" s="283"/>
      <c r="D146" s="283"/>
      <c r="E146" s="283"/>
      <c r="F146" s="291">
        <v>1740</v>
      </c>
      <c r="H146" s="298"/>
    </row>
    <row r="147" spans="1:8" s="269" customFormat="1" ht="14.25" customHeight="1">
      <c r="A147" s="278" t="s">
        <v>1854</v>
      </c>
      <c r="B147" s="283" t="s">
        <v>1892</v>
      </c>
      <c r="C147" s="283"/>
      <c r="D147" s="283"/>
      <c r="E147" s="283"/>
      <c r="F147" s="291">
        <v>1740</v>
      </c>
      <c r="H147" s="298"/>
    </row>
    <row r="148" spans="1:8" s="269" customFormat="1" ht="14.25" customHeight="1">
      <c r="A148" s="278" t="s">
        <v>1854</v>
      </c>
      <c r="B148" s="283" t="s">
        <v>1893</v>
      </c>
      <c r="C148" s="283"/>
      <c r="D148" s="283"/>
      <c r="E148" s="283"/>
      <c r="F148" s="291">
        <v>1740</v>
      </c>
      <c r="H148" s="298"/>
    </row>
    <row r="149" spans="1:8" s="269" customFormat="1" ht="14.25" customHeight="1">
      <c r="A149" s="278" t="s">
        <v>1854</v>
      </c>
      <c r="B149" s="283" t="s">
        <v>1894</v>
      </c>
      <c r="C149" s="283"/>
      <c r="D149" s="283"/>
      <c r="E149" s="283"/>
      <c r="F149" s="291">
        <v>1740</v>
      </c>
      <c r="H149" s="298"/>
    </row>
    <row r="150" spans="1:8" s="269" customFormat="1" ht="14.25" customHeight="1">
      <c r="A150" s="278" t="s">
        <v>1854</v>
      </c>
      <c r="B150" s="283" t="s">
        <v>1895</v>
      </c>
      <c r="C150" s="283"/>
      <c r="D150" s="283"/>
      <c r="E150" s="283"/>
      <c r="F150" s="291">
        <v>1610</v>
      </c>
      <c r="H150" s="298"/>
    </row>
    <row r="151" spans="1:8" s="269" customFormat="1" ht="14.25" customHeight="1">
      <c r="A151" s="278" t="s">
        <v>1854</v>
      </c>
      <c r="B151" s="283" t="s">
        <v>1896</v>
      </c>
      <c r="C151" s="283"/>
      <c r="D151" s="283"/>
      <c r="E151" s="283"/>
      <c r="F151" s="291">
        <v>1610</v>
      </c>
      <c r="H151" s="298"/>
    </row>
    <row r="152" spans="1:8" s="269" customFormat="1" ht="14.25" customHeight="1">
      <c r="A152" s="278" t="s">
        <v>1854</v>
      </c>
      <c r="B152" s="283" t="s">
        <v>1897</v>
      </c>
      <c r="C152" s="283"/>
      <c r="D152" s="283"/>
      <c r="E152" s="283"/>
      <c r="F152" s="291">
        <v>1610</v>
      </c>
      <c r="H152" s="298"/>
    </row>
    <row r="153" spans="1:8" s="269" customFormat="1" ht="14.25" customHeight="1">
      <c r="A153" s="278" t="s">
        <v>1854</v>
      </c>
      <c r="B153" s="283" t="s">
        <v>1898</v>
      </c>
      <c r="C153" s="283"/>
      <c r="D153" s="283"/>
      <c r="E153" s="283"/>
      <c r="F153" s="291">
        <v>1610</v>
      </c>
      <c r="H153" s="298"/>
    </row>
    <row r="154" spans="1:8" s="269" customFormat="1" ht="14.25" customHeight="1">
      <c r="A154" s="278" t="s">
        <v>1854</v>
      </c>
      <c r="B154" s="283" t="s">
        <v>1899</v>
      </c>
      <c r="C154" s="283"/>
      <c r="D154" s="283"/>
      <c r="E154" s="283"/>
      <c r="F154" s="291">
        <v>1610</v>
      </c>
      <c r="H154" s="298"/>
    </row>
    <row r="155" spans="1:8" s="269" customFormat="1" ht="14.25" customHeight="1">
      <c r="A155" s="278" t="s">
        <v>1854</v>
      </c>
      <c r="B155" s="283" t="s">
        <v>1900</v>
      </c>
      <c r="C155" s="283"/>
      <c r="D155" s="283"/>
      <c r="E155" s="283"/>
      <c r="F155" s="291">
        <v>1800</v>
      </c>
      <c r="H155" s="298"/>
    </row>
    <row r="156" spans="1:8" s="269" customFormat="1" ht="14.25" customHeight="1">
      <c r="A156" s="278" t="s">
        <v>1854</v>
      </c>
      <c r="B156" s="283" t="s">
        <v>1901</v>
      </c>
      <c r="C156" s="283"/>
      <c r="D156" s="283"/>
      <c r="E156" s="283"/>
      <c r="F156" s="291">
        <v>1910</v>
      </c>
      <c r="H156" s="298"/>
    </row>
    <row r="157" spans="1:8" s="269" customFormat="1" ht="14.25" customHeight="1">
      <c r="A157" s="278" t="s">
        <v>1854</v>
      </c>
      <c r="B157" s="289" t="s">
        <v>1902</v>
      </c>
      <c r="C157" s="289"/>
      <c r="D157" s="289"/>
      <c r="E157" s="289"/>
      <c r="F157" s="299">
        <v>1500</v>
      </c>
      <c r="H157" s="298"/>
    </row>
    <row r="158" spans="1:8" s="269" customFormat="1" ht="14.25" customHeight="1">
      <c r="A158" s="278" t="s">
        <v>1903</v>
      </c>
      <c r="B158" s="279" t="s">
        <v>1904</v>
      </c>
      <c r="C158" s="279">
        <v>8170</v>
      </c>
      <c r="D158" s="279">
        <v>8140</v>
      </c>
      <c r="E158" s="279">
        <v>8590</v>
      </c>
      <c r="F158" s="280">
        <v>1450</v>
      </c>
      <c r="H158" s="298"/>
    </row>
    <row r="159" spans="1:8" s="269" customFormat="1" ht="14.25" customHeight="1">
      <c r="A159" s="278" t="s">
        <v>1903</v>
      </c>
      <c r="B159" s="283" t="s">
        <v>1905</v>
      </c>
      <c r="C159" s="283">
        <v>7410</v>
      </c>
      <c r="D159" s="283">
        <v>7370</v>
      </c>
      <c r="E159" s="283">
        <v>8030</v>
      </c>
      <c r="F159" s="291">
        <v>1510</v>
      </c>
      <c r="H159" s="298"/>
    </row>
    <row r="160" spans="1:8" s="269" customFormat="1" ht="14.25" customHeight="1">
      <c r="A160" s="278" t="s">
        <v>1903</v>
      </c>
      <c r="B160" s="283" t="s">
        <v>1906</v>
      </c>
      <c r="C160" s="283">
        <v>7240</v>
      </c>
      <c r="D160" s="283">
        <v>7210</v>
      </c>
      <c r="E160" s="283">
        <v>7860</v>
      </c>
      <c r="F160" s="291">
        <v>1370</v>
      </c>
      <c r="H160" s="298"/>
    </row>
    <row r="161" spans="1:8" s="269" customFormat="1" ht="14.25" customHeight="1">
      <c r="A161" s="278" t="s">
        <v>1903</v>
      </c>
      <c r="B161" s="283" t="s">
        <v>1907</v>
      </c>
      <c r="C161" s="283">
        <v>7720</v>
      </c>
      <c r="D161" s="283">
        <v>7690</v>
      </c>
      <c r="E161" s="283">
        <v>8200</v>
      </c>
      <c r="F161" s="291">
        <v>1190</v>
      </c>
      <c r="H161" s="298"/>
    </row>
    <row r="162" spans="1:8" s="269" customFormat="1" ht="14.25" customHeight="1">
      <c r="A162" s="278" t="s">
        <v>1903</v>
      </c>
      <c r="B162" s="283" t="s">
        <v>1908</v>
      </c>
      <c r="C162" s="283">
        <v>6900</v>
      </c>
      <c r="D162" s="283">
        <v>6870</v>
      </c>
      <c r="E162" s="283">
        <v>7500</v>
      </c>
      <c r="F162" s="291">
        <v>1390</v>
      </c>
      <c r="H162" s="298"/>
    </row>
    <row r="163" spans="1:8" s="269" customFormat="1" ht="14.25" customHeight="1">
      <c r="A163" s="278" t="s">
        <v>1903</v>
      </c>
      <c r="B163" s="283" t="s">
        <v>1909</v>
      </c>
      <c r="C163" s="283">
        <v>7120</v>
      </c>
      <c r="D163" s="283">
        <v>7090</v>
      </c>
      <c r="E163" s="283">
        <v>7690</v>
      </c>
      <c r="F163" s="291">
        <v>1230</v>
      </c>
      <c r="H163" s="298"/>
    </row>
    <row r="164" spans="1:8" s="269" customFormat="1" ht="14.25" customHeight="1">
      <c r="A164" s="278" t="s">
        <v>1903</v>
      </c>
      <c r="B164" s="283" t="s">
        <v>1910</v>
      </c>
      <c r="C164" s="283">
        <v>6560</v>
      </c>
      <c r="D164" s="283">
        <v>6530</v>
      </c>
      <c r="E164" s="283">
        <v>7110</v>
      </c>
      <c r="F164" s="291">
        <v>1340</v>
      </c>
      <c r="H164" s="298"/>
    </row>
    <row r="165" spans="1:8" s="269" customFormat="1" ht="14.25" customHeight="1">
      <c r="A165" s="278" t="s">
        <v>1903</v>
      </c>
      <c r="B165" s="283" t="s">
        <v>1911</v>
      </c>
      <c r="C165" s="283">
        <v>7450</v>
      </c>
      <c r="D165" s="283">
        <v>7430</v>
      </c>
      <c r="E165" s="283">
        <v>8110</v>
      </c>
      <c r="F165" s="291">
        <v>1290</v>
      </c>
      <c r="H165" s="298"/>
    </row>
    <row r="166" spans="1:8" s="269" customFormat="1" ht="14.25" customHeight="1">
      <c r="A166" s="278" t="s">
        <v>1903</v>
      </c>
      <c r="B166" s="283" t="s">
        <v>1912</v>
      </c>
      <c r="C166" s="283">
        <v>7490</v>
      </c>
      <c r="D166" s="283">
        <v>7460</v>
      </c>
      <c r="E166" s="283">
        <v>8150</v>
      </c>
      <c r="F166" s="291">
        <v>1350</v>
      </c>
      <c r="H166" s="298"/>
    </row>
    <row r="167" spans="1:8" s="269" customFormat="1" ht="14.25" customHeight="1">
      <c r="A167" s="278" t="s">
        <v>1903</v>
      </c>
      <c r="B167" s="283" t="s">
        <v>1913</v>
      </c>
      <c r="C167" s="283">
        <v>7540</v>
      </c>
      <c r="D167" s="283">
        <v>7510</v>
      </c>
      <c r="E167" s="283">
        <v>8030</v>
      </c>
      <c r="F167" s="300"/>
      <c r="H167" s="298"/>
    </row>
    <row r="168" spans="1:8" s="269" customFormat="1" ht="14.25" customHeight="1">
      <c r="A168" s="278" t="s">
        <v>1903</v>
      </c>
      <c r="B168" s="283" t="s">
        <v>1914</v>
      </c>
      <c r="C168" s="283">
        <v>7210</v>
      </c>
      <c r="D168" s="283">
        <v>7180</v>
      </c>
      <c r="E168" s="283">
        <v>7830</v>
      </c>
      <c r="F168" s="300"/>
      <c r="H168" s="298"/>
    </row>
    <row r="169" spans="1:8" s="269" customFormat="1" ht="14.25" customHeight="1">
      <c r="A169" s="278" t="s">
        <v>1903</v>
      </c>
      <c r="B169" s="283" t="s">
        <v>1915</v>
      </c>
      <c r="C169" s="283">
        <v>7040</v>
      </c>
      <c r="D169" s="283">
        <v>7020</v>
      </c>
      <c r="E169" s="283">
        <v>7670</v>
      </c>
      <c r="F169" s="300"/>
      <c r="H169" s="298"/>
    </row>
    <row r="170" spans="1:8" s="269" customFormat="1" ht="14.25" customHeight="1">
      <c r="A170" s="278" t="s">
        <v>1903</v>
      </c>
      <c r="B170" s="283" t="s">
        <v>1916</v>
      </c>
      <c r="C170" s="283">
        <v>8040</v>
      </c>
      <c r="D170" s="283">
        <v>7190</v>
      </c>
      <c r="E170" s="283">
        <v>7850</v>
      </c>
      <c r="F170" s="300"/>
      <c r="H170" s="298"/>
    </row>
    <row r="171" spans="1:8" s="269" customFormat="1" ht="14.25" customHeight="1">
      <c r="A171" s="278" t="s">
        <v>1903</v>
      </c>
      <c r="B171" s="283" t="s">
        <v>1917</v>
      </c>
      <c r="C171" s="283">
        <v>7860</v>
      </c>
      <c r="D171" s="283">
        <v>7720</v>
      </c>
      <c r="E171" s="283">
        <v>8150</v>
      </c>
      <c r="F171" s="291">
        <v>1110</v>
      </c>
      <c r="H171" s="298"/>
    </row>
    <row r="172" spans="1:8" s="269" customFormat="1" ht="14.25" customHeight="1">
      <c r="A172" s="278" t="s">
        <v>1903</v>
      </c>
      <c r="B172" s="283" t="s">
        <v>1918</v>
      </c>
      <c r="C172" s="283">
        <v>7210</v>
      </c>
      <c r="D172" s="283">
        <v>7170</v>
      </c>
      <c r="E172" s="283">
        <v>7320</v>
      </c>
      <c r="F172" s="300"/>
      <c r="H172" s="298"/>
    </row>
    <row r="173" spans="1:8" s="269" customFormat="1" ht="14.25" customHeight="1">
      <c r="A173" s="278" t="s">
        <v>1903</v>
      </c>
      <c r="B173" s="283" t="s">
        <v>1919</v>
      </c>
      <c r="C173" s="283">
        <v>6860</v>
      </c>
      <c r="D173" s="283">
        <v>6810</v>
      </c>
      <c r="E173" s="283">
        <v>7440</v>
      </c>
      <c r="F173" s="300"/>
      <c r="H173" s="298"/>
    </row>
    <row r="174" spans="1:8" s="269" customFormat="1" ht="14.25" customHeight="1">
      <c r="A174" s="278" t="s">
        <v>1903</v>
      </c>
      <c r="B174" s="283" t="s">
        <v>1920</v>
      </c>
      <c r="C174" s="283">
        <v>7120</v>
      </c>
      <c r="D174" s="283">
        <v>7090</v>
      </c>
      <c r="E174" s="283">
        <v>7500</v>
      </c>
      <c r="F174" s="291">
        <v>1490</v>
      </c>
      <c r="H174" s="298"/>
    </row>
    <row r="175" spans="1:8" s="269" customFormat="1" ht="14.25" customHeight="1">
      <c r="A175" s="278" t="s">
        <v>1903</v>
      </c>
      <c r="B175" s="283" t="s">
        <v>1921</v>
      </c>
      <c r="C175" s="283">
        <v>7850</v>
      </c>
      <c r="D175" s="283">
        <v>7820</v>
      </c>
      <c r="E175" s="283">
        <v>8120</v>
      </c>
      <c r="F175" s="291">
        <v>1530</v>
      </c>
      <c r="H175" s="298"/>
    </row>
    <row r="176" spans="1:8" s="269" customFormat="1" ht="14.25" customHeight="1">
      <c r="A176" s="278" t="s">
        <v>1903</v>
      </c>
      <c r="B176" s="283" t="s">
        <v>1922</v>
      </c>
      <c r="C176" s="283">
        <v>7620</v>
      </c>
      <c r="D176" s="283">
        <v>7570</v>
      </c>
      <c r="E176" s="283">
        <v>7990</v>
      </c>
      <c r="F176" s="291">
        <v>1480</v>
      </c>
      <c r="H176" s="298"/>
    </row>
    <row r="177" spans="1:8" s="269" customFormat="1" ht="14.25" customHeight="1">
      <c r="A177" s="278" t="s">
        <v>1903</v>
      </c>
      <c r="B177" s="283" t="s">
        <v>1923</v>
      </c>
      <c r="C177" s="283">
        <v>8590</v>
      </c>
      <c r="D177" s="283">
        <v>8570</v>
      </c>
      <c r="E177" s="283">
        <v>8740</v>
      </c>
      <c r="F177" s="291">
        <v>1540</v>
      </c>
      <c r="H177" s="298"/>
    </row>
    <row r="178" spans="1:8" s="269" customFormat="1" ht="14.25" customHeight="1">
      <c r="A178" s="278" t="s">
        <v>1903</v>
      </c>
      <c r="B178" s="283" t="s">
        <v>1924</v>
      </c>
      <c r="C178" s="283">
        <v>7510</v>
      </c>
      <c r="D178" s="283">
        <v>7470</v>
      </c>
      <c r="E178" s="283">
        <v>8090</v>
      </c>
      <c r="F178" s="291">
        <v>1320</v>
      </c>
      <c r="H178" s="298"/>
    </row>
    <row r="179" spans="1:8" s="269" customFormat="1" ht="14.25" customHeight="1">
      <c r="A179" s="278" t="s">
        <v>1903</v>
      </c>
      <c r="B179" s="283" t="s">
        <v>1925</v>
      </c>
      <c r="C179" s="283">
        <v>6380</v>
      </c>
      <c r="D179" s="283">
        <v>6340</v>
      </c>
      <c r="E179" s="283">
        <v>6810</v>
      </c>
      <c r="F179" s="300"/>
      <c r="H179" s="298"/>
    </row>
    <row r="180" spans="1:8" s="269" customFormat="1" ht="14.25" customHeight="1">
      <c r="A180" s="278" t="s">
        <v>1903</v>
      </c>
      <c r="B180" s="283" t="s">
        <v>1926</v>
      </c>
      <c r="C180" s="283">
        <v>7830</v>
      </c>
      <c r="D180" s="283">
        <v>7800</v>
      </c>
      <c r="E180" s="283">
        <v>7780</v>
      </c>
      <c r="F180" s="291">
        <v>1440</v>
      </c>
      <c r="H180" s="298"/>
    </row>
    <row r="181" spans="1:8" s="269" customFormat="1" ht="14.25" customHeight="1">
      <c r="A181" s="278" t="s">
        <v>1903</v>
      </c>
      <c r="B181" s="283" t="s">
        <v>1927</v>
      </c>
      <c r="C181" s="283">
        <v>7110</v>
      </c>
      <c r="D181" s="283">
        <v>7080</v>
      </c>
      <c r="E181" s="283">
        <v>7730</v>
      </c>
      <c r="F181" s="291">
        <v>1350</v>
      </c>
      <c r="H181" s="298"/>
    </row>
    <row r="182" spans="1:8" s="269" customFormat="1" ht="14.25" customHeight="1">
      <c r="A182" s="278" t="s">
        <v>1903</v>
      </c>
      <c r="B182" s="283" t="s">
        <v>1928</v>
      </c>
      <c r="C182" s="283">
        <v>7310</v>
      </c>
      <c r="D182" s="283">
        <v>7280</v>
      </c>
      <c r="E182" s="283">
        <v>7950</v>
      </c>
      <c r="F182" s="291">
        <v>1220</v>
      </c>
      <c r="H182" s="298"/>
    </row>
    <row r="183" spans="1:8" s="269" customFormat="1" ht="14.25" customHeight="1">
      <c r="A183" s="278" t="s">
        <v>1903</v>
      </c>
      <c r="B183" s="283" t="s">
        <v>1929</v>
      </c>
      <c r="C183" s="283">
        <v>7470</v>
      </c>
      <c r="D183" s="283">
        <v>7440</v>
      </c>
      <c r="E183" s="283">
        <v>7880</v>
      </c>
      <c r="F183" s="300"/>
      <c r="H183" s="298"/>
    </row>
    <row r="184" spans="1:8" s="269" customFormat="1" ht="14.25" customHeight="1">
      <c r="A184" s="278" t="s">
        <v>1903</v>
      </c>
      <c r="B184" s="283" t="s">
        <v>1930</v>
      </c>
      <c r="C184" s="283">
        <v>6960</v>
      </c>
      <c r="D184" s="283">
        <v>6930</v>
      </c>
      <c r="E184" s="283">
        <v>7570</v>
      </c>
      <c r="F184" s="300"/>
      <c r="H184" s="298"/>
    </row>
    <row r="185" spans="1:8" s="269" customFormat="1" ht="14.25" customHeight="1">
      <c r="A185" s="278" t="s">
        <v>1903</v>
      </c>
      <c r="B185" s="283" t="s">
        <v>1931</v>
      </c>
      <c r="C185" s="283">
        <v>7260</v>
      </c>
      <c r="D185" s="283">
        <v>7230</v>
      </c>
      <c r="E185" s="283">
        <v>7710</v>
      </c>
      <c r="F185" s="291">
        <v>1360</v>
      </c>
      <c r="H185" s="298"/>
    </row>
    <row r="186" spans="1:8" s="269" customFormat="1" ht="14.25" customHeight="1">
      <c r="A186" s="278" t="s">
        <v>1903</v>
      </c>
      <c r="B186" s="283" t="s">
        <v>1932</v>
      </c>
      <c r="C186" s="283"/>
      <c r="D186" s="283"/>
      <c r="E186" s="283"/>
      <c r="F186" s="291">
        <v>1560</v>
      </c>
      <c r="H186" s="298"/>
    </row>
    <row r="187" spans="1:8" s="269" customFormat="1" ht="14.25" customHeight="1">
      <c r="A187" s="278" t="s">
        <v>1903</v>
      </c>
      <c r="B187" s="283" t="s">
        <v>1933</v>
      </c>
      <c r="C187" s="283"/>
      <c r="D187" s="283"/>
      <c r="E187" s="283"/>
      <c r="F187" s="291">
        <v>1560</v>
      </c>
      <c r="H187" s="298"/>
    </row>
    <row r="188" spans="1:8" s="269" customFormat="1" ht="14.25" customHeight="1">
      <c r="A188" s="278" t="s">
        <v>1903</v>
      </c>
      <c r="B188" s="283" t="s">
        <v>1934</v>
      </c>
      <c r="C188" s="283"/>
      <c r="D188" s="283"/>
      <c r="E188" s="283"/>
      <c r="F188" s="291">
        <v>1560</v>
      </c>
      <c r="H188" s="298"/>
    </row>
    <row r="189" spans="1:8" s="269" customFormat="1" ht="14.25" customHeight="1">
      <c r="A189" s="278" t="s">
        <v>1903</v>
      </c>
      <c r="B189" s="283" t="s">
        <v>1935</v>
      </c>
      <c r="C189" s="283"/>
      <c r="D189" s="283"/>
      <c r="E189" s="283"/>
      <c r="F189" s="291">
        <v>1320</v>
      </c>
      <c r="H189" s="298"/>
    </row>
    <row r="190" spans="1:8" s="269" customFormat="1" ht="14.25" customHeight="1">
      <c r="A190" s="278" t="s">
        <v>1903</v>
      </c>
      <c r="B190" s="283" t="s">
        <v>1936</v>
      </c>
      <c r="C190" s="283"/>
      <c r="D190" s="283"/>
      <c r="E190" s="283"/>
      <c r="F190" s="291">
        <v>1320</v>
      </c>
      <c r="H190" s="298"/>
    </row>
    <row r="191" spans="1:8" s="269" customFormat="1" ht="14.25" customHeight="1">
      <c r="A191" s="278" t="s">
        <v>1903</v>
      </c>
      <c r="B191" s="283" t="s">
        <v>1937</v>
      </c>
      <c r="C191" s="283"/>
      <c r="D191" s="283"/>
      <c r="E191" s="283"/>
      <c r="F191" s="291">
        <v>1320</v>
      </c>
      <c r="H191" s="298"/>
    </row>
    <row r="192" spans="1:8" s="269" customFormat="1" ht="14.25" customHeight="1">
      <c r="A192" s="278" t="s">
        <v>1903</v>
      </c>
      <c r="B192" s="283" t="s">
        <v>1938</v>
      </c>
      <c r="C192" s="283"/>
      <c r="D192" s="283"/>
      <c r="E192" s="283"/>
      <c r="F192" s="291">
        <v>1100</v>
      </c>
      <c r="H192" s="298"/>
    </row>
    <row r="193" spans="1:8" s="269" customFormat="1" ht="14.25" customHeight="1">
      <c r="A193" s="278" t="s">
        <v>1903</v>
      </c>
      <c r="B193" s="283" t="s">
        <v>1939</v>
      </c>
      <c r="C193" s="283"/>
      <c r="D193" s="283"/>
      <c r="E193" s="283"/>
      <c r="F193" s="291">
        <v>1100</v>
      </c>
      <c r="H193" s="298"/>
    </row>
    <row r="194" spans="1:8" s="269" customFormat="1" ht="14.25" customHeight="1">
      <c r="A194" s="278" t="s">
        <v>1903</v>
      </c>
      <c r="B194" s="283" t="s">
        <v>1940</v>
      </c>
      <c r="C194" s="283"/>
      <c r="D194" s="283"/>
      <c r="E194" s="283"/>
      <c r="F194" s="291">
        <v>1080</v>
      </c>
      <c r="H194" s="298"/>
    </row>
    <row r="195" spans="1:8" s="269" customFormat="1" ht="14.25" customHeight="1">
      <c r="A195" s="278" t="s">
        <v>1903</v>
      </c>
      <c r="B195" s="283" t="s">
        <v>1941</v>
      </c>
      <c r="C195" s="283"/>
      <c r="D195" s="283"/>
      <c r="E195" s="283"/>
      <c r="F195" s="291">
        <v>1270</v>
      </c>
      <c r="H195" s="298"/>
    </row>
    <row r="196" spans="1:8" s="269" customFormat="1" ht="14.25" customHeight="1">
      <c r="A196" s="278" t="s">
        <v>1903</v>
      </c>
      <c r="B196" s="283" t="s">
        <v>1942</v>
      </c>
      <c r="C196" s="283"/>
      <c r="D196" s="283"/>
      <c r="E196" s="283"/>
      <c r="F196" s="291">
        <v>1150</v>
      </c>
      <c r="H196" s="298"/>
    </row>
    <row r="197" spans="1:8" s="269" customFormat="1" ht="14.25" customHeight="1">
      <c r="A197" s="278" t="s">
        <v>1903</v>
      </c>
      <c r="B197" s="283" t="s">
        <v>1943</v>
      </c>
      <c r="C197" s="283"/>
      <c r="D197" s="283"/>
      <c r="E197" s="283"/>
      <c r="F197" s="291">
        <v>1330</v>
      </c>
      <c r="H197" s="298"/>
    </row>
    <row r="198" spans="1:8" s="269" customFormat="1" ht="14.25" customHeight="1">
      <c r="A198" s="278" t="s">
        <v>1903</v>
      </c>
      <c r="B198" s="283" t="s">
        <v>1944</v>
      </c>
      <c r="C198" s="283"/>
      <c r="D198" s="283"/>
      <c r="E198" s="283"/>
      <c r="F198" s="291">
        <v>1170</v>
      </c>
      <c r="H198" s="298"/>
    </row>
    <row r="199" spans="1:8" s="269" customFormat="1" ht="14.25" customHeight="1">
      <c r="A199" s="278" t="s">
        <v>1903</v>
      </c>
      <c r="B199" s="283" t="s">
        <v>1945</v>
      </c>
      <c r="C199" s="283"/>
      <c r="D199" s="283"/>
      <c r="E199" s="283"/>
      <c r="F199" s="291">
        <v>1120</v>
      </c>
      <c r="H199" s="298"/>
    </row>
    <row r="200" spans="1:8" s="269" customFormat="1" ht="14.25" customHeight="1">
      <c r="A200" s="278" t="s">
        <v>1903</v>
      </c>
      <c r="B200" s="283" t="s">
        <v>1946</v>
      </c>
      <c r="C200" s="283"/>
      <c r="D200" s="283"/>
      <c r="E200" s="283"/>
      <c r="F200" s="291">
        <v>1120</v>
      </c>
      <c r="H200" s="298"/>
    </row>
    <row r="201" spans="1:8" s="269" customFormat="1" ht="14.25" customHeight="1">
      <c r="A201" s="278" t="s">
        <v>1903</v>
      </c>
      <c r="B201" s="283" t="s">
        <v>1947</v>
      </c>
      <c r="C201" s="283"/>
      <c r="D201" s="283"/>
      <c r="E201" s="283"/>
      <c r="F201" s="291">
        <v>1540</v>
      </c>
      <c r="H201" s="298"/>
    </row>
    <row r="202" spans="1:8" s="269" customFormat="1" ht="14.25" customHeight="1">
      <c r="A202" s="278" t="s">
        <v>1903</v>
      </c>
      <c r="B202" s="283" t="s">
        <v>1948</v>
      </c>
      <c r="C202" s="283"/>
      <c r="D202" s="283"/>
      <c r="E202" s="283"/>
      <c r="F202" s="291">
        <v>1310</v>
      </c>
      <c r="H202" s="298"/>
    </row>
    <row r="203" spans="1:8" s="269" customFormat="1" ht="14.25" customHeight="1">
      <c r="A203" s="278" t="s">
        <v>1903</v>
      </c>
      <c r="B203" s="283" t="s">
        <v>1949</v>
      </c>
      <c r="C203" s="283"/>
      <c r="D203" s="283"/>
      <c r="E203" s="283"/>
      <c r="F203" s="291">
        <v>1310</v>
      </c>
      <c r="H203" s="298"/>
    </row>
    <row r="204" spans="1:8" s="269" customFormat="1" ht="14.25" customHeight="1">
      <c r="A204" s="278" t="s">
        <v>1903</v>
      </c>
      <c r="B204" s="283" t="s">
        <v>1950</v>
      </c>
      <c r="C204" s="283"/>
      <c r="D204" s="283"/>
      <c r="E204" s="283"/>
      <c r="F204" s="291">
        <v>1080</v>
      </c>
      <c r="H204" s="298"/>
    </row>
    <row r="205" spans="1:8" s="269" customFormat="1" ht="14.25" customHeight="1">
      <c r="A205" s="278" t="s">
        <v>1903</v>
      </c>
      <c r="B205" s="283" t="s">
        <v>1951</v>
      </c>
      <c r="C205" s="283"/>
      <c r="D205" s="283"/>
      <c r="E205" s="283"/>
      <c r="F205" s="291">
        <v>1080</v>
      </c>
      <c r="H205" s="298"/>
    </row>
    <row r="206" spans="1:8" s="269" customFormat="1" ht="14.25" customHeight="1">
      <c r="A206" s="278" t="s">
        <v>1952</v>
      </c>
      <c r="B206" s="279" t="s">
        <v>1953</v>
      </c>
      <c r="C206" s="279">
        <v>5450</v>
      </c>
      <c r="D206" s="279">
        <v>5430</v>
      </c>
      <c r="E206" s="279">
        <v>5700</v>
      </c>
      <c r="F206" s="280">
        <v>1020</v>
      </c>
      <c r="H206" s="298"/>
    </row>
    <row r="207" spans="1:8" s="269" customFormat="1" ht="14.25" customHeight="1">
      <c r="A207" s="278" t="s">
        <v>1952</v>
      </c>
      <c r="B207" s="283" t="s">
        <v>1954</v>
      </c>
      <c r="C207" s="283">
        <v>5860</v>
      </c>
      <c r="D207" s="283">
        <v>5820</v>
      </c>
      <c r="E207" s="283">
        <v>6050</v>
      </c>
      <c r="F207" s="291">
        <v>1080</v>
      </c>
      <c r="H207" s="298"/>
    </row>
    <row r="208" spans="1:8" s="269" customFormat="1" ht="14.25" customHeight="1">
      <c r="A208" s="278" t="s">
        <v>1952</v>
      </c>
      <c r="B208" s="283" t="s">
        <v>1955</v>
      </c>
      <c r="C208" s="283">
        <v>4630</v>
      </c>
      <c r="D208" s="283">
        <v>4600</v>
      </c>
      <c r="E208" s="283">
        <v>4840</v>
      </c>
      <c r="F208" s="291">
        <v>900</v>
      </c>
      <c r="H208" s="298"/>
    </row>
    <row r="209" spans="1:8" s="269" customFormat="1" ht="14.25" customHeight="1">
      <c r="A209" s="278" t="s">
        <v>1952</v>
      </c>
      <c r="B209" s="283" t="s">
        <v>1956</v>
      </c>
      <c r="C209" s="283">
        <v>5320</v>
      </c>
      <c r="D209" s="283">
        <v>5270</v>
      </c>
      <c r="E209" s="283">
        <v>5540</v>
      </c>
      <c r="F209" s="291">
        <v>980</v>
      </c>
      <c r="H209" s="298"/>
    </row>
    <row r="210" spans="1:8" s="269" customFormat="1" ht="14.25" customHeight="1">
      <c r="A210" s="278" t="s">
        <v>1952</v>
      </c>
      <c r="B210" s="283" t="s">
        <v>1957</v>
      </c>
      <c r="C210" s="283">
        <v>5760</v>
      </c>
      <c r="D210" s="283">
        <v>5710</v>
      </c>
      <c r="E210" s="283">
        <v>6010</v>
      </c>
      <c r="F210" s="291">
        <v>870</v>
      </c>
      <c r="H210" s="298"/>
    </row>
    <row r="211" spans="1:8" s="269" customFormat="1" ht="14.25" customHeight="1">
      <c r="A211" s="278" t="s">
        <v>1952</v>
      </c>
      <c r="B211" s="283" t="s">
        <v>1958</v>
      </c>
      <c r="C211" s="283">
        <v>4160</v>
      </c>
      <c r="D211" s="283">
        <v>4100</v>
      </c>
      <c r="E211" s="283">
        <v>4270</v>
      </c>
      <c r="F211" s="291">
        <v>790</v>
      </c>
      <c r="H211" s="298"/>
    </row>
    <row r="212" spans="1:8" s="269" customFormat="1" ht="14.25" customHeight="1">
      <c r="A212" s="278" t="s">
        <v>1952</v>
      </c>
      <c r="B212" s="283" t="s">
        <v>1959</v>
      </c>
      <c r="C212" s="283">
        <v>4880</v>
      </c>
      <c r="D212" s="283">
        <v>4850</v>
      </c>
      <c r="E212" s="283">
        <v>5110</v>
      </c>
      <c r="F212" s="291">
        <v>940</v>
      </c>
      <c r="H212" s="298"/>
    </row>
    <row r="213" spans="1:8" s="269" customFormat="1" ht="14.25" customHeight="1">
      <c r="A213" s="278" t="s">
        <v>1952</v>
      </c>
      <c r="B213" s="283" t="s">
        <v>1960</v>
      </c>
      <c r="C213" s="283">
        <v>4640</v>
      </c>
      <c r="D213" s="283">
        <v>4590</v>
      </c>
      <c r="E213" s="283">
        <v>4700</v>
      </c>
      <c r="F213" s="291">
        <v>1030</v>
      </c>
      <c r="H213" s="298"/>
    </row>
    <row r="214" spans="1:8" s="269" customFormat="1" ht="14.25" customHeight="1">
      <c r="A214" s="278" t="s">
        <v>1952</v>
      </c>
      <c r="B214" s="283" t="s">
        <v>1961</v>
      </c>
      <c r="C214" s="283">
        <v>4540</v>
      </c>
      <c r="D214" s="283">
        <v>4490</v>
      </c>
      <c r="E214" s="283">
        <v>4610</v>
      </c>
      <c r="F214" s="300"/>
      <c r="H214" s="298"/>
    </row>
    <row r="215" spans="1:8" s="269" customFormat="1" ht="14.25" customHeight="1">
      <c r="A215" s="278" t="s">
        <v>1952</v>
      </c>
      <c r="B215" s="283" t="s">
        <v>1962</v>
      </c>
      <c r="C215" s="283">
        <v>5280</v>
      </c>
      <c r="D215" s="283">
        <v>5250</v>
      </c>
      <c r="E215" s="283">
        <v>5520</v>
      </c>
      <c r="F215" s="291">
        <v>1000</v>
      </c>
      <c r="H215" s="298"/>
    </row>
    <row r="216" spans="1:8" s="269" customFormat="1" ht="14.25" customHeight="1">
      <c r="A216" s="278" t="s">
        <v>1952</v>
      </c>
      <c r="B216" s="283" t="s">
        <v>1963</v>
      </c>
      <c r="C216" s="283">
        <v>5100</v>
      </c>
      <c r="D216" s="283">
        <v>5050</v>
      </c>
      <c r="E216" s="283">
        <v>5300</v>
      </c>
      <c r="F216" s="291">
        <v>950</v>
      </c>
      <c r="H216" s="298"/>
    </row>
    <row r="217" spans="1:8" s="269" customFormat="1" ht="14.25" customHeight="1">
      <c r="A217" s="278" t="s">
        <v>1952</v>
      </c>
      <c r="B217" s="283" t="s">
        <v>1964</v>
      </c>
      <c r="C217" s="283">
        <v>5370</v>
      </c>
      <c r="D217" s="283">
        <v>5320</v>
      </c>
      <c r="E217" s="283">
        <v>5410</v>
      </c>
      <c r="F217" s="291">
        <v>950</v>
      </c>
      <c r="H217" s="298"/>
    </row>
    <row r="218" spans="1:8" s="269" customFormat="1" ht="14.25" customHeight="1">
      <c r="A218" s="278" t="s">
        <v>1952</v>
      </c>
      <c r="B218" s="283" t="s">
        <v>1965</v>
      </c>
      <c r="C218" s="283">
        <v>5540</v>
      </c>
      <c r="D218" s="283">
        <v>5480</v>
      </c>
      <c r="E218" s="283">
        <v>5740</v>
      </c>
      <c r="F218" s="291">
        <v>1020</v>
      </c>
      <c r="H218" s="298"/>
    </row>
    <row r="219" spans="1:8" s="269" customFormat="1" ht="14.25" customHeight="1">
      <c r="A219" s="278" t="s">
        <v>1952</v>
      </c>
      <c r="B219" s="283" t="s">
        <v>1966</v>
      </c>
      <c r="C219" s="283">
        <v>5140</v>
      </c>
      <c r="D219" s="283">
        <v>5100</v>
      </c>
      <c r="E219" s="283">
        <v>5350</v>
      </c>
      <c r="F219" s="291">
        <v>1120</v>
      </c>
      <c r="H219" s="298"/>
    </row>
    <row r="220" spans="1:8" s="269" customFormat="1" ht="14.25" customHeight="1">
      <c r="A220" s="278" t="s">
        <v>1952</v>
      </c>
      <c r="B220" s="283" t="s">
        <v>1967</v>
      </c>
      <c r="C220" s="283">
        <v>5040</v>
      </c>
      <c r="D220" s="283">
        <v>5000</v>
      </c>
      <c r="E220" s="283">
        <v>5240</v>
      </c>
      <c r="F220" s="291">
        <v>980</v>
      </c>
      <c r="H220" s="298"/>
    </row>
    <row r="221" spans="1:8" s="269" customFormat="1" ht="14.25" customHeight="1">
      <c r="A221" s="278" t="s">
        <v>1952</v>
      </c>
      <c r="B221" s="283" t="s">
        <v>1968</v>
      </c>
      <c r="C221" s="303"/>
      <c r="D221" s="303"/>
      <c r="E221" s="303"/>
      <c r="F221" s="291">
        <v>1070</v>
      </c>
      <c r="H221" s="298"/>
    </row>
    <row r="222" spans="1:8" s="269" customFormat="1" ht="14.25" customHeight="1">
      <c r="A222" s="278" t="s">
        <v>1952</v>
      </c>
      <c r="B222" s="283" t="s">
        <v>1969</v>
      </c>
      <c r="C222" s="303"/>
      <c r="D222" s="303"/>
      <c r="E222" s="303"/>
      <c r="F222" s="291">
        <v>870</v>
      </c>
      <c r="H222" s="298"/>
    </row>
    <row r="223" spans="1:8" s="269" customFormat="1" ht="14.25" customHeight="1">
      <c r="A223" s="278" t="s">
        <v>1952</v>
      </c>
      <c r="B223" s="283" t="s">
        <v>1970</v>
      </c>
      <c r="C223" s="303"/>
      <c r="D223" s="303"/>
      <c r="E223" s="303"/>
      <c r="F223" s="291">
        <v>940</v>
      </c>
      <c r="H223" s="298"/>
    </row>
    <row r="224" spans="1:8" s="269" customFormat="1" ht="14.25" customHeight="1">
      <c r="A224" s="278" t="s">
        <v>1952</v>
      </c>
      <c r="B224" s="283" t="s">
        <v>1971</v>
      </c>
      <c r="C224" s="303"/>
      <c r="D224" s="303"/>
      <c r="E224" s="303"/>
      <c r="F224" s="291">
        <v>990</v>
      </c>
      <c r="H224" s="298"/>
    </row>
    <row r="225" spans="1:8" s="269" customFormat="1" ht="14.25" customHeight="1">
      <c r="A225" s="278" t="s">
        <v>1952</v>
      </c>
      <c r="B225" s="283" t="s">
        <v>1972</v>
      </c>
      <c r="C225" s="283">
        <v>5730</v>
      </c>
      <c r="D225" s="283">
        <v>5680</v>
      </c>
      <c r="E225" s="283">
        <v>6020</v>
      </c>
      <c r="F225" s="291">
        <v>1000</v>
      </c>
      <c r="H225" s="298"/>
    </row>
    <row r="226" spans="1:8" s="269" customFormat="1" ht="14.25" customHeight="1">
      <c r="A226" s="278" t="s">
        <v>1952</v>
      </c>
      <c r="B226" s="283" t="s">
        <v>1973</v>
      </c>
      <c r="C226" s="283">
        <v>4970</v>
      </c>
      <c r="D226" s="283">
        <v>4940</v>
      </c>
      <c r="E226" s="283">
        <v>5180</v>
      </c>
      <c r="F226" s="291">
        <v>960</v>
      </c>
      <c r="H226" s="298"/>
    </row>
    <row r="227" spans="1:8" s="269" customFormat="1" ht="14.25" customHeight="1">
      <c r="A227" s="278" t="s">
        <v>1952</v>
      </c>
      <c r="B227" s="283" t="s">
        <v>1974</v>
      </c>
      <c r="C227" s="283">
        <v>5550</v>
      </c>
      <c r="D227" s="283">
        <v>5500</v>
      </c>
      <c r="E227" s="283">
        <v>5780</v>
      </c>
      <c r="F227" s="291">
        <v>940</v>
      </c>
      <c r="H227" s="298"/>
    </row>
    <row r="228" spans="1:8" s="269" customFormat="1" ht="14.25" customHeight="1">
      <c r="A228" s="278" t="s">
        <v>1952</v>
      </c>
      <c r="B228" s="283" t="s">
        <v>1975</v>
      </c>
      <c r="C228" s="283">
        <v>5460</v>
      </c>
      <c r="D228" s="283">
        <v>5420</v>
      </c>
      <c r="E228" s="283">
        <v>5690</v>
      </c>
      <c r="F228" s="291">
        <v>910</v>
      </c>
      <c r="H228" s="298"/>
    </row>
    <row r="229" spans="1:8" s="269" customFormat="1" ht="14.25" customHeight="1">
      <c r="A229" s="278" t="s">
        <v>1952</v>
      </c>
      <c r="B229" s="283" t="s">
        <v>1976</v>
      </c>
      <c r="C229" s="283">
        <v>5310</v>
      </c>
      <c r="D229" s="283">
        <v>5270</v>
      </c>
      <c r="E229" s="283">
        <v>5510</v>
      </c>
      <c r="F229" s="300"/>
      <c r="H229" s="298"/>
    </row>
    <row r="230" spans="1:8" s="269" customFormat="1" ht="14.25" customHeight="1">
      <c r="A230" s="278" t="s">
        <v>1952</v>
      </c>
      <c r="B230" s="283" t="s">
        <v>1977</v>
      </c>
      <c r="C230" s="283">
        <v>4540</v>
      </c>
      <c r="D230" s="283">
        <v>4500</v>
      </c>
      <c r="E230" s="283">
        <v>4730</v>
      </c>
      <c r="F230" s="300"/>
      <c r="H230" s="298"/>
    </row>
    <row r="231" spans="1:8" s="269" customFormat="1" ht="14.25" customHeight="1">
      <c r="A231" s="278" t="s">
        <v>1952</v>
      </c>
      <c r="B231" s="283" t="s">
        <v>1978</v>
      </c>
      <c r="C231" s="283">
        <v>4480</v>
      </c>
      <c r="D231" s="283">
        <v>4410</v>
      </c>
      <c r="E231" s="283">
        <v>4640</v>
      </c>
      <c r="F231" s="300"/>
      <c r="H231" s="298"/>
    </row>
    <row r="232" spans="1:8" s="269" customFormat="1" ht="14.25" customHeight="1">
      <c r="A232" s="278" t="s">
        <v>1952</v>
      </c>
      <c r="B232" s="283" t="s">
        <v>1979</v>
      </c>
      <c r="C232" s="283">
        <v>5670</v>
      </c>
      <c r="D232" s="283">
        <v>5600</v>
      </c>
      <c r="E232" s="283">
        <v>5890</v>
      </c>
      <c r="F232" s="291">
        <v>1150</v>
      </c>
      <c r="H232" s="298"/>
    </row>
    <row r="233" spans="1:8" s="269" customFormat="1" ht="14.25" customHeight="1">
      <c r="A233" s="278" t="s">
        <v>1952</v>
      </c>
      <c r="B233" s="283" t="s">
        <v>1980</v>
      </c>
      <c r="C233" s="283">
        <v>4590</v>
      </c>
      <c r="D233" s="283">
        <v>4500</v>
      </c>
      <c r="E233" s="283">
        <v>4600</v>
      </c>
      <c r="F233" s="300"/>
      <c r="H233" s="298"/>
    </row>
    <row r="234" spans="1:8" s="269" customFormat="1" ht="14.25" customHeight="1">
      <c r="A234" s="278" t="s">
        <v>1952</v>
      </c>
      <c r="B234" s="283" t="s">
        <v>2133</v>
      </c>
      <c r="C234" s="283">
        <v>3990</v>
      </c>
      <c r="D234" s="283">
        <v>3950</v>
      </c>
      <c r="E234" s="283">
        <v>4180</v>
      </c>
      <c r="F234" s="300"/>
      <c r="H234" s="298"/>
    </row>
    <row r="235" spans="1:8" s="269" customFormat="1" ht="14.25" customHeight="1">
      <c r="A235" s="278" t="s">
        <v>1952</v>
      </c>
      <c r="B235" s="283" t="s">
        <v>1982</v>
      </c>
      <c r="C235" s="283">
        <v>5590</v>
      </c>
      <c r="D235" s="283">
        <v>5540</v>
      </c>
      <c r="E235" s="283">
        <v>5810</v>
      </c>
      <c r="F235" s="291">
        <v>970</v>
      </c>
      <c r="H235" s="298"/>
    </row>
    <row r="236" spans="1:8" s="269" customFormat="1" ht="14.25" customHeight="1">
      <c r="A236" s="278" t="s">
        <v>1952</v>
      </c>
      <c r="B236" s="283" t="s">
        <v>1983</v>
      </c>
      <c r="C236" s="283"/>
      <c r="D236" s="283"/>
      <c r="E236" s="283"/>
      <c r="F236" s="291">
        <v>1020</v>
      </c>
      <c r="H236" s="298"/>
    </row>
    <row r="237" spans="1:8" s="269" customFormat="1" ht="14.25" customHeight="1">
      <c r="A237" s="278" t="s">
        <v>1952</v>
      </c>
      <c r="B237" s="283" t="s">
        <v>1984</v>
      </c>
      <c r="C237" s="283"/>
      <c r="D237" s="283"/>
      <c r="E237" s="283"/>
      <c r="F237" s="291">
        <v>960</v>
      </c>
      <c r="H237" s="298"/>
    </row>
    <row r="238" spans="1:8" s="269" customFormat="1" ht="14.25" customHeight="1">
      <c r="A238" s="278" t="s">
        <v>1952</v>
      </c>
      <c r="B238" s="283" t="s">
        <v>1985</v>
      </c>
      <c r="C238" s="283"/>
      <c r="D238" s="283"/>
      <c r="E238" s="283"/>
      <c r="F238" s="291">
        <v>960</v>
      </c>
      <c r="H238" s="298"/>
    </row>
    <row r="239" spans="1:8" s="269" customFormat="1" ht="14.25" customHeight="1">
      <c r="A239" s="278" t="s">
        <v>1952</v>
      </c>
      <c r="B239" s="283" t="s">
        <v>1986</v>
      </c>
      <c r="C239" s="283"/>
      <c r="D239" s="283"/>
      <c r="E239" s="283"/>
      <c r="F239" s="291">
        <v>960</v>
      </c>
      <c r="H239" s="298"/>
    </row>
    <row r="240" spans="1:8" s="269" customFormat="1" ht="14.25" customHeight="1">
      <c r="A240" s="278" t="s">
        <v>1952</v>
      </c>
      <c r="B240" s="283" t="s">
        <v>1987</v>
      </c>
      <c r="C240" s="283"/>
      <c r="D240" s="283"/>
      <c r="E240" s="283"/>
      <c r="F240" s="291">
        <v>990</v>
      </c>
      <c r="H240" s="298"/>
    </row>
    <row r="241" spans="1:8" s="269" customFormat="1" ht="14.25" customHeight="1">
      <c r="A241" s="278" t="s">
        <v>1952</v>
      </c>
      <c r="B241" s="283" t="s">
        <v>1988</v>
      </c>
      <c r="C241" s="283"/>
      <c r="D241" s="283"/>
      <c r="E241" s="283"/>
      <c r="F241" s="291">
        <v>1000</v>
      </c>
      <c r="H241" s="298"/>
    </row>
    <row r="242" spans="1:8" s="269" customFormat="1" ht="14.25" customHeight="1">
      <c r="A242" s="278" t="s">
        <v>1952</v>
      </c>
      <c r="B242" s="283" t="s">
        <v>1989</v>
      </c>
      <c r="C242" s="283"/>
      <c r="D242" s="283"/>
      <c r="E242" s="283"/>
      <c r="F242" s="291">
        <v>980</v>
      </c>
      <c r="H242" s="298"/>
    </row>
    <row r="243" spans="1:8" s="269" customFormat="1" ht="14.25" customHeight="1">
      <c r="A243" s="278" t="s">
        <v>1952</v>
      </c>
      <c r="B243" s="283" t="s">
        <v>1990</v>
      </c>
      <c r="C243" s="283"/>
      <c r="D243" s="283"/>
      <c r="E243" s="283"/>
      <c r="F243" s="291">
        <v>970</v>
      </c>
      <c r="H243" s="298"/>
    </row>
    <row r="244" spans="1:8" s="269" customFormat="1" ht="14.25" customHeight="1">
      <c r="A244" s="278" t="s">
        <v>1952</v>
      </c>
      <c r="B244" s="289" t="s">
        <v>1991</v>
      </c>
      <c r="C244" s="289"/>
      <c r="D244" s="289"/>
      <c r="E244" s="289"/>
      <c r="F244" s="299">
        <v>970</v>
      </c>
      <c r="H244" s="298"/>
    </row>
    <row r="245" spans="1:8" s="269" customFormat="1" ht="14.25" customHeight="1">
      <c r="A245" s="278" t="s">
        <v>1992</v>
      </c>
      <c r="B245" s="279" t="s">
        <v>1993</v>
      </c>
      <c r="C245" s="279">
        <v>4050</v>
      </c>
      <c r="D245" s="279">
        <v>4020</v>
      </c>
      <c r="E245" s="279">
        <v>4160</v>
      </c>
      <c r="F245" s="280">
        <v>840</v>
      </c>
      <c r="H245" s="298"/>
    </row>
    <row r="246" spans="1:8" s="269" customFormat="1" ht="14.25" customHeight="1">
      <c r="A246" s="278" t="s">
        <v>1992</v>
      </c>
      <c r="B246" s="283" t="s">
        <v>1994</v>
      </c>
      <c r="C246" s="283">
        <v>4010</v>
      </c>
      <c r="D246" s="283">
        <v>3960</v>
      </c>
      <c r="E246" s="283">
        <v>4130</v>
      </c>
      <c r="F246" s="291">
        <v>840</v>
      </c>
      <c r="H246" s="298"/>
    </row>
    <row r="247" spans="1:8" s="269" customFormat="1" ht="14.25" customHeight="1">
      <c r="A247" s="278" t="s">
        <v>1992</v>
      </c>
      <c r="B247" s="283" t="s">
        <v>1995</v>
      </c>
      <c r="C247" s="283">
        <v>3170</v>
      </c>
      <c r="D247" s="283">
        <v>3140</v>
      </c>
      <c r="E247" s="283">
        <v>3270</v>
      </c>
      <c r="F247" s="291">
        <v>640</v>
      </c>
      <c r="H247" s="298"/>
    </row>
    <row r="248" spans="1:8" s="269" customFormat="1" ht="14.25" customHeight="1">
      <c r="A248" s="278" t="s">
        <v>1992</v>
      </c>
      <c r="B248" s="283" t="s">
        <v>1996</v>
      </c>
      <c r="C248" s="283">
        <v>3140</v>
      </c>
      <c r="D248" s="283">
        <v>3120</v>
      </c>
      <c r="E248" s="283">
        <v>3240</v>
      </c>
      <c r="F248" s="291">
        <v>620</v>
      </c>
      <c r="H248" s="298"/>
    </row>
    <row r="249" spans="1:8" s="269" customFormat="1" ht="14.25" customHeight="1">
      <c r="A249" s="278" t="s">
        <v>1992</v>
      </c>
      <c r="B249" s="283" t="s">
        <v>1997</v>
      </c>
      <c r="C249" s="283">
        <v>3200</v>
      </c>
      <c r="D249" s="283">
        <v>3100</v>
      </c>
      <c r="E249" s="283">
        <v>3230</v>
      </c>
      <c r="F249" s="291">
        <v>750</v>
      </c>
      <c r="H249" s="298"/>
    </row>
    <row r="250" spans="1:8" s="269" customFormat="1" ht="14.25" customHeight="1">
      <c r="A250" s="278" t="s">
        <v>1992</v>
      </c>
      <c r="B250" s="283" t="s">
        <v>1998</v>
      </c>
      <c r="C250" s="283">
        <v>4060</v>
      </c>
      <c r="D250" s="283">
        <v>4000</v>
      </c>
      <c r="E250" s="283">
        <v>4140</v>
      </c>
      <c r="F250" s="291">
        <v>790</v>
      </c>
      <c r="H250" s="298"/>
    </row>
    <row r="251" spans="1:8" s="269" customFormat="1" ht="14.25" customHeight="1">
      <c r="A251" s="278" t="s">
        <v>1992</v>
      </c>
      <c r="B251" s="283" t="s">
        <v>1999</v>
      </c>
      <c r="C251" s="283">
        <v>3990</v>
      </c>
      <c r="D251" s="283">
        <v>3970</v>
      </c>
      <c r="E251" s="283">
        <v>4110</v>
      </c>
      <c r="F251" s="291">
        <v>730</v>
      </c>
      <c r="H251" s="298"/>
    </row>
    <row r="252" spans="1:8" s="269" customFormat="1" ht="14.25" customHeight="1">
      <c r="A252" s="278" t="s">
        <v>1992</v>
      </c>
      <c r="B252" s="283" t="s">
        <v>2000</v>
      </c>
      <c r="C252" s="283">
        <v>3560</v>
      </c>
      <c r="D252" s="283">
        <v>3530</v>
      </c>
      <c r="E252" s="283">
        <v>3650</v>
      </c>
      <c r="F252" s="291">
        <v>750</v>
      </c>
      <c r="H252" s="298"/>
    </row>
    <row r="253" spans="1:8" s="269" customFormat="1" ht="14.25" customHeight="1">
      <c r="A253" s="278" t="s">
        <v>1992</v>
      </c>
      <c r="B253" s="283" t="s">
        <v>2001</v>
      </c>
      <c r="C253" s="283">
        <v>3780</v>
      </c>
      <c r="D253" s="283">
        <v>3750</v>
      </c>
      <c r="E253" s="283">
        <v>3870</v>
      </c>
      <c r="F253" s="291">
        <v>770</v>
      </c>
      <c r="H253" s="298"/>
    </row>
    <row r="254" spans="1:8" s="269" customFormat="1" ht="14.25" customHeight="1">
      <c r="A254" s="278" t="s">
        <v>1992</v>
      </c>
      <c r="B254" s="283" t="s">
        <v>2002</v>
      </c>
      <c r="C254" s="303"/>
      <c r="D254" s="303"/>
      <c r="E254" s="303"/>
      <c r="F254" s="291">
        <v>740</v>
      </c>
      <c r="H254" s="298"/>
    </row>
    <row r="255" spans="1:8" s="269" customFormat="1" ht="14.25" customHeight="1">
      <c r="A255" s="278" t="s">
        <v>1992</v>
      </c>
      <c r="B255" s="283" t="s">
        <v>2003</v>
      </c>
      <c r="C255" s="303"/>
      <c r="D255" s="303"/>
      <c r="E255" s="303"/>
      <c r="F255" s="291">
        <v>760</v>
      </c>
      <c r="H255" s="298"/>
    </row>
    <row r="256" spans="1:8" s="269" customFormat="1" ht="14.25" customHeight="1">
      <c r="A256" s="278" t="s">
        <v>1992</v>
      </c>
      <c r="B256" s="283" t="s">
        <v>2004</v>
      </c>
      <c r="C256" s="283">
        <v>3760</v>
      </c>
      <c r="D256" s="283">
        <v>3730</v>
      </c>
      <c r="E256" s="283">
        <v>3870</v>
      </c>
      <c r="F256" s="291">
        <v>830</v>
      </c>
      <c r="H256" s="298"/>
    </row>
    <row r="257" spans="1:8" s="269" customFormat="1" ht="14.25" customHeight="1">
      <c r="A257" s="278" t="s">
        <v>1992</v>
      </c>
      <c r="B257" s="283" t="s">
        <v>2005</v>
      </c>
      <c r="C257" s="283">
        <v>3570</v>
      </c>
      <c r="D257" s="283">
        <v>3540</v>
      </c>
      <c r="E257" s="283">
        <v>3650</v>
      </c>
      <c r="F257" s="291">
        <v>790</v>
      </c>
      <c r="H257" s="298"/>
    </row>
    <row r="258" spans="1:8" s="269" customFormat="1" ht="14.25" customHeight="1">
      <c r="A258" s="278" t="s">
        <v>1992</v>
      </c>
      <c r="B258" s="283" t="s">
        <v>2006</v>
      </c>
      <c r="C258" s="283">
        <v>3410</v>
      </c>
      <c r="D258" s="283">
        <v>3380</v>
      </c>
      <c r="E258" s="283">
        <v>3500</v>
      </c>
      <c r="F258" s="291">
        <v>830</v>
      </c>
      <c r="H258" s="298"/>
    </row>
    <row r="259" spans="1:8" s="269" customFormat="1" ht="14.25" customHeight="1">
      <c r="A259" s="278" t="s">
        <v>1992</v>
      </c>
      <c r="B259" s="283" t="s">
        <v>2007</v>
      </c>
      <c r="C259" s="283">
        <v>3870</v>
      </c>
      <c r="D259" s="283">
        <v>3840</v>
      </c>
      <c r="E259" s="283">
        <v>3970</v>
      </c>
      <c r="F259" s="291">
        <v>830</v>
      </c>
      <c r="H259" s="298"/>
    </row>
    <row r="260" spans="1:8" s="269" customFormat="1" ht="14.25" customHeight="1">
      <c r="A260" s="278" t="s">
        <v>1992</v>
      </c>
      <c r="B260" s="283" t="s">
        <v>2008</v>
      </c>
      <c r="C260" s="283">
        <v>3700</v>
      </c>
      <c r="D260" s="283">
        <v>3660</v>
      </c>
      <c r="E260" s="283">
        <v>3810</v>
      </c>
      <c r="F260" s="291">
        <v>790</v>
      </c>
      <c r="H260" s="298"/>
    </row>
    <row r="261" spans="1:8" s="269" customFormat="1" ht="14.25" customHeight="1">
      <c r="A261" s="278" t="s">
        <v>1992</v>
      </c>
      <c r="B261" s="283" t="s">
        <v>2009</v>
      </c>
      <c r="C261" s="283">
        <v>3470</v>
      </c>
      <c r="D261" s="283">
        <v>3430</v>
      </c>
      <c r="E261" s="283">
        <v>3640</v>
      </c>
      <c r="F261" s="291">
        <v>760</v>
      </c>
      <c r="H261" s="298"/>
    </row>
    <row r="262" spans="1:8" s="269" customFormat="1" ht="14.25" customHeight="1">
      <c r="A262" s="278" t="s">
        <v>1992</v>
      </c>
      <c r="B262" s="283" t="s">
        <v>2010</v>
      </c>
      <c r="C262" s="283">
        <v>3510</v>
      </c>
      <c r="D262" s="283">
        <v>3470</v>
      </c>
      <c r="E262" s="283">
        <v>3680</v>
      </c>
      <c r="F262" s="300"/>
      <c r="H262" s="298"/>
    </row>
    <row r="263" spans="1:8" s="269" customFormat="1" ht="14.25" customHeight="1">
      <c r="A263" s="278" t="s">
        <v>1992</v>
      </c>
      <c r="B263" s="283" t="s">
        <v>2011</v>
      </c>
      <c r="C263" s="283">
        <v>3960</v>
      </c>
      <c r="D263" s="283">
        <v>3930</v>
      </c>
      <c r="E263" s="283">
        <v>4070</v>
      </c>
      <c r="F263" s="291">
        <v>830</v>
      </c>
      <c r="H263" s="298"/>
    </row>
    <row r="264" spans="1:8" s="269" customFormat="1" ht="14.25" customHeight="1">
      <c r="A264" s="278" t="s">
        <v>1992</v>
      </c>
      <c r="B264" s="283" t="s">
        <v>2012</v>
      </c>
      <c r="C264" s="283">
        <v>4010</v>
      </c>
      <c r="D264" s="283">
        <v>3980</v>
      </c>
      <c r="E264" s="283">
        <v>4150</v>
      </c>
      <c r="F264" s="291">
        <v>760</v>
      </c>
      <c r="H264" s="298"/>
    </row>
    <row r="265" spans="1:8" s="269" customFormat="1" ht="14.25" customHeight="1">
      <c r="A265" s="278" t="s">
        <v>1992</v>
      </c>
      <c r="B265" s="283" t="s">
        <v>2013</v>
      </c>
      <c r="C265" s="283">
        <v>3910</v>
      </c>
      <c r="D265" s="283">
        <v>3890</v>
      </c>
      <c r="E265" s="283">
        <v>4040</v>
      </c>
      <c r="F265" s="291">
        <v>780</v>
      </c>
      <c r="H265" s="298"/>
    </row>
    <row r="266" spans="1:8" s="269" customFormat="1" ht="14.25" customHeight="1">
      <c r="A266" s="278" t="s">
        <v>1992</v>
      </c>
      <c r="B266" s="283" t="s">
        <v>2014</v>
      </c>
      <c r="C266" s="283">
        <v>3930</v>
      </c>
      <c r="D266" s="283">
        <v>3900</v>
      </c>
      <c r="E266" s="283">
        <v>4080</v>
      </c>
      <c r="F266" s="291">
        <v>770</v>
      </c>
      <c r="H266" s="298"/>
    </row>
    <row r="267" spans="1:8" s="269" customFormat="1" ht="14.25" customHeight="1">
      <c r="A267" s="278" t="s">
        <v>1992</v>
      </c>
      <c r="B267" s="283" t="s">
        <v>2015</v>
      </c>
      <c r="C267" s="283">
        <v>3800</v>
      </c>
      <c r="D267" s="283">
        <v>3780</v>
      </c>
      <c r="E267" s="283">
        <v>3930</v>
      </c>
      <c r="F267" s="300"/>
      <c r="H267" s="298"/>
    </row>
    <row r="268" spans="1:8" s="269" customFormat="1" ht="14.25" customHeight="1">
      <c r="A268" s="278" t="s">
        <v>1992</v>
      </c>
      <c r="B268" s="283" t="s">
        <v>2016</v>
      </c>
      <c r="C268" s="283">
        <v>3460</v>
      </c>
      <c r="D268" s="283">
        <v>3430</v>
      </c>
      <c r="E268" s="283">
        <v>3560</v>
      </c>
      <c r="F268" s="291">
        <v>840</v>
      </c>
      <c r="H268" s="298"/>
    </row>
    <row r="269" spans="1:8" s="269" customFormat="1" ht="14.25" customHeight="1">
      <c r="A269" s="278" t="s">
        <v>1992</v>
      </c>
      <c r="B269" s="283" t="s">
        <v>2017</v>
      </c>
      <c r="C269" s="283">
        <v>3210</v>
      </c>
      <c r="D269" s="283">
        <v>3190</v>
      </c>
      <c r="E269" s="283">
        <v>3310</v>
      </c>
      <c r="F269" s="291">
        <v>730</v>
      </c>
      <c r="H269" s="298"/>
    </row>
    <row r="270" spans="1:8" s="269" customFormat="1" ht="14.25" customHeight="1">
      <c r="A270" s="278" t="s">
        <v>1992</v>
      </c>
      <c r="B270" s="283" t="s">
        <v>2018</v>
      </c>
      <c r="C270" s="283">
        <v>3240</v>
      </c>
      <c r="D270" s="283">
        <v>3210</v>
      </c>
      <c r="E270" s="283">
        <v>3390</v>
      </c>
      <c r="F270" s="291">
        <v>820</v>
      </c>
      <c r="H270" s="298"/>
    </row>
    <row r="271" spans="1:8" s="269" customFormat="1" ht="14.25" customHeight="1">
      <c r="A271" s="278" t="s">
        <v>1992</v>
      </c>
      <c r="B271" s="283" t="s">
        <v>2019</v>
      </c>
      <c r="C271" s="283">
        <v>3300</v>
      </c>
      <c r="D271" s="283">
        <v>3270</v>
      </c>
      <c r="E271" s="283">
        <v>3380</v>
      </c>
      <c r="F271" s="291">
        <v>750</v>
      </c>
      <c r="H271" s="298"/>
    </row>
    <row r="272" spans="1:8" s="269" customFormat="1" ht="14.25" customHeight="1">
      <c r="A272" s="278" t="s">
        <v>1992</v>
      </c>
      <c r="B272" s="283" t="s">
        <v>2020</v>
      </c>
      <c r="C272" s="303"/>
      <c r="D272" s="303"/>
      <c r="E272" s="303"/>
      <c r="F272" s="291">
        <v>740</v>
      </c>
      <c r="H272" s="298"/>
    </row>
    <row r="273" spans="1:8" s="269" customFormat="1" ht="14.25" customHeight="1">
      <c r="A273" s="278" t="s">
        <v>1992</v>
      </c>
      <c r="B273" s="283" t="s">
        <v>2021</v>
      </c>
      <c r="C273" s="283">
        <v>3130</v>
      </c>
      <c r="D273" s="283">
        <v>3100</v>
      </c>
      <c r="E273" s="283">
        <v>3230</v>
      </c>
      <c r="F273" s="291">
        <v>700</v>
      </c>
      <c r="H273" s="298"/>
    </row>
    <row r="274" spans="1:8" s="269" customFormat="1" ht="14.25" customHeight="1">
      <c r="A274" s="278" t="s">
        <v>1992</v>
      </c>
      <c r="B274" s="283" t="s">
        <v>2022</v>
      </c>
      <c r="C274" s="283">
        <v>3460</v>
      </c>
      <c r="D274" s="283">
        <v>3430</v>
      </c>
      <c r="E274" s="283">
        <v>3560</v>
      </c>
      <c r="F274" s="291">
        <v>690</v>
      </c>
      <c r="H274" s="298"/>
    </row>
    <row r="275" spans="1:8" s="269" customFormat="1" ht="14.25" customHeight="1">
      <c r="A275" s="278" t="s">
        <v>1992</v>
      </c>
      <c r="B275" s="283" t="s">
        <v>2023</v>
      </c>
      <c r="C275" s="283">
        <v>4040</v>
      </c>
      <c r="D275" s="283">
        <v>4020</v>
      </c>
      <c r="E275" s="283">
        <v>4160</v>
      </c>
      <c r="F275" s="291">
        <v>820</v>
      </c>
      <c r="H275" s="298"/>
    </row>
    <row r="276" spans="1:8" s="269" customFormat="1" ht="14.25" customHeight="1">
      <c r="A276" s="278" t="s">
        <v>1992</v>
      </c>
      <c r="B276" s="283" t="s">
        <v>2024</v>
      </c>
      <c r="C276" s="283">
        <v>3270</v>
      </c>
      <c r="D276" s="283">
        <v>3240</v>
      </c>
      <c r="E276" s="283">
        <v>3350</v>
      </c>
      <c r="F276" s="291">
        <v>680</v>
      </c>
      <c r="H276" s="298"/>
    </row>
    <row r="277" spans="1:8" s="269" customFormat="1" ht="14.25" customHeight="1">
      <c r="A277" s="278" t="s">
        <v>1992</v>
      </c>
      <c r="B277" s="283" t="s">
        <v>2025</v>
      </c>
      <c r="C277" s="283">
        <v>2930</v>
      </c>
      <c r="D277" s="283">
        <v>2900</v>
      </c>
      <c r="E277" s="283">
        <v>3000</v>
      </c>
      <c r="F277" s="291">
        <v>640</v>
      </c>
      <c r="H277" s="298"/>
    </row>
    <row r="278" spans="1:8" s="269" customFormat="1" ht="14.25" customHeight="1">
      <c r="A278" s="278" t="s">
        <v>1992</v>
      </c>
      <c r="B278" s="283" t="s">
        <v>2026</v>
      </c>
      <c r="C278" s="283">
        <v>4080</v>
      </c>
      <c r="D278" s="283">
        <v>4030</v>
      </c>
      <c r="E278" s="283">
        <v>4140</v>
      </c>
      <c r="F278" s="291">
        <v>850</v>
      </c>
      <c r="H278" s="298"/>
    </row>
    <row r="279" spans="1:8" s="269" customFormat="1" ht="14.25" customHeight="1">
      <c r="A279" s="278" t="s">
        <v>1992</v>
      </c>
      <c r="B279" s="283" t="s">
        <v>2027</v>
      </c>
      <c r="C279" s="283"/>
      <c r="D279" s="283"/>
      <c r="E279" s="283"/>
      <c r="F279" s="291">
        <v>760</v>
      </c>
      <c r="H279" s="298"/>
    </row>
    <row r="280" spans="1:8" s="269" customFormat="1" ht="14.25" customHeight="1">
      <c r="A280" s="278" t="s">
        <v>1992</v>
      </c>
      <c r="B280" s="283" t="s">
        <v>2028</v>
      </c>
      <c r="C280" s="283"/>
      <c r="D280" s="283"/>
      <c r="E280" s="283"/>
      <c r="F280" s="291">
        <v>760</v>
      </c>
      <c r="H280" s="298"/>
    </row>
    <row r="281" spans="1:8" s="269" customFormat="1" ht="14.25" customHeight="1">
      <c r="A281" s="278" t="s">
        <v>1992</v>
      </c>
      <c r="B281" s="283" t="s">
        <v>2029</v>
      </c>
      <c r="C281" s="283"/>
      <c r="D281" s="283"/>
      <c r="E281" s="283"/>
      <c r="F281" s="291">
        <v>780</v>
      </c>
      <c r="H281" s="298"/>
    </row>
    <row r="282" spans="1:8" s="269" customFormat="1" ht="14.25" customHeight="1">
      <c r="A282" s="278" t="s">
        <v>1992</v>
      </c>
      <c r="B282" s="283" t="s">
        <v>2030</v>
      </c>
      <c r="C282" s="283"/>
      <c r="D282" s="283"/>
      <c r="E282" s="283"/>
      <c r="F282" s="291">
        <v>730</v>
      </c>
      <c r="H282" s="298"/>
    </row>
    <row r="283" spans="1:8" s="269" customFormat="1" ht="14.25" customHeight="1">
      <c r="A283" s="278" t="s">
        <v>1992</v>
      </c>
      <c r="B283" s="283" t="s">
        <v>2031</v>
      </c>
      <c r="C283" s="283"/>
      <c r="D283" s="283"/>
      <c r="E283" s="283"/>
      <c r="F283" s="291">
        <v>770</v>
      </c>
      <c r="H283" s="298"/>
    </row>
    <row r="284" spans="1:8" s="269" customFormat="1" ht="14.25" customHeight="1">
      <c r="A284" s="278" t="s">
        <v>1992</v>
      </c>
      <c r="B284" s="283" t="s">
        <v>2032</v>
      </c>
      <c r="C284" s="283"/>
      <c r="D284" s="283"/>
      <c r="E284" s="283"/>
      <c r="F284" s="291">
        <v>640</v>
      </c>
      <c r="H284" s="298"/>
    </row>
    <row r="285" spans="1:8" s="269" customFormat="1" ht="14.25" customHeight="1">
      <c r="A285" s="278" t="s">
        <v>1992</v>
      </c>
      <c r="B285" s="283" t="s">
        <v>2033</v>
      </c>
      <c r="C285" s="283"/>
      <c r="D285" s="283"/>
      <c r="E285" s="283"/>
      <c r="F285" s="291">
        <v>640</v>
      </c>
      <c r="H285" s="298"/>
    </row>
    <row r="286" spans="1:8" s="269" customFormat="1" ht="14.25" customHeight="1">
      <c r="A286" s="278" t="s">
        <v>1992</v>
      </c>
      <c r="B286" s="283" t="s">
        <v>2034</v>
      </c>
      <c r="C286" s="283"/>
      <c r="D286" s="283"/>
      <c r="E286" s="283"/>
      <c r="F286" s="291">
        <v>850</v>
      </c>
      <c r="H286" s="298"/>
    </row>
    <row r="287" spans="1:8" s="269" customFormat="1" ht="14.25" customHeight="1">
      <c r="A287" s="278" t="s">
        <v>1992</v>
      </c>
      <c r="B287" s="283" t="s">
        <v>2035</v>
      </c>
      <c r="C287" s="283"/>
      <c r="D287" s="283"/>
      <c r="E287" s="283"/>
      <c r="F287" s="291">
        <v>760</v>
      </c>
      <c r="H287" s="298"/>
    </row>
    <row r="288" spans="1:8" s="269" customFormat="1" ht="14.25" customHeight="1">
      <c r="A288" s="278" t="s">
        <v>1992</v>
      </c>
      <c r="B288" s="283" t="s">
        <v>2036</v>
      </c>
      <c r="C288" s="283"/>
      <c r="D288" s="283"/>
      <c r="E288" s="283"/>
      <c r="F288" s="291">
        <v>830</v>
      </c>
      <c r="H288" s="298"/>
    </row>
    <row r="289" spans="1:8" s="269" customFormat="1" ht="14.25" customHeight="1">
      <c r="A289" s="278" t="s">
        <v>1992</v>
      </c>
      <c r="B289" s="289" t="s">
        <v>2037</v>
      </c>
      <c r="C289" s="289"/>
      <c r="D289" s="289"/>
      <c r="E289" s="289"/>
      <c r="F289" s="299">
        <v>680</v>
      </c>
      <c r="H289" s="298"/>
    </row>
    <row r="290" spans="1:8" s="269" customFormat="1" ht="14.25" customHeight="1">
      <c r="A290" s="278" t="s">
        <v>2038</v>
      </c>
      <c r="B290" s="279" t="s">
        <v>2039</v>
      </c>
      <c r="C290" s="279">
        <v>2770</v>
      </c>
      <c r="D290" s="279">
        <v>2740</v>
      </c>
      <c r="E290" s="279">
        <v>2720</v>
      </c>
      <c r="F290" s="304"/>
      <c r="H290" s="298"/>
    </row>
    <row r="291" spans="1:8" s="269" customFormat="1" ht="14.25" customHeight="1">
      <c r="A291" s="278" t="s">
        <v>2038</v>
      </c>
      <c r="B291" s="283" t="s">
        <v>2040</v>
      </c>
      <c r="C291" s="283">
        <v>2670</v>
      </c>
      <c r="D291" s="283">
        <v>2640</v>
      </c>
      <c r="E291" s="283">
        <v>2620</v>
      </c>
      <c r="F291" s="300"/>
      <c r="H291" s="298"/>
    </row>
    <row r="292" spans="1:8" s="269" customFormat="1" ht="14.25" customHeight="1">
      <c r="A292" s="278" t="s">
        <v>2038</v>
      </c>
      <c r="B292" s="283" t="s">
        <v>2041</v>
      </c>
      <c r="C292" s="283">
        <v>2180</v>
      </c>
      <c r="D292" s="283">
        <v>2140</v>
      </c>
      <c r="E292" s="283">
        <v>2120</v>
      </c>
      <c r="F292" s="291">
        <v>490</v>
      </c>
      <c r="H292" s="298"/>
    </row>
    <row r="293" spans="1:8" s="269" customFormat="1" ht="14.25" customHeight="1">
      <c r="A293" s="278" t="s">
        <v>2038</v>
      </c>
      <c r="B293" s="283" t="s">
        <v>2042</v>
      </c>
      <c r="C293" s="283"/>
      <c r="D293" s="283"/>
      <c r="E293" s="283"/>
      <c r="F293" s="291">
        <v>470</v>
      </c>
      <c r="H293" s="298"/>
    </row>
    <row r="294" spans="1:8" s="269" customFormat="1" ht="14.25" customHeight="1">
      <c r="A294" s="278" t="s">
        <v>2038</v>
      </c>
      <c r="B294" s="283" t="s">
        <v>2043</v>
      </c>
      <c r="C294" s="283">
        <v>2730</v>
      </c>
      <c r="D294" s="283">
        <v>2700</v>
      </c>
      <c r="E294" s="283">
        <v>2680</v>
      </c>
      <c r="F294" s="291">
        <v>490</v>
      </c>
      <c r="H294" s="298"/>
    </row>
    <row r="295" spans="1:8" s="269" customFormat="1" ht="14.25" customHeight="1">
      <c r="A295" s="278" t="s">
        <v>2038</v>
      </c>
      <c r="B295" s="283" t="s">
        <v>2044</v>
      </c>
      <c r="C295" s="283">
        <v>2380</v>
      </c>
      <c r="D295" s="283">
        <v>2350</v>
      </c>
      <c r="E295" s="283">
        <v>2330</v>
      </c>
      <c r="F295" s="291">
        <v>530</v>
      </c>
      <c r="H295" s="298"/>
    </row>
    <row r="296" spans="1:8" s="269" customFormat="1" ht="14.25" customHeight="1">
      <c r="A296" s="278" t="s">
        <v>2038</v>
      </c>
      <c r="B296" s="283" t="s">
        <v>2045</v>
      </c>
      <c r="C296" s="283">
        <v>2650</v>
      </c>
      <c r="D296" s="283">
        <v>2620</v>
      </c>
      <c r="E296" s="283">
        <v>2590</v>
      </c>
      <c r="F296" s="291">
        <v>590</v>
      </c>
      <c r="H296" s="298"/>
    </row>
    <row r="297" spans="1:8" s="269" customFormat="1" ht="14.25" customHeight="1">
      <c r="A297" s="278" t="s">
        <v>2038</v>
      </c>
      <c r="B297" s="283" t="s">
        <v>2046</v>
      </c>
      <c r="C297" s="283">
        <v>2700</v>
      </c>
      <c r="D297" s="283">
        <v>2670</v>
      </c>
      <c r="E297" s="283">
        <v>2650</v>
      </c>
      <c r="F297" s="291">
        <v>630</v>
      </c>
      <c r="H297" s="298"/>
    </row>
    <row r="298" spans="1:8" s="269" customFormat="1" ht="14.25" customHeight="1">
      <c r="A298" s="278" t="s">
        <v>2038</v>
      </c>
      <c r="B298" s="283" t="s">
        <v>2047</v>
      </c>
      <c r="C298" s="283">
        <v>2650</v>
      </c>
      <c r="D298" s="283">
        <v>2620</v>
      </c>
      <c r="E298" s="283">
        <v>2590</v>
      </c>
      <c r="F298" s="291">
        <v>640</v>
      </c>
      <c r="H298" s="298"/>
    </row>
    <row r="299" spans="1:8" s="269" customFormat="1" ht="14.25" customHeight="1">
      <c r="A299" s="278" t="s">
        <v>2038</v>
      </c>
      <c r="B299" s="283" t="s">
        <v>2048</v>
      </c>
      <c r="C299" s="283">
        <v>2500</v>
      </c>
      <c r="D299" s="283">
        <v>2480</v>
      </c>
      <c r="E299" s="283">
        <v>2460</v>
      </c>
      <c r="F299" s="300"/>
      <c r="H299" s="298"/>
    </row>
    <row r="300" spans="1:8" s="269" customFormat="1" ht="14.25" customHeight="1">
      <c r="A300" s="278" t="s">
        <v>2038</v>
      </c>
      <c r="B300" s="283" t="s">
        <v>2049</v>
      </c>
      <c r="C300" s="283">
        <v>2760</v>
      </c>
      <c r="D300" s="283">
        <v>2730</v>
      </c>
      <c r="E300" s="283">
        <v>2700</v>
      </c>
      <c r="F300" s="291">
        <v>630</v>
      </c>
      <c r="H300" s="298"/>
    </row>
    <row r="301" spans="1:8" s="269" customFormat="1" ht="14.25" customHeight="1">
      <c r="A301" s="278" t="s">
        <v>2038</v>
      </c>
      <c r="B301" s="283" t="s">
        <v>2050</v>
      </c>
      <c r="C301" s="283">
        <v>2510</v>
      </c>
      <c r="D301" s="283">
        <v>2480</v>
      </c>
      <c r="E301" s="283">
        <v>2460</v>
      </c>
      <c r="F301" s="300"/>
      <c r="H301" s="298"/>
    </row>
    <row r="302" spans="1:8" s="269" customFormat="1" ht="14.25" customHeight="1">
      <c r="A302" s="278" t="s">
        <v>2038</v>
      </c>
      <c r="B302" s="283" t="s">
        <v>2051</v>
      </c>
      <c r="C302" s="283">
        <v>2480</v>
      </c>
      <c r="D302" s="283">
        <v>2450</v>
      </c>
      <c r="E302" s="283">
        <v>2420</v>
      </c>
      <c r="F302" s="291">
        <v>600</v>
      </c>
      <c r="H302" s="298"/>
    </row>
    <row r="303" spans="1:8" s="269" customFormat="1" ht="14.25" customHeight="1">
      <c r="A303" s="278" t="s">
        <v>2038</v>
      </c>
      <c r="B303" s="283" t="s">
        <v>2052</v>
      </c>
      <c r="C303" s="283">
        <v>2270</v>
      </c>
      <c r="D303" s="283">
        <v>2240</v>
      </c>
      <c r="E303" s="283">
        <v>2210</v>
      </c>
      <c r="F303" s="291">
        <v>540</v>
      </c>
      <c r="H303" s="298"/>
    </row>
    <row r="304" spans="1:8" s="269" customFormat="1" ht="14.25" customHeight="1">
      <c r="A304" s="278" t="s">
        <v>2038</v>
      </c>
      <c r="B304" s="283" t="s">
        <v>2053</v>
      </c>
      <c r="C304" s="283">
        <v>2310</v>
      </c>
      <c r="D304" s="283">
        <v>2290</v>
      </c>
      <c r="E304" s="283">
        <v>2270</v>
      </c>
      <c r="F304" s="300"/>
      <c r="H304" s="298"/>
    </row>
    <row r="305" spans="1:8" s="269" customFormat="1" ht="14.25" customHeight="1">
      <c r="A305" s="278" t="s">
        <v>2038</v>
      </c>
      <c r="B305" s="283" t="s">
        <v>2054</v>
      </c>
      <c r="C305" s="283">
        <v>2490</v>
      </c>
      <c r="D305" s="283">
        <v>2470</v>
      </c>
      <c r="E305" s="283">
        <v>2440</v>
      </c>
      <c r="F305" s="291">
        <v>560</v>
      </c>
      <c r="H305" s="298"/>
    </row>
    <row r="306" spans="1:8" s="269" customFormat="1" ht="14.25" customHeight="1">
      <c r="A306" s="278" t="s">
        <v>2038</v>
      </c>
      <c r="B306" s="283" t="s">
        <v>2055</v>
      </c>
      <c r="C306" s="283">
        <v>2420</v>
      </c>
      <c r="D306" s="283">
        <v>2400</v>
      </c>
      <c r="E306" s="283">
        <v>2380</v>
      </c>
      <c r="F306" s="300"/>
      <c r="H306" s="298"/>
    </row>
    <row r="307" spans="1:8" s="269" customFormat="1" ht="14.25" customHeight="1">
      <c r="A307" s="278" t="s">
        <v>2038</v>
      </c>
      <c r="B307" s="283" t="s">
        <v>2056</v>
      </c>
      <c r="C307" s="283">
        <v>2770</v>
      </c>
      <c r="D307" s="283">
        <v>2740</v>
      </c>
      <c r="E307" s="283">
        <v>2710</v>
      </c>
      <c r="F307" s="291">
        <v>650</v>
      </c>
      <c r="H307" s="298"/>
    </row>
    <row r="308" spans="1:8" s="269" customFormat="1" ht="14.25" customHeight="1">
      <c r="A308" s="278" t="s">
        <v>2038</v>
      </c>
      <c r="B308" s="283" t="s">
        <v>2057</v>
      </c>
      <c r="C308" s="283">
        <v>2610</v>
      </c>
      <c r="D308" s="283">
        <v>2580</v>
      </c>
      <c r="E308" s="283">
        <v>2550</v>
      </c>
      <c r="F308" s="291">
        <v>580</v>
      </c>
      <c r="H308" s="298"/>
    </row>
    <row r="309" spans="1:8" s="269" customFormat="1" ht="14.25" customHeight="1">
      <c r="A309" s="278" t="s">
        <v>2038</v>
      </c>
      <c r="B309" s="283" t="s">
        <v>2058</v>
      </c>
      <c r="C309" s="283">
        <v>2690</v>
      </c>
      <c r="D309" s="283">
        <v>2670</v>
      </c>
      <c r="E309" s="283">
        <v>2650</v>
      </c>
      <c r="F309" s="300"/>
      <c r="H309" s="298"/>
    </row>
    <row r="310" spans="1:8" s="269" customFormat="1" ht="14.25" customHeight="1">
      <c r="A310" s="278" t="s">
        <v>2038</v>
      </c>
      <c r="B310" s="283" t="s">
        <v>2059</v>
      </c>
      <c r="C310" s="283">
        <v>2360</v>
      </c>
      <c r="D310" s="283">
        <v>2330</v>
      </c>
      <c r="E310" s="283">
        <v>2310</v>
      </c>
      <c r="F310" s="291">
        <v>560</v>
      </c>
      <c r="H310" s="298"/>
    </row>
    <row r="311" spans="1:8" s="269" customFormat="1" ht="14.25" customHeight="1">
      <c r="A311" s="278" t="s">
        <v>2038</v>
      </c>
      <c r="B311" s="283" t="s">
        <v>2060</v>
      </c>
      <c r="C311" s="283">
        <v>1970</v>
      </c>
      <c r="D311" s="283">
        <v>1950</v>
      </c>
      <c r="E311" s="283">
        <v>1920</v>
      </c>
      <c r="F311" s="291">
        <v>470</v>
      </c>
      <c r="H311" s="298"/>
    </row>
    <row r="312" spans="1:8" s="269" customFormat="1" ht="14.25" customHeight="1">
      <c r="A312" s="278" t="s">
        <v>2038</v>
      </c>
      <c r="B312" s="283" t="s">
        <v>2061</v>
      </c>
      <c r="C312" s="283">
        <v>2230</v>
      </c>
      <c r="D312" s="283">
        <v>2200</v>
      </c>
      <c r="E312" s="283">
        <v>2170</v>
      </c>
      <c r="F312" s="291">
        <v>460</v>
      </c>
      <c r="H312" s="298"/>
    </row>
    <row r="313" spans="1:8" s="269" customFormat="1" ht="14.25" customHeight="1">
      <c r="A313" s="278" t="s">
        <v>2038</v>
      </c>
      <c r="B313" s="283" t="s">
        <v>2062</v>
      </c>
      <c r="C313" s="283">
        <v>2770</v>
      </c>
      <c r="D313" s="283">
        <v>2740</v>
      </c>
      <c r="E313" s="283">
        <v>2710</v>
      </c>
      <c r="F313" s="291">
        <v>610</v>
      </c>
      <c r="H313" s="298"/>
    </row>
    <row r="314" spans="1:8" s="269" customFormat="1" ht="14.25" customHeight="1">
      <c r="A314" s="278" t="s">
        <v>2038</v>
      </c>
      <c r="B314" s="283" t="s">
        <v>2063</v>
      </c>
      <c r="C314" s="283"/>
      <c r="D314" s="283"/>
      <c r="E314" s="283"/>
      <c r="F314" s="291">
        <v>490</v>
      </c>
      <c r="H314" s="298"/>
    </row>
    <row r="315" spans="1:8" s="269" customFormat="1" ht="14.25" customHeight="1">
      <c r="A315" s="278" t="s">
        <v>2038</v>
      </c>
      <c r="B315" s="283" t="s">
        <v>2064</v>
      </c>
      <c r="C315" s="283"/>
      <c r="D315" s="283"/>
      <c r="E315" s="283"/>
      <c r="F315" s="291">
        <v>520</v>
      </c>
      <c r="H315" s="298"/>
    </row>
    <row r="316" spans="1:8" s="269" customFormat="1" ht="14.25" customHeight="1">
      <c r="A316" s="278" t="s">
        <v>2038</v>
      </c>
      <c r="B316" s="289" t="s">
        <v>2065</v>
      </c>
      <c r="C316" s="289"/>
      <c r="D316" s="289"/>
      <c r="E316" s="289"/>
      <c r="F316" s="299">
        <v>460</v>
      </c>
      <c r="H316" s="298"/>
    </row>
    <row r="317" spans="1:8" s="269" customFormat="1" ht="14.25" customHeight="1">
      <c r="A317" s="278" t="s">
        <v>2066</v>
      </c>
      <c r="B317" s="279" t="s">
        <v>2067</v>
      </c>
      <c r="C317" s="279">
        <v>1200</v>
      </c>
      <c r="D317" s="279">
        <v>1180</v>
      </c>
      <c r="E317" s="279">
        <v>1160</v>
      </c>
      <c r="F317" s="280">
        <v>370</v>
      </c>
      <c r="H317" s="271"/>
    </row>
    <row r="318" spans="1:8" s="269" customFormat="1" ht="14.25" customHeight="1">
      <c r="A318" s="278" t="s">
        <v>2066</v>
      </c>
      <c r="B318" s="283" t="s">
        <v>2068</v>
      </c>
      <c r="C318" s="283">
        <v>1090</v>
      </c>
      <c r="D318" s="283">
        <v>1060</v>
      </c>
      <c r="E318" s="283">
        <v>1040</v>
      </c>
      <c r="F318" s="300"/>
      <c r="H318" s="271"/>
    </row>
    <row r="319" spans="1:8" s="269" customFormat="1" ht="14.25" customHeight="1">
      <c r="A319" s="278" t="s">
        <v>2066</v>
      </c>
      <c r="B319" s="283" t="s">
        <v>2069</v>
      </c>
      <c r="C319" s="283">
        <v>1520</v>
      </c>
      <c r="D319" s="283">
        <v>1470</v>
      </c>
      <c r="E319" s="283">
        <v>1440</v>
      </c>
      <c r="F319" s="291">
        <v>370</v>
      </c>
      <c r="H319" s="271"/>
    </row>
    <row r="320" spans="1:8" s="269" customFormat="1" ht="14.25" customHeight="1">
      <c r="A320" s="278" t="s">
        <v>2066</v>
      </c>
      <c r="B320" s="283" t="s">
        <v>2070</v>
      </c>
      <c r="C320" s="283">
        <v>1360</v>
      </c>
      <c r="D320" s="283">
        <v>1300</v>
      </c>
      <c r="E320" s="283">
        <v>1270</v>
      </c>
      <c r="F320" s="300"/>
      <c r="H320" s="271"/>
    </row>
    <row r="321" spans="1:8" s="269" customFormat="1" ht="14.25" customHeight="1">
      <c r="A321" s="278" t="s">
        <v>2066</v>
      </c>
      <c r="B321" s="283" t="s">
        <v>2071</v>
      </c>
      <c r="C321" s="283">
        <v>1750</v>
      </c>
      <c r="D321" s="283">
        <v>1690</v>
      </c>
      <c r="E321" s="283">
        <v>1660</v>
      </c>
      <c r="F321" s="300"/>
      <c r="H321" s="271"/>
    </row>
    <row r="322" spans="1:8" s="269" customFormat="1" ht="14.25" customHeight="1">
      <c r="A322" s="278" t="s">
        <v>2066</v>
      </c>
      <c r="B322" s="283" t="s">
        <v>2072</v>
      </c>
      <c r="C322" s="283">
        <v>1650</v>
      </c>
      <c r="D322" s="283">
        <v>1610</v>
      </c>
      <c r="E322" s="283">
        <v>1580</v>
      </c>
      <c r="F322" s="291">
        <v>500</v>
      </c>
      <c r="H322" s="271"/>
    </row>
    <row r="323" spans="1:8" s="269" customFormat="1" ht="14.25" customHeight="1">
      <c r="A323" s="278" t="s">
        <v>2066</v>
      </c>
      <c r="B323" s="283" t="s">
        <v>2073</v>
      </c>
      <c r="C323" s="283">
        <v>1780</v>
      </c>
      <c r="D323" s="283">
        <v>1740</v>
      </c>
      <c r="E323" s="283">
        <v>1720</v>
      </c>
      <c r="F323" s="300"/>
      <c r="H323" s="271"/>
    </row>
    <row r="324" spans="1:8" s="269" customFormat="1" ht="14.25" customHeight="1">
      <c r="A324" s="278" t="s">
        <v>2066</v>
      </c>
      <c r="B324" s="283" t="s">
        <v>2074</v>
      </c>
      <c r="C324" s="283">
        <v>1650</v>
      </c>
      <c r="D324" s="283">
        <v>1610</v>
      </c>
      <c r="E324" s="283">
        <v>1580</v>
      </c>
      <c r="F324" s="300"/>
      <c r="H324" s="271"/>
    </row>
    <row r="325" spans="1:8" s="269" customFormat="1" ht="14.25" customHeight="1">
      <c r="A325" s="278" t="s">
        <v>2066</v>
      </c>
      <c r="B325" s="283" t="s">
        <v>2075</v>
      </c>
      <c r="C325" s="283">
        <v>1330</v>
      </c>
      <c r="D325" s="283">
        <v>1270</v>
      </c>
      <c r="E325" s="283">
        <v>1240</v>
      </c>
      <c r="F325" s="291">
        <v>430</v>
      </c>
      <c r="H325" s="271"/>
    </row>
    <row r="326" spans="1:8" s="269" customFormat="1" ht="14.25" customHeight="1">
      <c r="A326" s="278" t="s">
        <v>2066</v>
      </c>
      <c r="B326" s="283" t="s">
        <v>2076</v>
      </c>
      <c r="C326" s="283">
        <v>1470</v>
      </c>
      <c r="D326" s="283">
        <v>1430</v>
      </c>
      <c r="E326" s="283">
        <v>1400</v>
      </c>
      <c r="F326" s="300"/>
      <c r="H326" s="271"/>
    </row>
    <row r="327" spans="1:8" s="269" customFormat="1" ht="14.25" customHeight="1">
      <c r="A327" s="278" t="s">
        <v>2066</v>
      </c>
      <c r="B327" s="283" t="s">
        <v>2077</v>
      </c>
      <c r="C327" s="283">
        <v>1420</v>
      </c>
      <c r="D327" s="283">
        <v>1380</v>
      </c>
      <c r="E327" s="283">
        <v>1360</v>
      </c>
      <c r="F327" s="291">
        <v>420</v>
      </c>
      <c r="H327" s="271"/>
    </row>
    <row r="328" spans="1:8" s="269" customFormat="1" ht="14.25" customHeight="1">
      <c r="A328" s="278" t="s">
        <v>2066</v>
      </c>
      <c r="B328" s="283" t="s">
        <v>2078</v>
      </c>
      <c r="C328" s="283">
        <v>1400</v>
      </c>
      <c r="D328" s="283">
        <v>1360</v>
      </c>
      <c r="E328" s="283">
        <v>1330</v>
      </c>
      <c r="F328" s="291">
        <v>460</v>
      </c>
      <c r="H328" s="271"/>
    </row>
    <row r="329" spans="1:8" s="269" customFormat="1" ht="14.25" customHeight="1">
      <c r="A329" s="278" t="s">
        <v>2066</v>
      </c>
      <c r="B329" s="283" t="s">
        <v>2079</v>
      </c>
      <c r="C329" s="283">
        <v>1640</v>
      </c>
      <c r="D329" s="283">
        <v>1610</v>
      </c>
      <c r="E329" s="283">
        <v>1580</v>
      </c>
      <c r="F329" s="291">
        <v>410</v>
      </c>
      <c r="H329" s="271"/>
    </row>
    <row r="330" spans="1:8" s="269" customFormat="1" ht="14.25" customHeight="1">
      <c r="A330" s="278" t="s">
        <v>2066</v>
      </c>
      <c r="B330" s="283" t="s">
        <v>2080</v>
      </c>
      <c r="C330" s="283">
        <v>1260</v>
      </c>
      <c r="D330" s="283">
        <v>1220</v>
      </c>
      <c r="E330" s="283">
        <v>1200</v>
      </c>
      <c r="F330" s="300"/>
      <c r="H330" s="271"/>
    </row>
    <row r="331" spans="1:8" s="269" customFormat="1" ht="14.25" customHeight="1">
      <c r="A331" s="278" t="s">
        <v>2066</v>
      </c>
      <c r="B331" s="283" t="s">
        <v>2081</v>
      </c>
      <c r="C331" s="283">
        <v>1620</v>
      </c>
      <c r="D331" s="283">
        <v>1560</v>
      </c>
      <c r="E331" s="283">
        <v>1530</v>
      </c>
      <c r="F331" s="291">
        <v>490</v>
      </c>
      <c r="H331" s="271"/>
    </row>
    <row r="332" spans="1:8" s="269" customFormat="1" ht="14.25" customHeight="1">
      <c r="A332" s="278" t="s">
        <v>2066</v>
      </c>
      <c r="B332" s="283" t="s">
        <v>2082</v>
      </c>
      <c r="C332" s="283">
        <v>1520</v>
      </c>
      <c r="D332" s="283">
        <v>1470</v>
      </c>
      <c r="E332" s="283">
        <v>1440</v>
      </c>
      <c r="F332" s="291">
        <v>440</v>
      </c>
      <c r="H332" s="271"/>
    </row>
    <row r="333" spans="1:8" s="269" customFormat="1" ht="14.25" customHeight="1">
      <c r="A333" s="278" t="s">
        <v>2066</v>
      </c>
      <c r="B333" s="283" t="s">
        <v>2083</v>
      </c>
      <c r="C333" s="283">
        <v>1370</v>
      </c>
      <c r="D333" s="283">
        <v>1320</v>
      </c>
      <c r="E333" s="283">
        <v>1300</v>
      </c>
      <c r="F333" s="291">
        <v>460</v>
      </c>
      <c r="H333" s="271"/>
    </row>
    <row r="334" spans="1:8" s="269" customFormat="1" ht="14.25" customHeight="1">
      <c r="A334" s="278" t="s">
        <v>2066</v>
      </c>
      <c r="B334" s="283" t="s">
        <v>2084</v>
      </c>
      <c r="C334" s="283">
        <v>1410</v>
      </c>
      <c r="D334" s="283">
        <v>1340</v>
      </c>
      <c r="E334" s="283">
        <v>1310</v>
      </c>
      <c r="F334" s="291">
        <v>410</v>
      </c>
      <c r="H334" s="271"/>
    </row>
    <row r="335" spans="1:8" s="269" customFormat="1" ht="14.25" customHeight="1">
      <c r="A335" s="278" t="s">
        <v>2066</v>
      </c>
      <c r="B335" s="283" t="s">
        <v>2085</v>
      </c>
      <c r="C335" s="283">
        <v>1260</v>
      </c>
      <c r="D335" s="283">
        <v>1220</v>
      </c>
      <c r="E335" s="283">
        <v>1200</v>
      </c>
      <c r="F335" s="300"/>
      <c r="H335" s="271"/>
    </row>
    <row r="336" spans="1:8" s="269" customFormat="1" ht="14.25" customHeight="1">
      <c r="A336" s="278" t="s">
        <v>2066</v>
      </c>
      <c r="B336" s="283" t="s">
        <v>2086</v>
      </c>
      <c r="C336" s="283">
        <v>1160</v>
      </c>
      <c r="D336" s="283">
        <v>1140</v>
      </c>
      <c r="E336" s="283">
        <v>1120</v>
      </c>
      <c r="F336" s="291">
        <v>430</v>
      </c>
      <c r="H336" s="271"/>
    </row>
    <row r="337" spans="1:8" s="269" customFormat="1" ht="14.25" customHeight="1">
      <c r="A337" s="278" t="s">
        <v>2066</v>
      </c>
      <c r="B337" s="289" t="s">
        <v>2087</v>
      </c>
      <c r="C337" s="289"/>
      <c r="D337" s="289"/>
      <c r="E337" s="289"/>
      <c r="F337" s="299">
        <v>380</v>
      </c>
      <c r="H337" s="271"/>
    </row>
    <row r="338" spans="1:8" s="269" customFormat="1" ht="14.25" customHeight="1">
      <c r="A338" s="278" t="s">
        <v>2088</v>
      </c>
      <c r="B338" s="279" t="s">
        <v>2089</v>
      </c>
      <c r="C338" s="279">
        <v>880</v>
      </c>
      <c r="D338" s="279">
        <v>850</v>
      </c>
      <c r="E338" s="279">
        <v>830</v>
      </c>
      <c r="F338" s="304"/>
      <c r="H338" s="271"/>
    </row>
    <row r="339" spans="1:8" s="269" customFormat="1" ht="14.25" customHeight="1">
      <c r="A339" s="278" t="s">
        <v>2088</v>
      </c>
      <c r="B339" s="283" t="s">
        <v>2090</v>
      </c>
      <c r="C339" s="283">
        <v>830</v>
      </c>
      <c r="D339" s="283">
        <v>800</v>
      </c>
      <c r="E339" s="283">
        <v>780</v>
      </c>
      <c r="F339" s="300"/>
      <c r="H339" s="271"/>
    </row>
    <row r="340" spans="1:8" s="269" customFormat="1" ht="14.25" customHeight="1">
      <c r="A340" s="278" t="s">
        <v>2088</v>
      </c>
      <c r="B340" s="283" t="s">
        <v>2091</v>
      </c>
      <c r="C340" s="283">
        <v>980</v>
      </c>
      <c r="D340" s="283">
        <v>950</v>
      </c>
      <c r="E340" s="283">
        <v>920</v>
      </c>
      <c r="F340" s="300"/>
      <c r="H340" s="271"/>
    </row>
    <row r="341" spans="1:8" s="269" customFormat="1" ht="14.25" customHeight="1">
      <c r="A341" s="278" t="s">
        <v>2088</v>
      </c>
      <c r="B341" s="283" t="s">
        <v>2092</v>
      </c>
      <c r="C341" s="283">
        <v>760</v>
      </c>
      <c r="D341" s="283">
        <v>720</v>
      </c>
      <c r="E341" s="283">
        <v>690</v>
      </c>
      <c r="F341" s="291">
        <v>350</v>
      </c>
      <c r="H341" s="271"/>
    </row>
    <row r="342" spans="1:8" s="269" customFormat="1" ht="14.25" customHeight="1">
      <c r="A342" s="278" t="s">
        <v>2088</v>
      </c>
      <c r="B342" s="283" t="s">
        <v>2093</v>
      </c>
      <c r="C342" s="283">
        <v>910</v>
      </c>
      <c r="D342" s="283">
        <v>870</v>
      </c>
      <c r="E342" s="283">
        <v>850</v>
      </c>
      <c r="F342" s="291">
        <v>370</v>
      </c>
      <c r="H342" s="271"/>
    </row>
    <row r="343" spans="1:8" s="269" customFormat="1" ht="14.25" customHeight="1">
      <c r="A343" s="278" t="s">
        <v>2088</v>
      </c>
      <c r="B343" s="283" t="s">
        <v>2094</v>
      </c>
      <c r="C343" s="283">
        <v>800</v>
      </c>
      <c r="D343" s="283">
        <v>760</v>
      </c>
      <c r="E343" s="283">
        <v>730</v>
      </c>
      <c r="F343" s="291">
        <v>340</v>
      </c>
      <c r="H343" s="271"/>
    </row>
    <row r="344" spans="1:8" s="269" customFormat="1" ht="14.25" customHeight="1">
      <c r="A344" s="278" t="s">
        <v>2088</v>
      </c>
      <c r="B344" s="289" t="s">
        <v>2095</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2134</v>
      </c>
      <c r="B1" s="226" t="s">
        <v>1745</v>
      </c>
      <c r="C1" s="226" t="s">
        <v>529</v>
      </c>
      <c r="D1" s="226" t="s">
        <v>1770</v>
      </c>
      <c r="E1" s="226" t="s">
        <v>1791</v>
      </c>
      <c r="F1" s="226" t="s">
        <v>1819</v>
      </c>
      <c r="G1" s="226" t="s">
        <v>1854</v>
      </c>
      <c r="H1" s="226" t="s">
        <v>1903</v>
      </c>
      <c r="I1" s="226" t="s">
        <v>1952</v>
      </c>
      <c r="J1" s="226" t="s">
        <v>1992</v>
      </c>
      <c r="K1" s="226" t="s">
        <v>2038</v>
      </c>
      <c r="L1" s="226" t="s">
        <v>2066</v>
      </c>
      <c r="M1" s="261" t="s">
        <v>2088</v>
      </c>
    </row>
    <row r="2" spans="1:13" ht="19.5" customHeight="1">
      <c r="A2" s="227" t="s">
        <v>1740</v>
      </c>
      <c r="B2" s="228">
        <v>3.5</v>
      </c>
      <c r="C2" s="228">
        <v>3.5</v>
      </c>
      <c r="D2" s="229">
        <v>2.5</v>
      </c>
      <c r="E2" s="229">
        <v>2.5</v>
      </c>
      <c r="F2" s="229">
        <v>2.5</v>
      </c>
      <c r="G2" s="229">
        <v>2.5</v>
      </c>
      <c r="H2" s="229">
        <v>2.5</v>
      </c>
      <c r="I2" s="228">
        <v>2</v>
      </c>
      <c r="J2" s="228">
        <v>2</v>
      </c>
      <c r="K2" s="228">
        <v>2</v>
      </c>
      <c r="L2" s="228">
        <v>2</v>
      </c>
      <c r="M2" s="262">
        <v>2</v>
      </c>
    </row>
    <row r="3" spans="1:13" ht="19.5" customHeight="1">
      <c r="A3" s="230" t="s">
        <v>1741</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1742</v>
      </c>
      <c r="B5" s="234">
        <v>1.5</v>
      </c>
      <c r="C5" s="234">
        <v>1.5</v>
      </c>
      <c r="D5" s="234">
        <v>1.5</v>
      </c>
      <c r="E5" s="234">
        <v>1.5</v>
      </c>
      <c r="F5" s="234">
        <v>1.5</v>
      </c>
      <c r="G5" s="235">
        <v>1.2</v>
      </c>
      <c r="H5" s="235">
        <v>1.2</v>
      </c>
      <c r="I5" s="235">
        <v>1</v>
      </c>
      <c r="J5" s="235">
        <v>1</v>
      </c>
      <c r="K5" s="235">
        <v>1</v>
      </c>
      <c r="L5" s="235">
        <v>1</v>
      </c>
      <c r="M5" s="264">
        <v>1</v>
      </c>
    </row>
    <row r="6" spans="1:13" ht="19.5" customHeight="1">
      <c r="A6" s="236" t="s">
        <v>2135</v>
      </c>
      <c r="B6" s="237">
        <v>80</v>
      </c>
      <c r="C6" s="237">
        <v>80</v>
      </c>
      <c r="D6" s="237">
        <v>65</v>
      </c>
      <c r="E6" s="237">
        <v>65</v>
      </c>
      <c r="F6" s="237">
        <v>65</v>
      </c>
      <c r="G6" s="237">
        <v>65</v>
      </c>
      <c r="H6" s="237">
        <v>65</v>
      </c>
      <c r="I6" s="237">
        <v>50</v>
      </c>
      <c r="J6" s="237">
        <v>50</v>
      </c>
      <c r="K6" s="237">
        <v>50</v>
      </c>
      <c r="L6" s="237">
        <v>50</v>
      </c>
      <c r="M6" s="265">
        <v>50</v>
      </c>
    </row>
    <row r="7" spans="1:13" ht="19.5" customHeight="1">
      <c r="A7" s="238" t="s">
        <v>2136</v>
      </c>
      <c r="B7" s="239">
        <v>70</v>
      </c>
      <c r="C7" s="239">
        <v>70</v>
      </c>
      <c r="D7" s="239">
        <v>55</v>
      </c>
      <c r="E7" s="239">
        <v>55</v>
      </c>
      <c r="F7" s="239">
        <v>55</v>
      </c>
      <c r="G7" s="239">
        <v>55</v>
      </c>
      <c r="H7" s="239">
        <v>55</v>
      </c>
      <c r="I7" s="239">
        <v>40</v>
      </c>
      <c r="J7" s="239">
        <v>40</v>
      </c>
      <c r="K7" s="239">
        <v>40</v>
      </c>
      <c r="L7" s="239">
        <v>40</v>
      </c>
      <c r="M7" s="266">
        <v>40</v>
      </c>
    </row>
    <row r="8" spans="1:13" ht="19.5" customHeight="1">
      <c r="A8" s="238" t="s">
        <v>2137</v>
      </c>
      <c r="B8" s="239">
        <v>20</v>
      </c>
      <c r="C8" s="239">
        <v>20</v>
      </c>
      <c r="D8" s="239">
        <v>15</v>
      </c>
      <c r="E8" s="239">
        <v>15</v>
      </c>
      <c r="F8" s="239">
        <v>15</v>
      </c>
      <c r="G8" s="239">
        <v>15</v>
      </c>
      <c r="H8" s="239">
        <v>15</v>
      </c>
      <c r="I8" s="239">
        <v>10</v>
      </c>
      <c r="J8" s="239">
        <v>10</v>
      </c>
      <c r="K8" s="239">
        <v>10</v>
      </c>
      <c r="L8" s="239">
        <v>10</v>
      </c>
      <c r="M8" s="266">
        <v>10</v>
      </c>
    </row>
    <row r="9" spans="1:13" ht="19.5" customHeight="1">
      <c r="A9" s="238" t="s">
        <v>2138</v>
      </c>
      <c r="B9" s="239">
        <v>30</v>
      </c>
      <c r="C9" s="239">
        <v>30</v>
      </c>
      <c r="D9" s="239">
        <v>25</v>
      </c>
      <c r="E9" s="239">
        <v>25</v>
      </c>
      <c r="F9" s="239">
        <v>25</v>
      </c>
      <c r="G9" s="239">
        <v>25</v>
      </c>
      <c r="H9" s="239">
        <v>25</v>
      </c>
      <c r="I9" s="239">
        <v>20</v>
      </c>
      <c r="J9" s="239">
        <v>20</v>
      </c>
      <c r="K9" s="239">
        <v>20</v>
      </c>
      <c r="L9" s="239">
        <v>20</v>
      </c>
      <c r="M9" s="266">
        <v>20</v>
      </c>
    </row>
    <row r="10" spans="1:13" ht="19.5" customHeight="1">
      <c r="A10" s="238" t="s">
        <v>2139</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2140</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2141</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2142</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2143</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2144</v>
      </c>
      <c r="B16" s="243"/>
      <c r="C16" s="244"/>
      <c r="D16" s="244"/>
      <c r="E16" s="243"/>
      <c r="F16" s="244"/>
      <c r="G16" s="244"/>
    </row>
    <row r="17" spans="1:9" ht="19.5" customHeight="1">
      <c r="A17" s="239" t="s">
        <v>2145</v>
      </c>
      <c r="B17" s="245" t="s">
        <v>2146</v>
      </c>
      <c r="C17" s="245" t="s">
        <v>2147</v>
      </c>
      <c r="D17" s="246"/>
      <c r="E17" s="239" t="s">
        <v>2148</v>
      </c>
      <c r="F17" s="247"/>
      <c r="G17" s="247"/>
    </row>
    <row r="18" spans="1:9" s="222" customFormat="1" ht="19.5" customHeight="1">
      <c r="A18" s="3687" t="s">
        <v>1740</v>
      </c>
      <c r="B18" s="248" t="s">
        <v>2149</v>
      </c>
      <c r="C18" s="249" t="s">
        <v>2150</v>
      </c>
      <c r="D18" s="250"/>
      <c r="E18" s="248">
        <v>1</v>
      </c>
      <c r="F18" s="251" t="s">
        <v>2151</v>
      </c>
      <c r="G18" s="252"/>
      <c r="H18" s="223"/>
      <c r="I18" s="223"/>
    </row>
    <row r="19" spans="1:9" s="222" customFormat="1" ht="19.5" customHeight="1">
      <c r="A19" s="3687"/>
      <c r="B19" s="3687" t="s">
        <v>2152</v>
      </c>
      <c r="C19" s="249" t="s">
        <v>2153</v>
      </c>
      <c r="D19" s="250"/>
      <c r="E19" s="248">
        <v>0.9</v>
      </c>
      <c r="F19" s="251" t="s">
        <v>2154</v>
      </c>
      <c r="G19" s="252"/>
      <c r="H19" s="223"/>
      <c r="I19" s="223"/>
    </row>
    <row r="20" spans="1:9" s="222" customFormat="1" ht="19.5" customHeight="1">
      <c r="A20" s="3687"/>
      <c r="B20" s="3687"/>
      <c r="C20" s="249" t="s">
        <v>2155</v>
      </c>
      <c r="D20" s="250"/>
      <c r="E20" s="248">
        <v>1.1000000000000001</v>
      </c>
      <c r="F20" s="251" t="s">
        <v>2156</v>
      </c>
      <c r="G20" s="252"/>
      <c r="H20" s="223"/>
      <c r="I20" s="223"/>
    </row>
    <row r="21" spans="1:9" s="222" customFormat="1" ht="19.5" customHeight="1">
      <c r="A21" s="3687"/>
      <c r="B21" s="3687"/>
      <c r="C21" s="249" t="s">
        <v>2157</v>
      </c>
      <c r="D21" s="250"/>
      <c r="E21" s="248">
        <v>0.8</v>
      </c>
      <c r="F21" s="251" t="s">
        <v>2158</v>
      </c>
      <c r="G21" s="252"/>
      <c r="H21" s="223"/>
      <c r="I21" s="223"/>
    </row>
    <row r="22" spans="1:9" s="222" customFormat="1" ht="19.5" customHeight="1">
      <c r="A22" s="3687"/>
      <c r="B22" s="3687"/>
      <c r="C22" s="249" t="s">
        <v>2159</v>
      </c>
      <c r="D22" s="250"/>
      <c r="E22" s="248">
        <v>0.5</v>
      </c>
      <c r="F22" s="251"/>
      <c r="G22" s="252"/>
      <c r="H22" s="223"/>
      <c r="I22" s="223"/>
    </row>
    <row r="23" spans="1:9" s="222" customFormat="1" ht="19.5" customHeight="1">
      <c r="A23" s="3687" t="s">
        <v>1741</v>
      </c>
      <c r="B23" s="248" t="s">
        <v>2149</v>
      </c>
      <c r="C23" s="249" t="s">
        <v>2160</v>
      </c>
      <c r="D23" s="250"/>
      <c r="E23" s="248">
        <v>1</v>
      </c>
      <c r="F23" s="251" t="s">
        <v>2161</v>
      </c>
      <c r="G23" s="252"/>
      <c r="H23" s="223"/>
      <c r="I23" s="223"/>
    </row>
    <row r="24" spans="1:9" s="222" customFormat="1" ht="19.5" customHeight="1">
      <c r="A24" s="3687"/>
      <c r="B24" s="3687" t="s">
        <v>2152</v>
      </c>
      <c r="C24" s="249" t="s">
        <v>2162</v>
      </c>
      <c r="D24" s="250"/>
      <c r="E24" s="248">
        <v>0.5</v>
      </c>
      <c r="F24" s="251"/>
      <c r="G24" s="252"/>
      <c r="H24" s="223"/>
      <c r="I24" s="223"/>
    </row>
    <row r="25" spans="1:9" s="222" customFormat="1" ht="19.5" customHeight="1">
      <c r="A25" s="3687"/>
      <c r="B25" s="3687"/>
      <c r="C25" s="249" t="s">
        <v>2163</v>
      </c>
      <c r="D25" s="250"/>
      <c r="E25" s="248">
        <v>1.1000000000000001</v>
      </c>
      <c r="F25" s="251"/>
      <c r="G25" s="252"/>
      <c r="H25" s="223"/>
      <c r="I25" s="223"/>
    </row>
    <row r="26" spans="1:9" s="222" customFormat="1" ht="19.5" customHeight="1">
      <c r="A26" s="3687"/>
      <c r="B26" s="3687"/>
      <c r="C26" s="249" t="s">
        <v>2164</v>
      </c>
      <c r="D26" s="250"/>
      <c r="E26" s="248">
        <v>1.1000000000000001</v>
      </c>
      <c r="F26" s="251"/>
      <c r="G26" s="252"/>
      <c r="H26" s="223"/>
      <c r="I26" s="223"/>
    </row>
    <row r="27" spans="1:9" s="222" customFormat="1" ht="19.5" customHeight="1">
      <c r="A27" s="3687"/>
      <c r="B27" s="3687"/>
      <c r="C27" s="249" t="s">
        <v>2165</v>
      </c>
      <c r="D27" s="250"/>
      <c r="E27" s="248">
        <v>0.9</v>
      </c>
      <c r="F27" s="251" t="s">
        <v>2166</v>
      </c>
      <c r="G27" s="252"/>
      <c r="H27" s="223"/>
      <c r="I27" s="223"/>
    </row>
    <row r="28" spans="1:9" s="222" customFormat="1" ht="19.5" customHeight="1">
      <c r="A28" s="3687"/>
      <c r="B28" s="3687"/>
      <c r="C28" s="249" t="s">
        <v>2167</v>
      </c>
      <c r="D28" s="250"/>
      <c r="E28" s="248">
        <v>0.9</v>
      </c>
      <c r="F28" s="251" t="s">
        <v>2168</v>
      </c>
      <c r="G28" s="252"/>
      <c r="H28" s="223"/>
      <c r="I28" s="223"/>
    </row>
    <row r="29" spans="1:9" s="222" customFormat="1" ht="19.5" customHeight="1">
      <c r="A29" s="3687"/>
      <c r="B29" s="3687"/>
      <c r="C29" s="249" t="s">
        <v>2169</v>
      </c>
      <c r="D29" s="250"/>
      <c r="E29" s="248">
        <v>0.9</v>
      </c>
      <c r="F29" s="251" t="s">
        <v>2170</v>
      </c>
      <c r="G29" s="252"/>
      <c r="H29" s="223"/>
      <c r="I29" s="223"/>
    </row>
    <row r="30" spans="1:9" s="222" customFormat="1" ht="19.5" customHeight="1">
      <c r="A30" s="3687"/>
      <c r="B30" s="3687"/>
      <c r="C30" s="249" t="s">
        <v>2171</v>
      </c>
      <c r="D30" s="250"/>
      <c r="E30" s="248">
        <v>0.9</v>
      </c>
      <c r="F30" s="251" t="s">
        <v>2172</v>
      </c>
      <c r="G30" s="252"/>
      <c r="H30" s="223"/>
      <c r="I30" s="223"/>
    </row>
    <row r="31" spans="1:9" s="222" customFormat="1" ht="19.5" customHeight="1">
      <c r="A31" s="3687"/>
      <c r="B31" s="3687"/>
      <c r="C31" s="249" t="s">
        <v>2173</v>
      </c>
      <c r="D31" s="250"/>
      <c r="E31" s="248">
        <v>0.8</v>
      </c>
      <c r="F31" s="251" t="s">
        <v>2174</v>
      </c>
      <c r="G31" s="252"/>
      <c r="H31" s="223"/>
      <c r="I31" s="223"/>
    </row>
    <row r="32" spans="1:9" s="222" customFormat="1" ht="19.5" customHeight="1">
      <c r="A32" s="3687"/>
      <c r="B32" s="3687"/>
      <c r="C32" s="249" t="s">
        <v>2175</v>
      </c>
      <c r="D32" s="250"/>
      <c r="E32" s="248">
        <v>0.8</v>
      </c>
      <c r="F32" s="251" t="s">
        <v>2176</v>
      </c>
      <c r="G32" s="252"/>
      <c r="H32" s="223"/>
      <c r="I32" s="223"/>
    </row>
    <row r="33" spans="1:9" s="222" customFormat="1" ht="19.5" customHeight="1">
      <c r="A33" s="3687" t="s">
        <v>2177</v>
      </c>
      <c r="B33" s="248" t="s">
        <v>2149</v>
      </c>
      <c r="C33" s="249" t="s">
        <v>1566</v>
      </c>
      <c r="D33" s="250"/>
      <c r="E33" s="248">
        <v>1</v>
      </c>
      <c r="F33" s="251" t="s">
        <v>2178</v>
      </c>
      <c r="G33" s="252"/>
      <c r="H33" s="223"/>
      <c r="I33" s="223"/>
    </row>
    <row r="34" spans="1:9" s="222" customFormat="1" ht="19.5" customHeight="1">
      <c r="A34" s="3687"/>
      <c r="B34" s="248" t="s">
        <v>2152</v>
      </c>
      <c r="C34" s="249" t="s">
        <v>2179</v>
      </c>
      <c r="D34" s="250"/>
      <c r="E34" s="248">
        <v>1.5</v>
      </c>
      <c r="F34" s="251" t="s">
        <v>2180</v>
      </c>
      <c r="G34" s="252"/>
      <c r="H34" s="223"/>
      <c r="I34" s="223"/>
    </row>
    <row r="35" spans="1:9" s="222" customFormat="1" ht="19.5" customHeight="1">
      <c r="A35" s="3687" t="s">
        <v>1742</v>
      </c>
      <c r="B35" s="248" t="s">
        <v>2149</v>
      </c>
      <c r="C35" s="249" t="s">
        <v>2181</v>
      </c>
      <c r="D35" s="250"/>
      <c r="E35" s="248">
        <v>1</v>
      </c>
      <c r="F35" s="251" t="s">
        <v>2182</v>
      </c>
      <c r="G35" s="252"/>
      <c r="H35" s="223"/>
      <c r="I35" s="223"/>
    </row>
    <row r="36" spans="1:9" s="222" customFormat="1" ht="19.5" customHeight="1">
      <c r="A36" s="3687"/>
      <c r="B36" s="3687" t="s">
        <v>2152</v>
      </c>
      <c r="C36" s="249" t="s">
        <v>2183</v>
      </c>
      <c r="D36" s="250"/>
      <c r="E36" s="248">
        <v>1</v>
      </c>
      <c r="F36" s="251" t="s">
        <v>2184</v>
      </c>
      <c r="G36" s="252"/>
      <c r="H36" s="223"/>
      <c r="I36" s="223"/>
    </row>
    <row r="37" spans="1:9" s="222" customFormat="1" ht="19.5" customHeight="1">
      <c r="A37" s="3687"/>
      <c r="B37" s="3687"/>
      <c r="C37" s="249" t="s">
        <v>2185</v>
      </c>
      <c r="D37" s="250"/>
      <c r="E37" s="248">
        <v>1.5</v>
      </c>
      <c r="F37" s="251" t="s">
        <v>2186</v>
      </c>
      <c r="G37" s="252"/>
      <c r="H37" s="223"/>
      <c r="I37" s="223"/>
    </row>
    <row r="38" spans="1:9" s="222" customFormat="1" ht="19.5" customHeight="1">
      <c r="A38" s="3687"/>
      <c r="B38" s="3687"/>
      <c r="C38" s="249" t="s">
        <v>2187</v>
      </c>
      <c r="D38" s="250"/>
      <c r="E38" s="248">
        <v>1</v>
      </c>
      <c r="F38" s="251" t="s">
        <v>2188</v>
      </c>
      <c r="G38" s="252"/>
      <c r="H38" s="223"/>
      <c r="I38" s="223"/>
    </row>
    <row r="39" spans="1:9" s="222" customFormat="1" ht="19.5" customHeight="1">
      <c r="A39" s="3687"/>
      <c r="B39" s="3687"/>
      <c r="C39" s="249" t="s">
        <v>2189</v>
      </c>
      <c r="D39" s="250"/>
      <c r="E39" s="248">
        <v>1</v>
      </c>
      <c r="F39" s="251" t="s">
        <v>2190</v>
      </c>
      <c r="G39" s="252"/>
      <c r="H39" s="223"/>
      <c r="I39" s="223"/>
    </row>
    <row r="40" spans="1:9" s="222" customFormat="1" ht="19.5" customHeight="1">
      <c r="A40" s="253" t="s">
        <v>2191</v>
      </c>
      <c r="B40" s="253"/>
      <c r="C40" s="253"/>
      <c r="D40" s="253"/>
      <c r="E40" s="253"/>
      <c r="F40" s="254"/>
      <c r="G40" s="254"/>
      <c r="H40" s="223"/>
      <c r="I40" s="223"/>
    </row>
    <row r="42" spans="1:9" ht="19.5" customHeight="1">
      <c r="A42" s="255"/>
      <c r="B42" s="239" t="s">
        <v>2192</v>
      </c>
      <c r="C42" s="239" t="s">
        <v>2192</v>
      </c>
      <c r="D42" s="239" t="s">
        <v>2192</v>
      </c>
      <c r="E42" s="241" t="s">
        <v>2192</v>
      </c>
      <c r="F42" s="241" t="s">
        <v>2192</v>
      </c>
      <c r="G42" s="241" t="s">
        <v>2193</v>
      </c>
      <c r="H42" s="241" t="s">
        <v>2192</v>
      </c>
    </row>
    <row r="43" spans="1:9" ht="19.5" customHeight="1">
      <c r="A43" s="256"/>
      <c r="B43" s="241" t="s">
        <v>1740</v>
      </c>
      <c r="C43" s="241" t="s">
        <v>1740</v>
      </c>
      <c r="D43" s="241" t="s">
        <v>1740</v>
      </c>
      <c r="E43" s="241" t="s">
        <v>1740</v>
      </c>
      <c r="F43" s="239" t="s">
        <v>1741</v>
      </c>
      <c r="G43" s="239" t="s">
        <v>1742</v>
      </c>
      <c r="H43" s="239" t="s">
        <v>2194</v>
      </c>
    </row>
    <row r="44" spans="1:9" ht="19.5" customHeight="1">
      <c r="A44" s="257"/>
      <c r="B44" s="239">
        <v>1</v>
      </c>
      <c r="C44" s="239">
        <v>2</v>
      </c>
      <c r="D44" s="239">
        <v>3</v>
      </c>
      <c r="E44" s="241">
        <v>4</v>
      </c>
      <c r="F44" s="246" t="s">
        <v>2195</v>
      </c>
      <c r="G44" s="246" t="s">
        <v>2195</v>
      </c>
      <c r="H44" s="246" t="s">
        <v>2195</v>
      </c>
    </row>
    <row r="45" spans="1:9" ht="19.5" customHeight="1">
      <c r="A45" s="258" t="s">
        <v>1745</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1770</v>
      </c>
      <c r="B47" s="239">
        <v>0.7</v>
      </c>
      <c r="C47" s="239">
        <v>0.4</v>
      </c>
      <c r="D47" s="239">
        <v>0.28000000000000003</v>
      </c>
      <c r="E47" s="239">
        <v>0.25</v>
      </c>
      <c r="F47" s="239">
        <v>0.25</v>
      </c>
      <c r="G47" s="239">
        <v>0.25</v>
      </c>
      <c r="H47" s="239">
        <v>0.2</v>
      </c>
    </row>
    <row r="48" spans="1:9" ht="19.5" customHeight="1">
      <c r="A48" s="258" t="s">
        <v>1791</v>
      </c>
      <c r="B48" s="239">
        <v>0.7</v>
      </c>
      <c r="C48" s="239">
        <v>0.4</v>
      </c>
      <c r="D48" s="239">
        <v>0.28000000000000003</v>
      </c>
      <c r="E48" s="239">
        <v>0.25</v>
      </c>
      <c r="F48" s="239">
        <v>0.25</v>
      </c>
      <c r="G48" s="239">
        <v>0.25</v>
      </c>
      <c r="H48" s="239">
        <v>0.2</v>
      </c>
    </row>
    <row r="49" spans="1:8" s="223" customFormat="1" ht="19.5" customHeight="1">
      <c r="A49" s="258" t="s">
        <v>1819</v>
      </c>
      <c r="B49" s="239">
        <v>0.7</v>
      </c>
      <c r="C49" s="239">
        <v>0.4</v>
      </c>
      <c r="D49" s="239">
        <v>0.28000000000000003</v>
      </c>
      <c r="E49" s="239">
        <v>0.25</v>
      </c>
      <c r="F49" s="239">
        <v>0.25</v>
      </c>
      <c r="G49" s="239">
        <v>0.25</v>
      </c>
      <c r="H49" s="239">
        <v>0.2</v>
      </c>
    </row>
    <row r="50" spans="1:8" s="223" customFormat="1" ht="19.5" customHeight="1">
      <c r="A50" s="258" t="s">
        <v>1854</v>
      </c>
      <c r="B50" s="239">
        <v>0.7</v>
      </c>
      <c r="C50" s="239">
        <v>0.4</v>
      </c>
      <c r="D50" s="239">
        <v>0.28000000000000003</v>
      </c>
      <c r="E50" s="239">
        <v>0.25</v>
      </c>
      <c r="F50" s="239">
        <v>0.25</v>
      </c>
      <c r="G50" s="239">
        <v>0.25</v>
      </c>
      <c r="H50" s="239">
        <v>0.2</v>
      </c>
    </row>
    <row r="51" spans="1:8" s="223" customFormat="1" ht="19.5" customHeight="1">
      <c r="A51" s="258" t="s">
        <v>1903</v>
      </c>
      <c r="B51" s="239">
        <v>0.7</v>
      </c>
      <c r="C51" s="239">
        <v>0.4</v>
      </c>
      <c r="D51" s="239">
        <v>0.28000000000000003</v>
      </c>
      <c r="E51" s="239">
        <v>0.25</v>
      </c>
      <c r="F51" s="239">
        <v>0.25</v>
      </c>
      <c r="G51" s="239">
        <v>0.25</v>
      </c>
      <c r="H51" s="239">
        <v>0.2</v>
      </c>
    </row>
    <row r="52" spans="1:8" s="223" customFormat="1" ht="19.5" customHeight="1">
      <c r="A52" s="258" t="s">
        <v>1952</v>
      </c>
      <c r="B52" s="239">
        <v>0.6</v>
      </c>
      <c r="C52" s="239">
        <v>0.3</v>
      </c>
      <c r="D52" s="239">
        <v>0.2</v>
      </c>
      <c r="E52" s="239">
        <v>0.2</v>
      </c>
      <c r="F52" s="239">
        <v>0.2</v>
      </c>
      <c r="G52" s="239">
        <v>0.2</v>
      </c>
      <c r="H52" s="239">
        <v>0.15</v>
      </c>
    </row>
    <row r="53" spans="1:8" s="223" customFormat="1" ht="19.5" customHeight="1">
      <c r="A53" s="258" t="s">
        <v>1992</v>
      </c>
      <c r="B53" s="239">
        <v>0.6</v>
      </c>
      <c r="C53" s="239">
        <v>0.3</v>
      </c>
      <c r="D53" s="239">
        <v>0.2</v>
      </c>
      <c r="E53" s="239">
        <v>0.2</v>
      </c>
      <c r="F53" s="239">
        <v>0.2</v>
      </c>
      <c r="G53" s="239">
        <v>0.2</v>
      </c>
      <c r="H53" s="239">
        <v>0.15</v>
      </c>
    </row>
    <row r="54" spans="1:8" s="223" customFormat="1" ht="19.5" customHeight="1">
      <c r="A54" s="258" t="s">
        <v>2038</v>
      </c>
      <c r="B54" s="239">
        <v>0.6</v>
      </c>
      <c r="C54" s="239">
        <v>0.3</v>
      </c>
      <c r="D54" s="239">
        <v>0.2</v>
      </c>
      <c r="E54" s="239">
        <v>0.2</v>
      </c>
      <c r="F54" s="239">
        <v>0.2</v>
      </c>
      <c r="G54" s="239">
        <v>0.2</v>
      </c>
      <c r="H54" s="239">
        <v>0.15</v>
      </c>
    </row>
    <row r="55" spans="1:8" s="223" customFormat="1" ht="19.5" customHeight="1">
      <c r="A55" s="258" t="s">
        <v>2066</v>
      </c>
      <c r="B55" s="239">
        <v>0.6</v>
      </c>
      <c r="C55" s="239">
        <v>0.3</v>
      </c>
      <c r="D55" s="239">
        <v>0.2</v>
      </c>
      <c r="E55" s="239">
        <v>0.2</v>
      </c>
      <c r="F55" s="239">
        <v>0.2</v>
      </c>
      <c r="G55" s="239">
        <v>0.2</v>
      </c>
      <c r="H55" s="239">
        <v>0.15</v>
      </c>
    </row>
    <row r="56" spans="1:8" s="223" customFormat="1" ht="19.5" customHeight="1">
      <c r="A56" s="258" t="s">
        <v>2088</v>
      </c>
      <c r="B56" s="239">
        <v>0.6</v>
      </c>
      <c r="C56" s="239">
        <v>0.3</v>
      </c>
      <c r="D56" s="239">
        <v>0.2</v>
      </c>
      <c r="E56" s="239">
        <v>0.2</v>
      </c>
      <c r="F56" s="239">
        <v>0.2</v>
      </c>
      <c r="G56" s="239">
        <v>0.2</v>
      </c>
      <c r="H56" s="239">
        <v>0.15</v>
      </c>
    </row>
    <row r="58" spans="1:8" s="223" customFormat="1" ht="19.5" customHeight="1">
      <c r="A58" s="259"/>
      <c r="B58" s="243"/>
      <c r="C58" s="243"/>
      <c r="D58" s="243" t="s">
        <v>2196</v>
      </c>
      <c r="E58" s="243"/>
      <c r="F58" s="243"/>
    </row>
    <row r="59" spans="1:8" s="223" customFormat="1" ht="19.5" customHeight="1">
      <c r="A59" s="248" t="s">
        <v>690</v>
      </c>
      <c r="B59" s="248" t="s">
        <v>2197</v>
      </c>
      <c r="C59" s="248" t="s">
        <v>2198</v>
      </c>
      <c r="D59" s="248" t="s">
        <v>2199</v>
      </c>
      <c r="E59" s="248" t="s">
        <v>2200</v>
      </c>
      <c r="F59" s="248" t="s">
        <v>2201</v>
      </c>
    </row>
    <row r="60" spans="1:8" ht="13.5">
      <c r="A60" s="248"/>
      <c r="B60" s="248"/>
      <c r="C60" s="248" t="s">
        <v>2202</v>
      </c>
      <c r="D60" s="248"/>
      <c r="E60" s="260" t="s">
        <v>121</v>
      </c>
      <c r="F60" s="248" t="s">
        <v>121</v>
      </c>
    </row>
    <row r="61" spans="1:8" s="223" customFormat="1" ht="24">
      <c r="A61" s="248">
        <v>1</v>
      </c>
      <c r="B61" s="3687" t="s">
        <v>2203</v>
      </c>
      <c r="C61" s="239" t="s">
        <v>2204</v>
      </c>
      <c r="D61" s="239" t="s">
        <v>2205</v>
      </c>
      <c r="E61" s="260">
        <v>0.5</v>
      </c>
      <c r="F61" s="248">
        <v>80</v>
      </c>
    </row>
    <row r="62" spans="1:8" s="223" customFormat="1" ht="24">
      <c r="A62" s="248">
        <v>2</v>
      </c>
      <c r="B62" s="3687"/>
      <c r="C62" s="239" t="s">
        <v>2206</v>
      </c>
      <c r="D62" s="239" t="s">
        <v>2207</v>
      </c>
      <c r="E62" s="260">
        <v>0.5</v>
      </c>
      <c r="F62" s="248">
        <v>80</v>
      </c>
    </row>
    <row r="63" spans="1:8" s="223" customFormat="1" ht="36">
      <c r="A63" s="248">
        <v>3</v>
      </c>
      <c r="B63" s="3687"/>
      <c r="C63" s="239" t="s">
        <v>2208</v>
      </c>
      <c r="D63" s="239" t="s">
        <v>2209</v>
      </c>
      <c r="E63" s="260">
        <v>0.5</v>
      </c>
      <c r="F63" s="248">
        <v>80</v>
      </c>
    </row>
    <row r="64" spans="1:8" s="223" customFormat="1" ht="36">
      <c r="A64" s="248">
        <v>4</v>
      </c>
      <c r="B64" s="3687"/>
      <c r="C64" s="239" t="s">
        <v>2210</v>
      </c>
      <c r="D64" s="239" t="s">
        <v>2211</v>
      </c>
      <c r="E64" s="260">
        <v>0.4</v>
      </c>
      <c r="F64" s="248">
        <v>60</v>
      </c>
    </row>
    <row r="65" spans="1:6" s="223" customFormat="1" ht="36">
      <c r="A65" s="248">
        <v>5</v>
      </c>
      <c r="B65" s="3687"/>
      <c r="C65" s="239" t="s">
        <v>2212</v>
      </c>
      <c r="D65" s="239" t="s">
        <v>2213</v>
      </c>
      <c r="E65" s="260">
        <v>0.2</v>
      </c>
      <c r="F65" s="248">
        <v>30</v>
      </c>
    </row>
    <row r="66" spans="1:6" s="223" customFormat="1" ht="36">
      <c r="A66" s="248">
        <v>6</v>
      </c>
      <c r="B66" s="3687"/>
      <c r="C66" s="239" t="s">
        <v>2214</v>
      </c>
      <c r="D66" s="239" t="s">
        <v>2215</v>
      </c>
      <c r="E66" s="260">
        <v>0.3</v>
      </c>
      <c r="F66" s="248">
        <v>50</v>
      </c>
    </row>
    <row r="67" spans="1:6" s="223" customFormat="1" ht="36">
      <c r="A67" s="248">
        <v>7</v>
      </c>
      <c r="B67" s="3687"/>
      <c r="C67" s="239" t="s">
        <v>2216</v>
      </c>
      <c r="D67" s="239" t="s">
        <v>2217</v>
      </c>
      <c r="E67" s="260">
        <v>0.2</v>
      </c>
      <c r="F67" s="248">
        <v>30</v>
      </c>
    </row>
    <row r="68" spans="1:6" s="223" customFormat="1" ht="36">
      <c r="A68" s="248">
        <v>8</v>
      </c>
      <c r="B68" s="3687"/>
      <c r="C68" s="239" t="s">
        <v>2218</v>
      </c>
      <c r="D68" s="239" t="s">
        <v>2219</v>
      </c>
      <c r="E68" s="260">
        <v>0.2</v>
      </c>
      <c r="F68" s="248">
        <v>30</v>
      </c>
    </row>
    <row r="69" spans="1:6" s="223" customFormat="1" ht="36">
      <c r="A69" s="248">
        <v>9</v>
      </c>
      <c r="B69" s="3687"/>
      <c r="C69" s="239" t="s">
        <v>2220</v>
      </c>
      <c r="D69" s="239" t="s">
        <v>2221</v>
      </c>
      <c r="E69" s="260">
        <v>0.2</v>
      </c>
      <c r="F69" s="248">
        <v>30</v>
      </c>
    </row>
    <row r="70" spans="1:6" s="223" customFormat="1" ht="48">
      <c r="A70" s="248">
        <v>10</v>
      </c>
      <c r="B70" s="3687"/>
      <c r="C70" s="239" t="s">
        <v>2222</v>
      </c>
      <c r="D70" s="239" t="s">
        <v>2223</v>
      </c>
      <c r="E70" s="260">
        <v>0.2</v>
      </c>
      <c r="F70" s="248">
        <v>30</v>
      </c>
    </row>
    <row r="71" spans="1:6" s="223" customFormat="1" ht="48">
      <c r="A71" s="248">
        <v>11</v>
      </c>
      <c r="B71" s="3687"/>
      <c r="C71" s="239" t="s">
        <v>2224</v>
      </c>
      <c r="D71" s="239" t="s">
        <v>2225</v>
      </c>
      <c r="E71" s="260">
        <v>0.2</v>
      </c>
      <c r="F71" s="248">
        <v>30</v>
      </c>
    </row>
    <row r="72" spans="1:6" s="223" customFormat="1" ht="36">
      <c r="A72" s="248">
        <v>12</v>
      </c>
      <c r="B72" s="3687"/>
      <c r="C72" s="239" t="s">
        <v>2226</v>
      </c>
      <c r="D72" s="239" t="s">
        <v>2227</v>
      </c>
      <c r="E72" s="260">
        <v>0.5</v>
      </c>
      <c r="F72" s="248">
        <v>80</v>
      </c>
    </row>
    <row r="73" spans="1:6" s="223" customFormat="1" ht="24">
      <c r="A73" s="248">
        <v>13</v>
      </c>
      <c r="B73" s="3687"/>
      <c r="C73" s="239" t="s">
        <v>2228</v>
      </c>
      <c r="D73" s="239" t="s">
        <v>2229</v>
      </c>
      <c r="E73" s="260">
        <v>0.4</v>
      </c>
      <c r="F73" s="248">
        <v>60</v>
      </c>
    </row>
    <row r="74" spans="1:6" s="223" customFormat="1" ht="24">
      <c r="A74" s="248">
        <v>14</v>
      </c>
      <c r="B74" s="3687"/>
      <c r="C74" s="239" t="s">
        <v>2230</v>
      </c>
      <c r="D74" s="239" t="s">
        <v>2231</v>
      </c>
      <c r="E74" s="260">
        <v>0.2</v>
      </c>
      <c r="F74" s="248">
        <v>30</v>
      </c>
    </row>
    <row r="75" spans="1:6" s="223" customFormat="1" ht="24">
      <c r="A75" s="248">
        <v>15</v>
      </c>
      <c r="B75" s="3687"/>
      <c r="C75" s="239" t="s">
        <v>2232</v>
      </c>
      <c r="D75" s="239" t="s">
        <v>2233</v>
      </c>
      <c r="E75" s="260">
        <v>0.2</v>
      </c>
      <c r="F75" s="248">
        <v>30</v>
      </c>
    </row>
    <row r="76" spans="1:6" s="223" customFormat="1" ht="24">
      <c r="A76" s="248">
        <v>16</v>
      </c>
      <c r="B76" s="3687" t="s">
        <v>2234</v>
      </c>
      <c r="C76" s="239" t="s">
        <v>2235</v>
      </c>
      <c r="D76" s="239" t="s">
        <v>2236</v>
      </c>
      <c r="E76" s="260">
        <v>0.5</v>
      </c>
      <c r="F76" s="248">
        <v>80</v>
      </c>
    </row>
    <row r="77" spans="1:6" s="223" customFormat="1" ht="24">
      <c r="A77" s="248">
        <v>17</v>
      </c>
      <c r="B77" s="3687"/>
      <c r="C77" s="239" t="s">
        <v>2237</v>
      </c>
      <c r="D77" s="239" t="s">
        <v>2238</v>
      </c>
      <c r="E77" s="260">
        <v>0.5</v>
      </c>
      <c r="F77" s="248">
        <v>80</v>
      </c>
    </row>
    <row r="78" spans="1:6" s="223" customFormat="1" ht="24">
      <c r="A78" s="248">
        <v>18</v>
      </c>
      <c r="B78" s="3687"/>
      <c r="C78" s="239" t="s">
        <v>2239</v>
      </c>
      <c r="D78" s="239" t="s">
        <v>2240</v>
      </c>
      <c r="E78" s="260">
        <v>0.2</v>
      </c>
      <c r="F78" s="248">
        <v>30</v>
      </c>
    </row>
    <row r="79" spans="1:6" s="223" customFormat="1" ht="24">
      <c r="A79" s="248">
        <v>19</v>
      </c>
      <c r="B79" s="3687"/>
      <c r="C79" s="239" t="s">
        <v>2241</v>
      </c>
      <c r="D79" s="239" t="s">
        <v>2242</v>
      </c>
      <c r="E79" s="260">
        <v>0.5</v>
      </c>
      <c r="F79" s="248">
        <v>80</v>
      </c>
    </row>
    <row r="80" spans="1:6" s="223" customFormat="1" ht="36">
      <c r="A80" s="248">
        <v>20</v>
      </c>
      <c r="B80" s="3687"/>
      <c r="C80" s="239" t="s">
        <v>2243</v>
      </c>
      <c r="D80" s="239" t="s">
        <v>2244</v>
      </c>
      <c r="E80" s="260">
        <v>0.2</v>
      </c>
      <c r="F80" s="248">
        <v>30</v>
      </c>
    </row>
    <row r="81" spans="1:6" s="223" customFormat="1" ht="36">
      <c r="A81" s="248">
        <v>21</v>
      </c>
      <c r="B81" s="3687"/>
      <c r="C81" s="239" t="s">
        <v>2245</v>
      </c>
      <c r="D81" s="239" t="s">
        <v>2246</v>
      </c>
      <c r="E81" s="260">
        <v>0.2</v>
      </c>
      <c r="F81" s="248">
        <v>30</v>
      </c>
    </row>
    <row r="82" spans="1:6" s="223" customFormat="1" ht="48">
      <c r="A82" s="248">
        <v>22</v>
      </c>
      <c r="B82" s="3687"/>
      <c r="C82" s="239" t="s">
        <v>2247</v>
      </c>
      <c r="D82" s="239" t="s">
        <v>2248</v>
      </c>
      <c r="E82" s="260">
        <v>0.2</v>
      </c>
      <c r="F82" s="248">
        <v>30</v>
      </c>
    </row>
    <row r="83" spans="1:6" s="223" customFormat="1" ht="48">
      <c r="A83" s="248">
        <v>23</v>
      </c>
      <c r="B83" s="3687"/>
      <c r="C83" s="239" t="s">
        <v>2249</v>
      </c>
      <c r="D83" s="239" t="s">
        <v>2250</v>
      </c>
      <c r="E83" s="260">
        <v>0.2</v>
      </c>
      <c r="F83" s="248">
        <v>30</v>
      </c>
    </row>
    <row r="84" spans="1:6" s="223" customFormat="1" ht="36">
      <c r="A84" s="248">
        <v>24</v>
      </c>
      <c r="B84" s="3687"/>
      <c r="C84" s="239" t="s">
        <v>2251</v>
      </c>
      <c r="D84" s="239" t="s">
        <v>2252</v>
      </c>
      <c r="E84" s="260">
        <v>0.2</v>
      </c>
      <c r="F84" s="248">
        <v>30</v>
      </c>
    </row>
    <row r="85" spans="1:6" s="223" customFormat="1" ht="36">
      <c r="A85" s="248">
        <v>25</v>
      </c>
      <c r="B85" s="3687"/>
      <c r="C85" s="239" t="s">
        <v>2253</v>
      </c>
      <c r="D85" s="239" t="s">
        <v>2254</v>
      </c>
      <c r="E85" s="260">
        <v>0.5</v>
      </c>
      <c r="F85" s="248">
        <v>80</v>
      </c>
    </row>
    <row r="86" spans="1:6" s="223" customFormat="1" ht="36">
      <c r="A86" s="248">
        <v>26</v>
      </c>
      <c r="B86" s="3687"/>
      <c r="C86" s="239" t="s">
        <v>2255</v>
      </c>
      <c r="D86" s="239" t="s">
        <v>2256</v>
      </c>
      <c r="E86" s="260">
        <v>0.2</v>
      </c>
      <c r="F86" s="248">
        <v>30</v>
      </c>
    </row>
    <row r="87" spans="1:6" s="223" customFormat="1" ht="36">
      <c r="A87" s="248">
        <v>27</v>
      </c>
      <c r="B87" s="3687"/>
      <c r="C87" s="239" t="s">
        <v>2257</v>
      </c>
      <c r="D87" s="239" t="s">
        <v>2258</v>
      </c>
      <c r="E87" s="260">
        <v>0.2</v>
      </c>
      <c r="F87" s="248">
        <v>30</v>
      </c>
    </row>
    <row r="88" spans="1:6" s="223" customFormat="1" ht="36">
      <c r="A88" s="248">
        <v>28</v>
      </c>
      <c r="B88" s="3687"/>
      <c r="C88" s="239" t="s">
        <v>2259</v>
      </c>
      <c r="D88" s="239" t="s">
        <v>2260</v>
      </c>
      <c r="E88" s="260">
        <v>0.2</v>
      </c>
      <c r="F88" s="248">
        <v>30</v>
      </c>
    </row>
    <row r="89" spans="1:6" s="223" customFormat="1" ht="24">
      <c r="A89" s="248">
        <v>29</v>
      </c>
      <c r="B89" s="3687"/>
      <c r="C89" s="239" t="s">
        <v>2261</v>
      </c>
      <c r="D89" s="239" t="s">
        <v>2262</v>
      </c>
      <c r="E89" s="260">
        <v>0.2</v>
      </c>
      <c r="F89" s="248">
        <v>30</v>
      </c>
    </row>
    <row r="90" spans="1:6" s="223" customFormat="1" ht="24">
      <c r="A90" s="248">
        <v>30</v>
      </c>
      <c r="B90" s="3687"/>
      <c r="C90" s="239" t="s">
        <v>2263</v>
      </c>
      <c r="D90" s="239" t="s">
        <v>2264</v>
      </c>
      <c r="E90" s="260">
        <v>0.2</v>
      </c>
      <c r="F90" s="248">
        <v>30</v>
      </c>
    </row>
    <row r="91" spans="1:6" s="223" customFormat="1" ht="36">
      <c r="A91" s="248">
        <v>31</v>
      </c>
      <c r="B91" s="3687"/>
      <c r="C91" s="239" t="s">
        <v>2265</v>
      </c>
      <c r="D91" s="239" t="s">
        <v>2266</v>
      </c>
      <c r="E91" s="260">
        <v>0.2</v>
      </c>
      <c r="F91" s="248">
        <v>30</v>
      </c>
    </row>
    <row r="92" spans="1:6" s="223" customFormat="1" ht="24">
      <c r="A92" s="248">
        <v>32</v>
      </c>
      <c r="B92" s="3687" t="s">
        <v>2267</v>
      </c>
      <c r="C92" s="248" t="s">
        <v>2268</v>
      </c>
      <c r="D92" s="239" t="s">
        <v>2269</v>
      </c>
      <c r="E92" s="260">
        <v>0.2</v>
      </c>
      <c r="F92" s="248">
        <v>30</v>
      </c>
    </row>
    <row r="93" spans="1:6" s="223" customFormat="1" ht="36">
      <c r="A93" s="248">
        <v>33</v>
      </c>
      <c r="B93" s="3687"/>
      <c r="C93" s="248" t="s">
        <v>2270</v>
      </c>
      <c r="D93" s="239" t="s">
        <v>2271</v>
      </c>
      <c r="E93" s="260">
        <v>0.2</v>
      </c>
      <c r="F93" s="248">
        <v>30</v>
      </c>
    </row>
    <row r="94" spans="1:6" s="223" customFormat="1" ht="48">
      <c r="A94" s="248">
        <v>34</v>
      </c>
      <c r="B94" s="3687"/>
      <c r="C94" s="248" t="s">
        <v>2272</v>
      </c>
      <c r="D94" s="239" t="s">
        <v>2273</v>
      </c>
      <c r="E94" s="260">
        <v>0.2</v>
      </c>
      <c r="F94" s="248">
        <v>30</v>
      </c>
    </row>
    <row r="95" spans="1:6" s="223" customFormat="1" ht="36">
      <c r="A95" s="248">
        <v>35</v>
      </c>
      <c r="B95" s="3687"/>
      <c r="C95" s="248" t="s">
        <v>2274</v>
      </c>
      <c r="D95" s="239" t="s">
        <v>2275</v>
      </c>
      <c r="E95" s="260">
        <v>0.2</v>
      </c>
      <c r="F95" s="248">
        <v>30</v>
      </c>
    </row>
    <row r="96" spans="1:6" s="223" customFormat="1" ht="48">
      <c r="A96" s="248">
        <v>36</v>
      </c>
      <c r="B96" s="3687"/>
      <c r="C96" s="239" t="s">
        <v>2276</v>
      </c>
      <c r="D96" s="239" t="s">
        <v>2277</v>
      </c>
      <c r="E96" s="260">
        <v>0.2</v>
      </c>
      <c r="F96" s="248">
        <v>30</v>
      </c>
    </row>
    <row r="97" spans="1:6" s="223" customFormat="1" ht="36">
      <c r="A97" s="248">
        <v>37</v>
      </c>
      <c r="B97" s="3687"/>
      <c r="C97" s="248" t="s">
        <v>2278</v>
      </c>
      <c r="D97" s="239" t="s">
        <v>2279</v>
      </c>
      <c r="E97" s="260">
        <v>0.2</v>
      </c>
      <c r="F97" s="248">
        <v>30</v>
      </c>
    </row>
    <row r="98" spans="1:6" s="223" customFormat="1" ht="36">
      <c r="A98" s="248">
        <v>38</v>
      </c>
      <c r="B98" s="3687"/>
      <c r="C98" s="248" t="s">
        <v>2280</v>
      </c>
      <c r="D98" s="239" t="s">
        <v>2281</v>
      </c>
      <c r="E98" s="260">
        <v>0.2</v>
      </c>
      <c r="F98" s="248">
        <v>30</v>
      </c>
    </row>
    <row r="99" spans="1:6" s="223" customFormat="1" ht="36">
      <c r="A99" s="248">
        <v>39</v>
      </c>
      <c r="B99" s="3687" t="s">
        <v>2282</v>
      </c>
      <c r="C99" s="248" t="s">
        <v>2283</v>
      </c>
      <c r="D99" s="239" t="s">
        <v>2284</v>
      </c>
      <c r="E99" s="260">
        <v>0.3</v>
      </c>
      <c r="F99" s="248">
        <v>50</v>
      </c>
    </row>
    <row r="100" spans="1:6" s="223" customFormat="1" ht="24">
      <c r="A100" s="248">
        <v>40</v>
      </c>
      <c r="B100" s="3687"/>
      <c r="C100" s="248" t="s">
        <v>2285</v>
      </c>
      <c r="D100" s="239" t="s">
        <v>2286</v>
      </c>
      <c r="E100" s="260">
        <v>0.2</v>
      </c>
      <c r="F100" s="248">
        <v>30</v>
      </c>
    </row>
    <row r="101" spans="1:6" s="223" customFormat="1" ht="36">
      <c r="A101" s="248">
        <v>41</v>
      </c>
      <c r="B101" s="3687"/>
      <c r="C101" s="248" t="s">
        <v>2287</v>
      </c>
      <c r="D101" s="239" t="s">
        <v>2284</v>
      </c>
      <c r="E101" s="260">
        <v>0.2</v>
      </c>
      <c r="F101" s="248">
        <v>30</v>
      </c>
    </row>
    <row r="102" spans="1:6" s="223" customFormat="1" ht="48">
      <c r="A102" s="248">
        <v>42</v>
      </c>
      <c r="B102" s="248" t="s">
        <v>2288</v>
      </c>
      <c r="C102" s="239" t="s">
        <v>2289</v>
      </c>
      <c r="D102" s="239" t="s">
        <v>2290</v>
      </c>
      <c r="E102" s="260">
        <v>0.2</v>
      </c>
      <c r="F102" s="248">
        <v>30</v>
      </c>
    </row>
    <row r="103" spans="1:6" s="223" customFormat="1" ht="24">
      <c r="A103" s="248">
        <v>43</v>
      </c>
      <c r="B103" s="248" t="s">
        <v>2291</v>
      </c>
      <c r="C103" s="248" t="s">
        <v>2292</v>
      </c>
      <c r="D103" s="239" t="s">
        <v>2293</v>
      </c>
      <c r="E103" s="260">
        <v>0.2</v>
      </c>
      <c r="F103" s="248">
        <v>30</v>
      </c>
    </row>
    <row r="104" spans="1:6" s="223" customFormat="1" ht="36">
      <c r="A104" s="248">
        <v>44</v>
      </c>
      <c r="B104" s="248" t="s">
        <v>2294</v>
      </c>
      <c r="C104" s="248" t="s">
        <v>2295</v>
      </c>
      <c r="D104" s="239" t="s">
        <v>2296</v>
      </c>
      <c r="E104" s="260">
        <v>0.2</v>
      </c>
      <c r="F104" s="248">
        <v>30</v>
      </c>
    </row>
    <row r="105" spans="1:6" s="223" customFormat="1" ht="36">
      <c r="A105" s="248">
        <v>45</v>
      </c>
      <c r="B105" s="3687" t="s">
        <v>2297</v>
      </c>
      <c r="C105" s="248" t="s">
        <v>2298</v>
      </c>
      <c r="D105" s="239" t="s">
        <v>2299</v>
      </c>
      <c r="E105" s="260">
        <v>0.2</v>
      </c>
      <c r="F105" s="248">
        <v>30</v>
      </c>
    </row>
    <row r="106" spans="1:6" s="223" customFormat="1" ht="36">
      <c r="A106" s="248">
        <v>46</v>
      </c>
      <c r="B106" s="3687"/>
      <c r="C106" s="248" t="s">
        <v>2300</v>
      </c>
      <c r="D106" s="239" t="s">
        <v>2301</v>
      </c>
      <c r="E106" s="260">
        <v>0.2</v>
      </c>
      <c r="F106" s="248">
        <v>30</v>
      </c>
    </row>
    <row r="107" spans="1:6" s="223" customFormat="1" ht="36">
      <c r="A107" s="248">
        <v>47</v>
      </c>
      <c r="B107" s="3687" t="s">
        <v>2302</v>
      </c>
      <c r="C107" s="248" t="s">
        <v>2303</v>
      </c>
      <c r="D107" s="239" t="s">
        <v>2304</v>
      </c>
      <c r="E107" s="260">
        <v>0.3</v>
      </c>
      <c r="F107" s="248">
        <v>50</v>
      </c>
    </row>
    <row r="108" spans="1:6" s="223" customFormat="1" ht="36">
      <c r="A108" s="248">
        <v>48</v>
      </c>
      <c r="B108" s="3687"/>
      <c r="C108" s="248" t="s">
        <v>2305</v>
      </c>
      <c r="D108" s="239" t="s">
        <v>2306</v>
      </c>
      <c r="E108" s="260">
        <v>0.2</v>
      </c>
      <c r="F108" s="248">
        <v>30</v>
      </c>
    </row>
    <row r="109" spans="1:6" s="223" customFormat="1" ht="36">
      <c r="A109" s="248">
        <v>49</v>
      </c>
      <c r="B109" s="248" t="s">
        <v>2307</v>
      </c>
      <c r="C109" s="248" t="s">
        <v>2308</v>
      </c>
      <c r="D109" s="239" t="s">
        <v>2309</v>
      </c>
      <c r="E109" s="260">
        <v>0.2</v>
      </c>
      <c r="F109" s="248">
        <v>30</v>
      </c>
    </row>
    <row r="110" spans="1:6" s="223" customFormat="1" ht="36">
      <c r="A110" s="248">
        <v>50</v>
      </c>
      <c r="B110" s="248" t="s">
        <v>2310</v>
      </c>
      <c r="C110" s="248" t="s">
        <v>2311</v>
      </c>
      <c r="D110" s="239" t="s">
        <v>2312</v>
      </c>
      <c r="E110" s="260">
        <v>0.2</v>
      </c>
      <c r="F110" s="248">
        <v>30</v>
      </c>
    </row>
    <row r="111" spans="1:6" s="223" customFormat="1" ht="36">
      <c r="A111" s="248">
        <v>51</v>
      </c>
      <c r="B111" s="3687" t="s">
        <v>2313</v>
      </c>
      <c r="C111" s="248" t="s">
        <v>2314</v>
      </c>
      <c r="D111" s="239" t="s">
        <v>2315</v>
      </c>
      <c r="E111" s="260">
        <v>0.2</v>
      </c>
      <c r="F111" s="248">
        <v>30</v>
      </c>
    </row>
    <row r="112" spans="1:6" s="223" customFormat="1" ht="24">
      <c r="A112" s="248">
        <v>52</v>
      </c>
      <c r="B112" s="3687"/>
      <c r="C112" s="248" t="s">
        <v>2316</v>
      </c>
      <c r="D112" s="239" t="s">
        <v>2317</v>
      </c>
      <c r="E112" s="260">
        <v>0.2</v>
      </c>
      <c r="F112" s="248">
        <v>30</v>
      </c>
    </row>
    <row r="113" spans="1:6" s="223" customFormat="1" ht="24">
      <c r="A113" s="248">
        <v>53</v>
      </c>
      <c r="B113" s="3687"/>
      <c r="C113" s="248" t="s">
        <v>2318</v>
      </c>
      <c r="D113" s="239" t="s">
        <v>2319</v>
      </c>
      <c r="E113" s="260">
        <v>0.2</v>
      </c>
      <c r="F113" s="248">
        <v>30</v>
      </c>
    </row>
    <row r="114" spans="1:6" ht="36">
      <c r="A114" s="248">
        <v>54</v>
      </c>
      <c r="B114" s="248" t="s">
        <v>2320</v>
      </c>
      <c r="C114" s="248" t="s">
        <v>2321</v>
      </c>
      <c r="D114" s="239" t="s">
        <v>2322</v>
      </c>
      <c r="E114" s="260">
        <v>0.2</v>
      </c>
      <c r="F114" s="248">
        <v>30</v>
      </c>
    </row>
    <row r="115" spans="1:6" ht="24">
      <c r="A115" s="248">
        <v>55</v>
      </c>
      <c r="B115" s="248" t="s">
        <v>2323</v>
      </c>
      <c r="C115" s="248" t="s">
        <v>2324</v>
      </c>
      <c r="D115" s="239" t="s">
        <v>2325</v>
      </c>
      <c r="E115" s="260">
        <v>0.2</v>
      </c>
      <c r="F115" s="248">
        <v>30</v>
      </c>
    </row>
    <row r="116" spans="1:6" ht="24">
      <c r="A116" s="248">
        <v>56</v>
      </c>
      <c r="B116" s="3687" t="s">
        <v>2326</v>
      </c>
      <c r="C116" s="248" t="s">
        <v>2327</v>
      </c>
      <c r="D116" s="239" t="s">
        <v>2328</v>
      </c>
      <c r="E116" s="260">
        <v>0.2</v>
      </c>
      <c r="F116" s="248">
        <v>30</v>
      </c>
    </row>
    <row r="117" spans="1:6" ht="36">
      <c r="A117" s="248">
        <v>57</v>
      </c>
      <c r="B117" s="3687"/>
      <c r="C117" s="248" t="s">
        <v>2329</v>
      </c>
      <c r="D117" s="239" t="s">
        <v>2330</v>
      </c>
      <c r="E117" s="260">
        <v>0.2</v>
      </c>
      <c r="F117" s="248">
        <v>30</v>
      </c>
    </row>
    <row r="118" spans="1:6" ht="36">
      <c r="A118" s="248">
        <v>58</v>
      </c>
      <c r="B118" s="248" t="s">
        <v>2331</v>
      </c>
      <c r="C118" s="248" t="s">
        <v>2332</v>
      </c>
      <c r="D118" s="239" t="s">
        <v>2333</v>
      </c>
      <c r="E118" s="260">
        <v>0.2</v>
      </c>
      <c r="F118" s="248">
        <v>30</v>
      </c>
    </row>
    <row r="119" spans="1:6" ht="13.5">
      <c r="A119" s="248"/>
      <c r="B119" s="248"/>
      <c r="C119" s="248" t="s">
        <v>2202</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2334</v>
      </c>
      <c r="B1" s="214"/>
      <c r="C1" s="214"/>
      <c r="D1" s="214"/>
      <c r="E1" s="214"/>
      <c r="F1" s="214"/>
      <c r="G1" s="214"/>
      <c r="H1" s="214"/>
      <c r="I1" s="214"/>
      <c r="J1" s="214"/>
      <c r="K1" s="214"/>
      <c r="L1" s="214"/>
      <c r="M1" s="214"/>
      <c r="N1" s="214"/>
    </row>
    <row r="2" spans="1:14">
      <c r="A2" s="215" t="s">
        <v>2335</v>
      </c>
      <c r="B2" s="216" t="s">
        <v>1745</v>
      </c>
      <c r="C2" s="216" t="s">
        <v>529</v>
      </c>
      <c r="D2" s="216" t="s">
        <v>1770</v>
      </c>
      <c r="E2" s="216" t="s">
        <v>1791</v>
      </c>
      <c r="F2" s="216" t="s">
        <v>1819</v>
      </c>
      <c r="G2" s="216" t="s">
        <v>1854</v>
      </c>
      <c r="H2" s="217" t="s">
        <v>1903</v>
      </c>
      <c r="I2" s="217" t="s">
        <v>1952</v>
      </c>
      <c r="J2" s="220" t="s">
        <v>1992</v>
      </c>
      <c r="K2" s="220" t="s">
        <v>2038</v>
      </c>
      <c r="L2" s="220" t="s">
        <v>2066</v>
      </c>
      <c r="M2" s="220" t="s">
        <v>2088</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2336</v>
      </c>
      <c r="B103" s="214"/>
      <c r="C103" s="214"/>
      <c r="D103" s="214"/>
      <c r="E103" s="214"/>
      <c r="F103" s="214"/>
      <c r="G103" s="214"/>
      <c r="H103" s="214"/>
      <c r="I103" s="214"/>
      <c r="J103" s="214"/>
      <c r="K103" s="214"/>
      <c r="L103" s="214"/>
      <c r="M103" s="214"/>
      <c r="N103" s="214"/>
    </row>
    <row r="104" spans="1:14" ht="14.25">
      <c r="A104" s="215" t="s">
        <v>2335</v>
      </c>
      <c r="B104" s="216" t="s">
        <v>1745</v>
      </c>
      <c r="C104" s="216" t="s">
        <v>529</v>
      </c>
      <c r="D104" s="216" t="s">
        <v>1770</v>
      </c>
      <c r="E104" s="216" t="s">
        <v>1791</v>
      </c>
      <c r="F104" s="216" t="s">
        <v>1819</v>
      </c>
      <c r="G104" s="216" t="s">
        <v>1854</v>
      </c>
      <c r="H104" s="217" t="s">
        <v>1903</v>
      </c>
      <c r="I104" s="217" t="s">
        <v>1952</v>
      </c>
      <c r="J104" s="220" t="s">
        <v>1992</v>
      </c>
      <c r="K104" s="220" t="s">
        <v>2038</v>
      </c>
      <c r="L104" s="220" t="s">
        <v>2066</v>
      </c>
      <c r="M104" s="220" t="s">
        <v>2088</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2337</v>
      </c>
      <c r="B205" s="214"/>
      <c r="C205" s="214"/>
      <c r="D205" s="214"/>
      <c r="E205" s="214"/>
      <c r="F205" s="214"/>
      <c r="G205" s="214"/>
      <c r="H205" s="214"/>
      <c r="I205" s="214"/>
      <c r="J205" s="214"/>
      <c r="K205" s="214"/>
      <c r="L205" s="214"/>
      <c r="M205" s="214"/>
    </row>
    <row r="206" spans="1:13">
      <c r="A206" s="215" t="s">
        <v>2335</v>
      </c>
      <c r="B206" s="216" t="s">
        <v>1745</v>
      </c>
      <c r="C206" s="216" t="s">
        <v>529</v>
      </c>
      <c r="D206" s="216" t="s">
        <v>1770</v>
      </c>
      <c r="E206" s="216" t="s">
        <v>1791</v>
      </c>
      <c r="F206" s="216" t="s">
        <v>1819</v>
      </c>
      <c r="G206" s="216" t="s">
        <v>1854</v>
      </c>
      <c r="H206" s="217" t="s">
        <v>1903</v>
      </c>
      <c r="I206" s="217" t="s">
        <v>1952</v>
      </c>
      <c r="J206" s="220" t="s">
        <v>1992</v>
      </c>
      <c r="K206" s="220" t="s">
        <v>2038</v>
      </c>
      <c r="L206" s="220" t="s">
        <v>2066</v>
      </c>
      <c r="M206" s="220" t="s">
        <v>2088</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2338</v>
      </c>
      <c r="B307" s="214"/>
      <c r="C307" s="214"/>
      <c r="D307" s="214"/>
      <c r="E307" s="214"/>
      <c r="F307" s="214"/>
      <c r="G307" s="214"/>
      <c r="H307" s="214"/>
      <c r="I307" s="214"/>
      <c r="J307" s="214"/>
      <c r="K307" s="214"/>
      <c r="L307" s="214"/>
      <c r="M307" s="214"/>
    </row>
    <row r="308" spans="1:13">
      <c r="A308" s="215" t="s">
        <v>2335</v>
      </c>
      <c r="B308" s="216" t="s">
        <v>1745</v>
      </c>
      <c r="C308" s="216" t="s">
        <v>529</v>
      </c>
      <c r="D308" s="216" t="s">
        <v>1770</v>
      </c>
      <c r="E308" s="216" t="s">
        <v>1791</v>
      </c>
      <c r="F308" s="216" t="s">
        <v>1819</v>
      </c>
      <c r="G308" s="216" t="s">
        <v>1854</v>
      </c>
      <c r="H308" s="217" t="s">
        <v>1903</v>
      </c>
      <c r="I308" s="217" t="s">
        <v>1952</v>
      </c>
      <c r="J308" s="220" t="s">
        <v>1992</v>
      </c>
      <c r="K308" s="220" t="s">
        <v>2038</v>
      </c>
      <c r="L308" s="220" t="s">
        <v>2066</v>
      </c>
      <c r="M308" s="220" t="s">
        <v>2088</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2339</v>
      </c>
      <c r="C1" s="3698"/>
      <c r="D1" s="3698"/>
      <c r="E1" s="3698"/>
      <c r="F1" s="3698"/>
      <c r="G1" s="3695" t="s">
        <v>2340</v>
      </c>
      <c r="H1" s="3695"/>
      <c r="I1" s="3695"/>
      <c r="J1" s="3695"/>
      <c r="K1" s="3695"/>
      <c r="L1" s="3695"/>
      <c r="N1" s="3695" t="s">
        <v>2341</v>
      </c>
      <c r="O1" s="3695"/>
      <c r="P1" s="3695"/>
      <c r="Q1" s="3695"/>
      <c r="S1" s="3695" t="s">
        <v>2342</v>
      </c>
      <c r="T1" s="3695"/>
      <c r="U1" s="3695"/>
      <c r="V1" s="3695"/>
      <c r="X1" s="3694" t="s">
        <v>2343</v>
      </c>
      <c r="Y1" s="3695"/>
      <c r="Z1" s="3695"/>
      <c r="AA1" s="3695"/>
      <c r="AB1" s="3695"/>
      <c r="AD1" s="3694" t="s">
        <v>2344</v>
      </c>
      <c r="AE1" s="3695"/>
      <c r="AF1" s="3695"/>
      <c r="AG1" s="3695"/>
      <c r="AH1" s="3695"/>
    </row>
    <row r="2" spans="1:34" s="73" customFormat="1" ht="13.5">
      <c r="B2" s="84" t="s">
        <v>2345</v>
      </c>
      <c r="C2" s="84" t="s">
        <v>2346</v>
      </c>
      <c r="D2" s="85" t="s">
        <v>1741</v>
      </c>
      <c r="E2" s="85" t="s">
        <v>461</v>
      </c>
      <c r="F2" s="84" t="s">
        <v>2347</v>
      </c>
      <c r="G2" s="86"/>
      <c r="I2" s="84" t="s">
        <v>2345</v>
      </c>
      <c r="J2" s="85" t="s">
        <v>2348</v>
      </c>
      <c r="K2" s="85" t="s">
        <v>461</v>
      </c>
      <c r="L2" s="84" t="s">
        <v>2347</v>
      </c>
      <c r="N2" s="84" t="s">
        <v>2345</v>
      </c>
      <c r="O2" s="85" t="s">
        <v>2348</v>
      </c>
      <c r="P2" s="85" t="s">
        <v>461</v>
      </c>
      <c r="Q2" s="84" t="s">
        <v>2347</v>
      </c>
      <c r="S2" s="84" t="s">
        <v>2345</v>
      </c>
      <c r="T2" s="85" t="s">
        <v>2348</v>
      </c>
      <c r="U2" s="85" t="s">
        <v>461</v>
      </c>
      <c r="V2" s="84" t="s">
        <v>2347</v>
      </c>
      <c r="X2" s="84" t="s">
        <v>2345</v>
      </c>
      <c r="Y2" s="84" t="s">
        <v>2346</v>
      </c>
      <c r="Z2" s="85" t="s">
        <v>1741</v>
      </c>
      <c r="AA2" s="85" t="s">
        <v>461</v>
      </c>
      <c r="AB2" s="84" t="s">
        <v>2347</v>
      </c>
      <c r="AD2" s="84" t="s">
        <v>2345</v>
      </c>
      <c r="AE2" s="84" t="s">
        <v>2346</v>
      </c>
      <c r="AF2" s="85" t="s">
        <v>1741</v>
      </c>
      <c r="AG2" s="85" t="s">
        <v>461</v>
      </c>
      <c r="AH2" s="84" t="s">
        <v>2347</v>
      </c>
    </row>
    <row r="3" spans="1:34" s="74" customFormat="1" ht="14.25">
      <c r="A3" s="87" t="s">
        <v>2349</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2350</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2351</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2352</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2353</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2354</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2355</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2356</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2357</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2358</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2359</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2360</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2361</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2362</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2363</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2364</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9">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2365</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9"/>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2366</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9"/>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2367</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2368</v>
      </c>
      <c r="B22" s="105">
        <v>439</v>
      </c>
      <c r="C22" s="105">
        <v>327</v>
      </c>
      <c r="D22" s="105">
        <f t="shared" si="169"/>
        <v>327</v>
      </c>
      <c r="E22" s="105">
        <v>627</v>
      </c>
      <c r="F22" s="106">
        <v>283</v>
      </c>
      <c r="G22" s="369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2369</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9"/>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2370</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9"/>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2371</v>
      </c>
      <c r="B25" s="107">
        <f t="shared" si="157"/>
        <v>405.524</v>
      </c>
      <c r="C25" s="107">
        <f t="shared" ref="C25" si="190">C26*(1+O25)</f>
        <v>307.79840000000002</v>
      </c>
      <c r="D25" s="107">
        <f t="shared" si="169"/>
        <v>307.79840000000002</v>
      </c>
      <c r="E25" s="107">
        <f t="shared" si="182"/>
        <v>574.67759999999998</v>
      </c>
      <c r="F25" s="107">
        <f t="shared" si="182"/>
        <v>270.20280000000002</v>
      </c>
      <c r="G25" s="369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2372</v>
      </c>
      <c r="B26" s="105">
        <v>392</v>
      </c>
      <c r="C26" s="105">
        <v>302</v>
      </c>
      <c r="D26" s="105">
        <f t="shared" si="169"/>
        <v>302</v>
      </c>
      <c r="E26" s="105">
        <v>553</v>
      </c>
      <c r="F26" s="106">
        <v>266</v>
      </c>
      <c r="G26" s="369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2373</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9"/>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2374</v>
      </c>
      <c r="B28" s="107">
        <f t="shared" si="193"/>
        <v>360.06949782209398</v>
      </c>
      <c r="C28" s="107">
        <f t="shared" si="193"/>
        <v>289.84672674747799</v>
      </c>
      <c r="D28" s="107">
        <f t="shared" si="194"/>
        <v>289.84672674747799</v>
      </c>
      <c r="E28" s="107">
        <f t="shared" si="195"/>
        <v>501.06543001181501</v>
      </c>
      <c r="F28" s="107">
        <f t="shared" si="195"/>
        <v>256.82882500745001</v>
      </c>
      <c r="G28" s="3689"/>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2375</v>
      </c>
      <c r="B29" s="107">
        <f t="shared" si="193"/>
        <v>346.720748986128</v>
      </c>
      <c r="C29" s="107">
        <f t="shared" si="193"/>
        <v>284.30282172386302</v>
      </c>
      <c r="D29" s="107">
        <f t="shared" si="194"/>
        <v>284.30282172386302</v>
      </c>
      <c r="E29" s="107">
        <f t="shared" si="195"/>
        <v>479.58023546306902</v>
      </c>
      <c r="F29" s="107">
        <f t="shared" si="195"/>
        <v>253.25788877571199</v>
      </c>
      <c r="G29" s="3690"/>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2376</v>
      </c>
      <c r="B30" s="105">
        <v>333</v>
      </c>
      <c r="C30" s="105">
        <v>277</v>
      </c>
      <c r="D30" s="105">
        <f t="shared" si="194"/>
        <v>277</v>
      </c>
      <c r="E30" s="105">
        <v>459</v>
      </c>
      <c r="F30" s="106">
        <v>249</v>
      </c>
      <c r="G30" s="3688">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2377</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9"/>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2378</v>
      </c>
      <c r="B32" s="107">
        <f t="shared" si="197"/>
        <v>322.34053690220799</v>
      </c>
      <c r="C32" s="107">
        <f t="shared" si="197"/>
        <v>271.461607704225</v>
      </c>
      <c r="D32" s="107">
        <f t="shared" si="194"/>
        <v>271.461607704225</v>
      </c>
      <c r="E32" s="107">
        <f t="shared" si="198"/>
        <v>442.69434542172502</v>
      </c>
      <c r="F32" s="107">
        <f t="shared" si="198"/>
        <v>241.34030753190899</v>
      </c>
      <c r="G32" s="3689"/>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2379</v>
      </c>
      <c r="B33" s="107">
        <f t="shared" si="197"/>
        <v>319.87748030386803</v>
      </c>
      <c r="C33" s="107">
        <f t="shared" si="197"/>
        <v>269.60135833173598</v>
      </c>
      <c r="D33" s="107">
        <f t="shared" si="194"/>
        <v>269.60135833173598</v>
      </c>
      <c r="E33" s="107">
        <f t="shared" si="198"/>
        <v>439.18089823583801</v>
      </c>
      <c r="F33" s="107">
        <f t="shared" si="198"/>
        <v>239.23503918706299</v>
      </c>
      <c r="G33" s="3690"/>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2380</v>
      </c>
      <c r="B34" s="111">
        <v>318</v>
      </c>
      <c r="C34" s="111">
        <v>268</v>
      </c>
      <c r="D34" s="111">
        <f t="shared" si="194"/>
        <v>268</v>
      </c>
      <c r="E34" s="111">
        <v>437</v>
      </c>
      <c r="F34" s="112">
        <v>237</v>
      </c>
      <c r="G34" s="3688">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2381</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9"/>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2382</v>
      </c>
      <c r="B36" s="107">
        <f t="shared" si="199"/>
        <v>314.721411723865</v>
      </c>
      <c r="C36" s="107">
        <f t="shared" si="199"/>
        <v>263.03901319069001</v>
      </c>
      <c r="D36" s="107">
        <f t="shared" si="194"/>
        <v>263.03901319069001</v>
      </c>
      <c r="E36" s="107">
        <f t="shared" si="200"/>
        <v>433.65745506782798</v>
      </c>
      <c r="F36" s="107">
        <f t="shared" si="200"/>
        <v>233.23005080045701</v>
      </c>
      <c r="G36" s="3689"/>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2383</v>
      </c>
      <c r="B37" s="115">
        <f t="shared" si="199"/>
        <v>307.34512863658699</v>
      </c>
      <c r="C37" s="115">
        <f t="shared" si="199"/>
        <v>257.80556031626998</v>
      </c>
      <c r="D37" s="115">
        <f t="shared" si="194"/>
        <v>257.80556031626998</v>
      </c>
      <c r="E37" s="115">
        <f t="shared" si="200"/>
        <v>422.70928459677202</v>
      </c>
      <c r="F37" s="115">
        <f t="shared" si="200"/>
        <v>229.738032703366</v>
      </c>
      <c r="G37" s="3690"/>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2384</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2385</v>
      </c>
      <c r="B38" s="105">
        <v>299</v>
      </c>
      <c r="C38" s="105">
        <v>252</v>
      </c>
      <c r="D38" s="105">
        <f t="shared" si="194"/>
        <v>252</v>
      </c>
      <c r="E38" s="105">
        <v>409</v>
      </c>
      <c r="F38" s="106">
        <v>227</v>
      </c>
      <c r="G38" s="369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2386</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2387</v>
      </c>
      <c r="B40" s="107">
        <f t="shared" si="203"/>
        <v>288.264905382878</v>
      </c>
      <c r="C40" s="107">
        <f t="shared" si="203"/>
        <v>243.64564425013299</v>
      </c>
      <c r="D40" s="107">
        <f t="shared" si="194"/>
        <v>243.64564425013299</v>
      </c>
      <c r="E40" s="107">
        <f t="shared" si="204"/>
        <v>393.31080825986498</v>
      </c>
      <c r="F40" s="107">
        <f t="shared" si="204"/>
        <v>223.079037905512</v>
      </c>
      <c r="G40" s="369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2388</v>
      </c>
      <c r="B41" s="107">
        <f t="shared" si="203"/>
        <v>282.50186729015797</v>
      </c>
      <c r="C41" s="107">
        <f t="shared" si="203"/>
        <v>238.097961741555</v>
      </c>
      <c r="D41" s="107">
        <f t="shared" si="194"/>
        <v>238.097961741555</v>
      </c>
      <c r="E41" s="107">
        <f t="shared" si="204"/>
        <v>385.33438646014099</v>
      </c>
      <c r="F41" s="107">
        <f t="shared" si="204"/>
        <v>221.550340555677</v>
      </c>
      <c r="G41" s="369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2389</v>
      </c>
      <c r="B42" s="118">
        <v>278</v>
      </c>
      <c r="C42" s="118">
        <v>234</v>
      </c>
      <c r="D42" s="118">
        <f t="shared" si="194"/>
        <v>234</v>
      </c>
      <c r="E42" s="118">
        <v>379</v>
      </c>
      <c r="F42" s="119">
        <v>220</v>
      </c>
      <c r="G42" s="3688">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2390</v>
      </c>
      <c r="B43" s="107">
        <f>B42/(1+N42)</f>
        <v>275.49301357645402</v>
      </c>
      <c r="C43" s="107">
        <f>C42/(1+O42)</f>
        <v>232.41954707985701</v>
      </c>
      <c r="D43" s="107">
        <f t="shared" si="194"/>
        <v>232.41954707985701</v>
      </c>
      <c r="E43" s="107">
        <f t="shared" ref="E43:F45" si="205">E42/(1+P42)</f>
        <v>375.32184591008098</v>
      </c>
      <c r="F43" s="107">
        <f t="shared" si="205"/>
        <v>218.03766105054501</v>
      </c>
      <c r="G43" s="3689"/>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2391</v>
      </c>
      <c r="B44" s="107">
        <f>B43/(1+N43)</f>
        <v>275.24529281292303</v>
      </c>
      <c r="C44" s="107">
        <f>C43/(1+O43)</f>
        <v>231.74747938962699</v>
      </c>
      <c r="D44" s="107">
        <f t="shared" si="194"/>
        <v>231.74747938962699</v>
      </c>
      <c r="E44" s="107">
        <f t="shared" si="205"/>
        <v>375.35938184826603</v>
      </c>
      <c r="F44" s="107">
        <f t="shared" si="205"/>
        <v>216.78033510692501</v>
      </c>
      <c r="G44" s="3689"/>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2392</v>
      </c>
      <c r="B45" s="107">
        <f>B44/(1+N44)</f>
        <v>275.19025476196998</v>
      </c>
      <c r="C45" s="120">
        <v>232</v>
      </c>
      <c r="D45" s="120">
        <f t="shared" si="194"/>
        <v>232</v>
      </c>
      <c r="E45" s="107">
        <f t="shared" si="205"/>
        <v>375.65990977608698</v>
      </c>
      <c r="F45" s="107">
        <f t="shared" si="205"/>
        <v>214.12518283971301</v>
      </c>
      <c r="G45" s="3690"/>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2393</v>
      </c>
      <c r="B46" s="105">
        <v>275</v>
      </c>
      <c r="C46" s="105">
        <v>232</v>
      </c>
      <c r="D46" s="105">
        <f t="shared" si="194"/>
        <v>232</v>
      </c>
      <c r="E46" s="105">
        <v>376</v>
      </c>
      <c r="F46" s="106">
        <v>213</v>
      </c>
      <c r="G46" s="3688">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2394</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9">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2395</v>
      </c>
      <c r="B48" s="107">
        <f t="shared" si="206"/>
        <v>275.19335084830601</v>
      </c>
      <c r="C48" s="107">
        <f t="shared" si="206"/>
        <v>230.18088050139701</v>
      </c>
      <c r="D48" s="107">
        <f t="shared" si="194"/>
        <v>230.18088050139701</v>
      </c>
      <c r="E48" s="107">
        <f t="shared" si="207"/>
        <v>377.58482925212297</v>
      </c>
      <c r="F48" s="107">
        <f t="shared" si="207"/>
        <v>210.906879978479</v>
      </c>
      <c r="G48" s="3689">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2396</v>
      </c>
      <c r="B49" s="107">
        <f t="shared" si="206"/>
        <v>276.29854502841999</v>
      </c>
      <c r="C49" s="107">
        <f t="shared" si="206"/>
        <v>229.79023709833001</v>
      </c>
      <c r="D49" s="107">
        <f t="shared" si="194"/>
        <v>229.79023709833001</v>
      </c>
      <c r="E49" s="107">
        <f t="shared" si="207"/>
        <v>379.78759731655902</v>
      </c>
      <c r="F49" s="107">
        <f t="shared" si="207"/>
        <v>211.32953905659201</v>
      </c>
      <c r="G49" s="3690">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2397</v>
      </c>
      <c r="B50" s="105">
        <v>269</v>
      </c>
      <c r="C50" s="105">
        <v>221</v>
      </c>
      <c r="D50" s="105">
        <f t="shared" si="194"/>
        <v>221</v>
      </c>
      <c r="E50" s="105">
        <v>373</v>
      </c>
      <c r="F50" s="106">
        <v>196</v>
      </c>
      <c r="G50" s="3688">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2398</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9">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2399</v>
      </c>
      <c r="B52" s="107">
        <f t="shared" si="208"/>
        <v>242.95398227588399</v>
      </c>
      <c r="C52" s="107">
        <f t="shared" si="208"/>
        <v>199.591370536141</v>
      </c>
      <c r="D52" s="107">
        <f t="shared" si="194"/>
        <v>199.591370536141</v>
      </c>
      <c r="E52" s="107">
        <f t="shared" si="209"/>
        <v>335.92189522342102</v>
      </c>
      <c r="F52" s="107">
        <f t="shared" si="209"/>
        <v>183.101399911095</v>
      </c>
      <c r="G52" s="3689">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2400</v>
      </c>
      <c r="B53" s="107">
        <f t="shared" si="208"/>
        <v>232.06990378821601</v>
      </c>
      <c r="C53" s="107">
        <f t="shared" si="208"/>
        <v>192.74878854286899</v>
      </c>
      <c r="D53" s="107">
        <f t="shared" si="194"/>
        <v>192.74878854286899</v>
      </c>
      <c r="E53" s="107">
        <f t="shared" si="209"/>
        <v>319.71247284993001</v>
      </c>
      <c r="F53" s="107">
        <f t="shared" si="209"/>
        <v>175.670536228624</v>
      </c>
      <c r="G53" s="3690">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2401</v>
      </c>
      <c r="B54" s="105">
        <v>220</v>
      </c>
      <c r="C54" s="105">
        <v>187</v>
      </c>
      <c r="D54" s="105">
        <f t="shared" si="194"/>
        <v>187</v>
      </c>
      <c r="E54" s="105">
        <v>301</v>
      </c>
      <c r="F54" s="106">
        <v>168</v>
      </c>
      <c r="G54" s="3688">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2402</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9">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2403</v>
      </c>
      <c r="B56" s="107">
        <f t="shared" si="210"/>
        <v>210.630522469011</v>
      </c>
      <c r="C56" s="107">
        <f t="shared" si="210"/>
        <v>181.695678122472</v>
      </c>
      <c r="D56" s="107">
        <f t="shared" si="194"/>
        <v>181.695678122472</v>
      </c>
      <c r="E56" s="107">
        <f t="shared" si="211"/>
        <v>286.13517466736698</v>
      </c>
      <c r="F56" s="107">
        <f t="shared" si="211"/>
        <v>165.47535084591101</v>
      </c>
      <c r="G56" s="3689">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2404</v>
      </c>
      <c r="B57" s="107">
        <f t="shared" si="210"/>
        <v>208.834545378754</v>
      </c>
      <c r="C57" s="107">
        <f t="shared" si="210"/>
        <v>183.77230517090399</v>
      </c>
      <c r="D57" s="107">
        <f t="shared" si="194"/>
        <v>183.77230517090399</v>
      </c>
      <c r="E57" s="107">
        <f t="shared" si="211"/>
        <v>281.10342338870902</v>
      </c>
      <c r="F57" s="107">
        <f t="shared" si="211"/>
        <v>168.97309388942301</v>
      </c>
      <c r="G57" s="3690">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2405</v>
      </c>
      <c r="B58" s="118">
        <v>214</v>
      </c>
      <c r="C58" s="118">
        <v>188</v>
      </c>
      <c r="D58" s="118">
        <f t="shared" si="194"/>
        <v>188</v>
      </c>
      <c r="E58" s="118">
        <v>289</v>
      </c>
      <c r="F58" s="119">
        <v>166</v>
      </c>
      <c r="G58" s="3688">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2406</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9">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2407</v>
      </c>
      <c r="B60" s="107">
        <f t="shared" si="212"/>
        <v>206.31694671589099</v>
      </c>
      <c r="C60" s="107">
        <f t="shared" si="212"/>
        <v>183.61041121036101</v>
      </c>
      <c r="D60" s="107">
        <f t="shared" si="194"/>
        <v>183.61041121036101</v>
      </c>
      <c r="E60" s="107">
        <f t="shared" si="213"/>
        <v>276.66850301795603</v>
      </c>
      <c r="F60" s="107">
        <f t="shared" si="213"/>
        <v>165.136093827861</v>
      </c>
      <c r="G60" s="3689">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2408</v>
      </c>
      <c r="B61" s="121">
        <f t="shared" si="212"/>
        <v>196.62341248059801</v>
      </c>
      <c r="C61" s="121">
        <f t="shared" si="212"/>
        <v>170.99125648199001</v>
      </c>
      <c r="D61" s="121">
        <f t="shared" si="194"/>
        <v>170.99125648199001</v>
      </c>
      <c r="E61" s="121">
        <f t="shared" si="213"/>
        <v>266.07857570490103</v>
      </c>
      <c r="F61" s="121">
        <f t="shared" si="213"/>
        <v>154.53499328828499</v>
      </c>
      <c r="G61" s="3690">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2409</v>
      </c>
      <c r="B62" s="105">
        <v>188</v>
      </c>
      <c r="C62" s="105">
        <v>165</v>
      </c>
      <c r="D62" s="105">
        <f t="shared" si="194"/>
        <v>165</v>
      </c>
      <c r="E62" s="105">
        <v>254</v>
      </c>
      <c r="F62" s="106">
        <v>148</v>
      </c>
      <c r="G62" s="3688">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2410</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9">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2411</v>
      </c>
      <c r="B64" s="107">
        <f t="shared" si="216"/>
        <v>168.820177487156</v>
      </c>
      <c r="C64" s="107">
        <f t="shared" si="216"/>
        <v>148.06267029972801</v>
      </c>
      <c r="D64" s="107">
        <f t="shared" si="194"/>
        <v>148.06267029972801</v>
      </c>
      <c r="E64" s="107">
        <f t="shared" si="217"/>
        <v>216.46288379323701</v>
      </c>
      <c r="F64" s="107">
        <f t="shared" si="217"/>
        <v>134.23529411764699</v>
      </c>
      <c r="G64" s="3689">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2412</v>
      </c>
      <c r="B65" s="107">
        <f t="shared" si="216"/>
        <v>163.849135917795</v>
      </c>
      <c r="C65" s="107">
        <f t="shared" si="216"/>
        <v>145.028337874659</v>
      </c>
      <c r="D65" s="107">
        <f t="shared" si="194"/>
        <v>145.028337874659</v>
      </c>
      <c r="E65" s="107">
        <f t="shared" si="217"/>
        <v>204.95180722891601</v>
      </c>
      <c r="F65" s="107">
        <f t="shared" si="217"/>
        <v>125.959203036053</v>
      </c>
      <c r="G65" s="3690">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2413</v>
      </c>
      <c r="B66" s="111">
        <v>159</v>
      </c>
      <c r="C66" s="111">
        <v>141</v>
      </c>
      <c r="D66" s="111">
        <f t="shared" si="194"/>
        <v>141</v>
      </c>
      <c r="E66" s="111">
        <v>195</v>
      </c>
      <c r="F66" s="112">
        <v>122</v>
      </c>
      <c r="G66" s="3688">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2414</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9">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2415</v>
      </c>
      <c r="B68" s="107">
        <f t="shared" si="220"/>
        <v>146.57412060301499</v>
      </c>
      <c r="C68" s="107">
        <f t="shared" si="220"/>
        <v>136.468319559229</v>
      </c>
      <c r="D68" s="107">
        <f t="shared" si="194"/>
        <v>136.468319559229</v>
      </c>
      <c r="E68" s="107">
        <f t="shared" si="221"/>
        <v>166.73864894795099</v>
      </c>
      <c r="F68" s="107">
        <f t="shared" si="221"/>
        <v>115.058823529412</v>
      </c>
      <c r="G68" s="3689">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2416</v>
      </c>
      <c r="B69" s="107">
        <f t="shared" si="220"/>
        <v>144.04145728643201</v>
      </c>
      <c r="C69" s="107">
        <f t="shared" si="220"/>
        <v>136.123966942149</v>
      </c>
      <c r="D69" s="107">
        <f t="shared" si="194"/>
        <v>136.123966942149</v>
      </c>
      <c r="E69" s="107">
        <f t="shared" si="221"/>
        <v>158.32225913621301</v>
      </c>
      <c r="F69" s="107">
        <f t="shared" si="221"/>
        <v>114.04278074866301</v>
      </c>
      <c r="G69" s="3690">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2417</v>
      </c>
      <c r="B70" s="111">
        <v>138</v>
      </c>
      <c r="C70" s="111">
        <v>131</v>
      </c>
      <c r="D70" s="111">
        <f t="shared" si="194"/>
        <v>131</v>
      </c>
      <c r="E70" s="111">
        <v>155</v>
      </c>
      <c r="F70" s="112">
        <v>114</v>
      </c>
      <c r="G70" s="3688">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2418</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9">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2419</v>
      </c>
      <c r="B72" s="107">
        <f t="shared" si="224"/>
        <v>124.290322580645</v>
      </c>
      <c r="C72" s="107">
        <f t="shared" si="224"/>
        <v>123.896860986547</v>
      </c>
      <c r="D72" s="107">
        <f t="shared" si="194"/>
        <v>123.896860986547</v>
      </c>
      <c r="E72" s="107">
        <f t="shared" si="225"/>
        <v>138.005076142132</v>
      </c>
      <c r="F72" s="107">
        <f t="shared" si="225"/>
        <v>107.96106557377</v>
      </c>
      <c r="G72" s="3689">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2420</v>
      </c>
      <c r="B73" s="107">
        <f t="shared" si="224"/>
        <v>122.57204301075301</v>
      </c>
      <c r="C73" s="107">
        <f t="shared" si="224"/>
        <v>123.493273542601</v>
      </c>
      <c r="D73" s="107">
        <f t="shared" si="194"/>
        <v>123.493273542601</v>
      </c>
      <c r="E73" s="107">
        <f t="shared" si="225"/>
        <v>129.82233502538099</v>
      </c>
      <c r="F73" s="107">
        <f t="shared" si="225"/>
        <v>107.39446721311501</v>
      </c>
      <c r="G73" s="3690">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2421</v>
      </c>
      <c r="B74" s="118">
        <v>121</v>
      </c>
      <c r="C74" s="118">
        <v>122</v>
      </c>
      <c r="D74" s="118">
        <f t="shared" si="194"/>
        <v>122</v>
      </c>
      <c r="E74" s="118">
        <v>124</v>
      </c>
      <c r="F74" s="119">
        <v>107</v>
      </c>
      <c r="G74" s="3688">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2422</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9">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2423</v>
      </c>
      <c r="B76" s="107">
        <f t="shared" si="228"/>
        <v>116.99099099099099</v>
      </c>
      <c r="C76" s="107">
        <f t="shared" si="228"/>
        <v>118.848484848485</v>
      </c>
      <c r="D76" s="107">
        <f t="shared" si="194"/>
        <v>118.848484848485</v>
      </c>
      <c r="E76" s="107">
        <f t="shared" si="229"/>
        <v>117.60960960961</v>
      </c>
      <c r="F76" s="107">
        <f t="shared" si="229"/>
        <v>104</v>
      </c>
      <c r="G76" s="3689">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2424</v>
      </c>
      <c r="B77" s="121">
        <f t="shared" si="228"/>
        <v>112.486486486486</v>
      </c>
      <c r="C77" s="121">
        <f t="shared" si="228"/>
        <v>115.212121212121</v>
      </c>
      <c r="D77" s="121">
        <f t="shared" si="194"/>
        <v>115.212121212121</v>
      </c>
      <c r="E77" s="121">
        <f t="shared" si="229"/>
        <v>110.402402402402</v>
      </c>
      <c r="F77" s="121">
        <f t="shared" si="229"/>
        <v>104</v>
      </c>
      <c r="G77" s="3690">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2425</v>
      </c>
      <c r="B78" s="179">
        <v>111</v>
      </c>
      <c r="C78" s="179">
        <v>114</v>
      </c>
      <c r="D78" s="179">
        <f t="shared" si="194"/>
        <v>114</v>
      </c>
      <c r="E78" s="179">
        <v>108</v>
      </c>
      <c r="F78" s="180">
        <v>104</v>
      </c>
      <c r="G78" s="3688">
        <v>2003</v>
      </c>
      <c r="H78" s="123">
        <v>4</v>
      </c>
      <c r="I78" s="195"/>
      <c r="J78" s="195"/>
      <c r="K78" s="195"/>
      <c r="L78" s="195"/>
      <c r="N78" s="196"/>
      <c r="O78" s="195"/>
      <c r="P78" s="195"/>
      <c r="Q78" s="195"/>
      <c r="S78" s="196"/>
      <c r="T78" s="195"/>
      <c r="U78" s="195"/>
      <c r="V78" s="195"/>
      <c r="X78" s="174"/>
      <c r="Y78" s="174"/>
      <c r="Z78" s="174"/>
    </row>
    <row r="79" spans="1:26">
      <c r="A79" s="101" t="s">
        <v>2426</v>
      </c>
      <c r="B79" s="181">
        <f t="shared" ref="B79:C81" si="230">B80+(B$78-B$82)/4</f>
        <v>109.75</v>
      </c>
      <c r="C79" s="181">
        <f t="shared" si="230"/>
        <v>112.25</v>
      </c>
      <c r="D79" s="181">
        <f t="shared" si="194"/>
        <v>112.25</v>
      </c>
      <c r="E79" s="181">
        <f t="shared" ref="E79:F81" si="231">E80+(E$78-E$82)/4</f>
        <v>107.25</v>
      </c>
      <c r="F79" s="181">
        <f t="shared" si="231"/>
        <v>103.5</v>
      </c>
      <c r="G79" s="3689">
        <v>2003</v>
      </c>
      <c r="H79" s="110">
        <v>3</v>
      </c>
      <c r="I79" s="195"/>
      <c r="J79" s="195"/>
      <c r="K79" s="195"/>
      <c r="L79" s="195"/>
      <c r="X79" s="174"/>
      <c r="Y79" s="174"/>
      <c r="Z79" s="174"/>
    </row>
    <row r="80" spans="1:26">
      <c r="A80" s="101" t="s">
        <v>2427</v>
      </c>
      <c r="B80" s="181">
        <f t="shared" si="230"/>
        <v>108.5</v>
      </c>
      <c r="C80" s="181">
        <f t="shared" si="230"/>
        <v>110.5</v>
      </c>
      <c r="D80" s="181">
        <f t="shared" si="194"/>
        <v>110.5</v>
      </c>
      <c r="E80" s="181">
        <f t="shared" si="231"/>
        <v>106.5</v>
      </c>
      <c r="F80" s="181">
        <f t="shared" si="231"/>
        <v>103</v>
      </c>
      <c r="G80" s="3689">
        <v>2003</v>
      </c>
      <c r="H80" s="108">
        <v>2</v>
      </c>
      <c r="I80" s="195"/>
      <c r="J80" s="195"/>
      <c r="K80" s="195"/>
      <c r="L80" s="195"/>
      <c r="X80" s="174"/>
      <c r="Y80" s="174"/>
      <c r="Z80" s="174"/>
    </row>
    <row r="81" spans="1:26">
      <c r="A81" s="101" t="s">
        <v>2428</v>
      </c>
      <c r="B81" s="181">
        <f t="shared" si="230"/>
        <v>107.25</v>
      </c>
      <c r="C81" s="181">
        <f t="shared" si="230"/>
        <v>108.75</v>
      </c>
      <c r="D81" s="181">
        <f t="shared" si="194"/>
        <v>108.75</v>
      </c>
      <c r="E81" s="181">
        <f t="shared" si="231"/>
        <v>105.75</v>
      </c>
      <c r="F81" s="181">
        <f t="shared" si="231"/>
        <v>102.5</v>
      </c>
      <c r="G81" s="3690">
        <v>2003</v>
      </c>
      <c r="H81" s="182">
        <v>1</v>
      </c>
      <c r="I81" s="195"/>
      <c r="J81" s="195"/>
      <c r="K81" s="195"/>
      <c r="L81" s="195"/>
      <c r="S81" s="139"/>
      <c r="T81" s="140"/>
      <c r="U81" s="140"/>
      <c r="X81" s="174"/>
      <c r="Y81" s="174"/>
      <c r="Z81" s="174"/>
    </row>
    <row r="82" spans="1:26">
      <c r="A82" s="101" t="s">
        <v>2429</v>
      </c>
      <c r="B82" s="183">
        <v>106</v>
      </c>
      <c r="C82" s="183">
        <v>107</v>
      </c>
      <c r="D82" s="183">
        <f t="shared" si="194"/>
        <v>107</v>
      </c>
      <c r="E82" s="183">
        <v>105</v>
      </c>
      <c r="F82" s="184">
        <v>102</v>
      </c>
      <c r="G82" s="3688">
        <v>2002</v>
      </c>
      <c r="H82" s="109">
        <v>4</v>
      </c>
      <c r="I82" s="195"/>
      <c r="J82" s="195"/>
      <c r="K82" s="195"/>
      <c r="L82" s="195"/>
      <c r="N82" s="196"/>
      <c r="O82" s="195"/>
      <c r="P82" s="195"/>
      <c r="Q82" s="195"/>
      <c r="S82" s="196"/>
      <c r="T82" s="195"/>
      <c r="U82" s="195"/>
      <c r="V82" s="195"/>
      <c r="X82" s="174"/>
      <c r="Y82" s="174"/>
      <c r="Z82" s="174"/>
    </row>
    <row r="83" spans="1:26">
      <c r="A83" s="101" t="s">
        <v>2430</v>
      </c>
      <c r="B83" s="181">
        <f t="shared" ref="B83:C85" si="232">B84+(B$82-B$86)/4</f>
        <v>105</v>
      </c>
      <c r="C83" s="181">
        <f t="shared" si="232"/>
        <v>106</v>
      </c>
      <c r="D83" s="181">
        <f t="shared" si="194"/>
        <v>106</v>
      </c>
      <c r="E83" s="181">
        <f t="shared" ref="E83:F85" si="233">E84+(E$82-E$86)/4</f>
        <v>104.5</v>
      </c>
      <c r="F83" s="181">
        <f t="shared" si="233"/>
        <v>101.5</v>
      </c>
      <c r="G83" s="3689">
        <v>2002</v>
      </c>
      <c r="H83" s="110">
        <v>3</v>
      </c>
      <c r="I83" s="195"/>
      <c r="J83" s="195"/>
      <c r="K83" s="195"/>
      <c r="L83" s="195"/>
      <c r="X83" s="174"/>
      <c r="Y83" s="174"/>
      <c r="Z83" s="174"/>
    </row>
    <row r="84" spans="1:26">
      <c r="A84" s="101" t="s">
        <v>2431</v>
      </c>
      <c r="B84" s="181">
        <f t="shared" si="232"/>
        <v>104</v>
      </c>
      <c r="C84" s="181">
        <f t="shared" si="232"/>
        <v>105</v>
      </c>
      <c r="D84" s="181">
        <f t="shared" si="194"/>
        <v>105</v>
      </c>
      <c r="E84" s="181">
        <f t="shared" si="233"/>
        <v>104</v>
      </c>
      <c r="F84" s="181">
        <f t="shared" si="233"/>
        <v>101</v>
      </c>
      <c r="G84" s="3689">
        <v>2002</v>
      </c>
      <c r="H84" s="108">
        <v>2</v>
      </c>
      <c r="I84" s="195"/>
      <c r="J84" s="195"/>
      <c r="K84" s="195"/>
      <c r="L84" s="195"/>
      <c r="X84" s="174"/>
      <c r="Y84" s="174"/>
      <c r="Z84" s="174"/>
    </row>
    <row r="85" spans="1:26" s="79" customFormat="1">
      <c r="A85" s="114" t="s">
        <v>2432</v>
      </c>
      <c r="B85" s="166">
        <f t="shared" si="232"/>
        <v>103</v>
      </c>
      <c r="C85" s="166">
        <f t="shared" si="232"/>
        <v>104</v>
      </c>
      <c r="D85" s="166">
        <f t="shared" si="194"/>
        <v>104</v>
      </c>
      <c r="E85" s="166">
        <f t="shared" si="233"/>
        <v>103.5</v>
      </c>
      <c r="F85" s="166">
        <f t="shared" si="233"/>
        <v>100.5</v>
      </c>
      <c r="G85" s="3690">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2433</v>
      </c>
      <c r="G88" s="190"/>
      <c r="N88" s="190"/>
      <c r="S88" s="190"/>
    </row>
    <row r="89" spans="1:26" s="81" customFormat="1">
      <c r="A89" s="81" t="s">
        <v>2434</v>
      </c>
      <c r="G89" s="190"/>
      <c r="N89" s="190"/>
      <c r="S89" s="190"/>
    </row>
    <row r="90" spans="1:26" s="81" customFormat="1">
      <c r="A90" s="81" t="s">
        <v>2435</v>
      </c>
      <c r="G90" s="190"/>
      <c r="I90" s="199"/>
      <c r="J90" s="199"/>
      <c r="K90" s="199"/>
      <c r="L90" s="199"/>
      <c r="N90" s="200"/>
      <c r="O90" s="199"/>
      <c r="P90" s="199"/>
      <c r="Q90" s="199"/>
      <c r="S90" s="200"/>
      <c r="T90" s="199"/>
      <c r="U90" s="199"/>
      <c r="V90" s="199"/>
    </row>
    <row r="91" spans="1:26" s="81" customFormat="1">
      <c r="A91" s="81" t="s">
        <v>2436</v>
      </c>
      <c r="G91" s="190"/>
      <c r="N91" s="190"/>
      <c r="S91" s="190"/>
    </row>
    <row r="99" spans="7:22">
      <c r="G99" s="82"/>
      <c r="S99" s="203" t="s">
        <v>2437</v>
      </c>
      <c r="T99" s="204" t="s">
        <v>2438</v>
      </c>
      <c r="U99" s="204" t="s">
        <v>2439</v>
      </c>
      <c r="V99" s="204" t="s">
        <v>2440</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44620</v>
      </c>
      <c r="D1" s="7" t="s">
        <v>2441</v>
      </c>
      <c r="E1" s="9">
        <f>'数据-取费表'!B24</f>
        <v>2</v>
      </c>
      <c r="F1" s="7" t="s">
        <v>2442</v>
      </c>
      <c r="G1" s="10">
        <f ca="1">INDIRECT("d"&amp;$K$1)/100</f>
        <v>3.7000000000000005E-2</v>
      </c>
      <c r="H1" s="7" t="s">
        <v>2443</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2442</v>
      </c>
      <c r="E2" s="11"/>
      <c r="F2" s="11" t="s">
        <v>2444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2449</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2451</v>
      </c>
      <c r="C10" s="35"/>
      <c r="D10" s="35"/>
      <c r="E10" s="35"/>
      <c r="F10" s="35"/>
      <c r="G10" s="35"/>
      <c r="H10" s="35"/>
      <c r="I10" s="3"/>
      <c r="J10" s="3"/>
      <c r="K10" s="35"/>
      <c r="L10" s="36" t="s">
        <v>2452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2453</v>
      </c>
      <c r="C11" s="39" t="s">
        <v>2454</v>
      </c>
      <c r="D11" s="40" t="s">
        <v>2455</v>
      </c>
      <c r="E11" s="41"/>
      <c r="F11" s="40" t="s">
        <v>2456</v>
      </c>
      <c r="G11" s="42"/>
      <c r="H11" s="41"/>
      <c r="I11" s="40" t="s">
        <v>2457</v>
      </c>
      <c r="J11" s="41"/>
      <c r="K11" s="37"/>
      <c r="L11" s="38" t="s">
        <v>2453</v>
      </c>
      <c r="M11" s="39" t="s">
        <v>2454</v>
      </c>
      <c r="N11" s="38" t="s">
        <v>2458</v>
      </c>
      <c r="O11" s="40" t="s">
        <v>2459</v>
      </c>
      <c r="P11" s="42"/>
      <c r="Q11" s="42"/>
      <c r="R11" s="42"/>
      <c r="S11" s="42"/>
      <c r="T11" s="41"/>
      <c r="U11" s="40" t="s">
        <v>2460</v>
      </c>
      <c r="V11" s="42"/>
      <c r="W11" s="41"/>
      <c r="X11" s="38" t="s">
        <v>2461</v>
      </c>
      <c r="Y11" s="38" t="s">
        <v>2462</v>
      </c>
      <c r="Z11" s="38" t="s">
        <v>2463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2464</v>
      </c>
      <c r="E12" s="46" t="s">
        <v>2446</v>
      </c>
      <c r="F12" s="46" t="s">
        <v>2447</v>
      </c>
      <c r="G12" s="46" t="s">
        <v>2448</v>
      </c>
      <c r="H12" s="46" t="s">
        <v>2449</v>
      </c>
      <c r="I12" s="57" t="s">
        <v>2465</v>
      </c>
      <c r="J12" s="57" t="s">
        <v>2465</v>
      </c>
      <c r="K12" s="43"/>
      <c r="L12" s="44"/>
      <c r="M12" s="45"/>
      <c r="N12" s="44"/>
      <c r="O12" s="57" t="s">
        <v>2466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2467</v>
      </c>
      <c r="C13" s="49">
        <v>44581</v>
      </c>
      <c r="D13" s="50">
        <v>3.7</v>
      </c>
      <c r="E13" s="50">
        <f t="shared" ref="E13:E19" si="0">D13</f>
        <v>3.7</v>
      </c>
      <c r="F13" s="50">
        <f t="shared" ref="F13:F19" si="1">D13</f>
        <v>3.7</v>
      </c>
      <c r="G13" s="50">
        <f t="shared" ref="G13:G19" si="2">D13</f>
        <v>3.7</v>
      </c>
      <c r="H13" s="50">
        <v>4.5999999999999996</v>
      </c>
      <c r="I13" s="50"/>
      <c r="J13" s="50"/>
      <c r="K13" s="47"/>
      <c r="L13" s="48" t="s">
        <v>2467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2468</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2469</v>
      </c>
      <c r="Y42" s="51" t="s">
        <v>2469</v>
      </c>
      <c r="Z42" s="51" t="s">
        <v>2469</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2469</v>
      </c>
      <c r="Y43" s="51" t="s">
        <v>2469</v>
      </c>
      <c r="Z43" s="51" t="s">
        <v>2469</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2469</v>
      </c>
      <c r="Y44" s="51" t="s">
        <v>2469</v>
      </c>
      <c r="Z44" s="51" t="s">
        <v>2469</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2469</v>
      </c>
      <c r="Y45" s="51" t="s">
        <v>2469</v>
      </c>
      <c r="Z45" s="51" t="s">
        <v>2469</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2469</v>
      </c>
      <c r="Y46" s="51" t="s">
        <v>2469</v>
      </c>
      <c r="Z46" s="51" t="s">
        <v>2469</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2469</v>
      </c>
      <c r="Y47" s="51" t="s">
        <v>2469</v>
      </c>
      <c r="Z47" s="51" t="s">
        <v>2469</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2469</v>
      </c>
      <c r="Y48" s="51" t="s">
        <v>2469</v>
      </c>
      <c r="Z48" s="51" t="s">
        <v>2469</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2469</v>
      </c>
      <c r="Y49" s="51" t="s">
        <v>2469</v>
      </c>
      <c r="Z49" s="51" t="s">
        <v>2469</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2469</v>
      </c>
      <c r="Y50" s="51" t="s">
        <v>2469</v>
      </c>
      <c r="Z50" s="51" t="s">
        <v>2469</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2469</v>
      </c>
      <c r="V51" s="51" t="s">
        <v>2469</v>
      </c>
      <c r="W51" s="51" t="s">
        <v>2469</v>
      </c>
      <c r="X51" s="51" t="s">
        <v>2469</v>
      </c>
      <c r="Y51" s="51" t="s">
        <v>2469</v>
      </c>
      <c r="Z51" s="51" t="s">
        <v>2469</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2469</v>
      </c>
      <c r="J62" s="51" t="s">
        <v>2469</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3.5"/>
  <sheetData>
    <row r="8" spans="15:15">
      <c r="O8">
        <v>2.7</v>
      </c>
    </row>
    <row r="18" spans="15:15">
      <c r="O18">
        <v>3.3</v>
      </c>
    </row>
    <row r="28" spans="15:15">
      <c r="O28">
        <v>2.94</v>
      </c>
    </row>
    <row r="40" spans="15:15">
      <c r="O40">
        <v>2.1</v>
      </c>
    </row>
  </sheetData>
  <phoneticPr fontId="2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357" customWidth="1"/>
    <col min="2" max="2" width="37.875" style="2357" customWidth="1"/>
    <col min="3" max="3" width="16.125" style="2357" customWidth="1"/>
    <col min="4" max="4" width="22.25" style="2357" customWidth="1"/>
    <col min="5" max="5" width="4.125" style="2357" customWidth="1"/>
    <col min="6" max="7" width="13" style="2357" customWidth="1"/>
    <col min="8" max="16384" width="9" style="2357"/>
  </cols>
  <sheetData>
    <row r="1" spans="1:5" ht="18.75">
      <c r="A1" s="3220" t="s">
        <v>86</v>
      </c>
      <c r="B1" s="3221"/>
      <c r="C1" s="3221"/>
      <c r="D1" s="3221"/>
      <c r="E1" s="3221"/>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6"/>
      <c r="C2" s="3316"/>
      <c r="D2" s="3316"/>
      <c r="E2" s="3316"/>
    </row>
    <row r="3" spans="1:5" ht="13.5" customHeight="1">
      <c r="A3" s="3222"/>
      <c r="B3" s="3222"/>
      <c r="C3" s="3222"/>
      <c r="D3" s="3222"/>
      <c r="E3" s="3222"/>
    </row>
    <row r="4" spans="1:5" ht="18.75">
      <c r="A4" s="3317" t="str">
        <f>IF(项目基本情况!D5="房地产市场价值","估价结果一览表（市场价值不需本页表格)","估价结果一览表")</f>
        <v>估价结果一览表（市场价值不需本页表格)</v>
      </c>
      <c r="B4" s="3317"/>
      <c r="C4" s="3317"/>
      <c r="D4" s="3317"/>
      <c r="E4" s="3317"/>
    </row>
    <row r="5" spans="1:5" ht="14.25" customHeight="1">
      <c r="A5" s="3221"/>
      <c r="B5" s="3223" t="s">
        <v>87</v>
      </c>
      <c r="C5" s="3318" t="s">
        <v>88</v>
      </c>
      <c r="D5" s="3319"/>
      <c r="E5" s="3221"/>
    </row>
    <row r="6" spans="1:5" ht="14.25">
      <c r="A6" s="3221"/>
      <c r="B6" s="3224" t="str">
        <f>项目基本情况!I1</f>
        <v>XX房地产</v>
      </c>
      <c r="C6" s="3320">
        <f>项目基本情况!C12</f>
        <v>167.24</v>
      </c>
      <c r="D6" s="3320"/>
      <c r="E6" s="3221"/>
    </row>
    <row r="7" spans="1:5" ht="14.25">
      <c r="A7" s="3221"/>
      <c r="B7" s="3322" t="s">
        <v>89</v>
      </c>
      <c r="C7" s="3226" t="str">
        <f>IF('数据-取费表'!B3="万元","总价（万元）","总价（元）")</f>
        <v>总价（万元）</v>
      </c>
      <c r="D7" s="3225">
        <f>IF('数据-取费表'!E3="否",结果表!I102,'结果表 (1修多)'!I104)</f>
        <v>0</v>
      </c>
      <c r="E7" s="3221"/>
    </row>
    <row r="8" spans="1:5" ht="14.25">
      <c r="A8" s="3221"/>
      <c r="B8" s="3322"/>
      <c r="C8" s="3227" t="s">
        <v>90</v>
      </c>
      <c r="D8" s="3228" t="str">
        <f>IF('数据-取费表'!B3="万元",NUMBERSTRING(INT(D7*10000),2)&amp;"元整",NUMBERSTRING(INT(D7),2)&amp;"元整")</f>
        <v>零元整</v>
      </c>
      <c r="E8" s="3221"/>
    </row>
    <row r="9" spans="1:5" ht="14.25">
      <c r="A9" s="3221"/>
      <c r="B9" s="3322"/>
      <c r="C9" s="3229" t="s">
        <v>91</v>
      </c>
      <c r="D9" s="3225" t="e">
        <f>IF('数据-取费表'!E3="否",结果表!I103,'结果表 (1修多)'!I105)</f>
        <v>#DIV/0!</v>
      </c>
      <c r="E9" s="3221"/>
    </row>
    <row r="10" spans="1:5" ht="14.25">
      <c r="A10" s="3221"/>
      <c r="B10" s="3323"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4.25">
      <c r="A11" s="3221"/>
      <c r="B11" s="3323"/>
      <c r="C11" s="3227" t="s">
        <v>90</v>
      </c>
      <c r="D11" s="3228" t="str">
        <f>IF('数据-取费表'!B3="万元",NUMBERSTRING(INT(D10*10000),2)&amp;"元整",NUMBERSTRING(INT(D10),2)&amp;"元整")</f>
        <v>零元整</v>
      </c>
      <c r="E11" s="3221"/>
    </row>
    <row r="12" spans="1:5" ht="14.25">
      <c r="A12" s="3221"/>
      <c r="B12" s="3231" t="s">
        <v>92</v>
      </c>
      <c r="C12" s="3232" t="str">
        <f>C10</f>
        <v>总额（万元）</v>
      </c>
      <c r="D12" s="3233">
        <f>IF('数据-取费表'!E3="否",结果表!I106,'结果表 (1修多)'!I108)</f>
        <v>0</v>
      </c>
      <c r="E12" s="3221"/>
    </row>
    <row r="13" spans="1:5" ht="14.25">
      <c r="A13" s="3221"/>
      <c r="B13" s="3231" t="s">
        <v>93</v>
      </c>
      <c r="C13" s="3232" t="str">
        <f>C10</f>
        <v>总额（万元）</v>
      </c>
      <c r="D13" s="3233">
        <f>IF('数据-取费表'!E3="否",结果表!I107,'结果表 (1修多)'!I109)</f>
        <v>0</v>
      </c>
      <c r="E13" s="3221"/>
    </row>
    <row r="14" spans="1:5" ht="14.25">
      <c r="A14" s="3221"/>
      <c r="B14" s="3231" t="s">
        <v>94</v>
      </c>
      <c r="C14" s="3232" t="str">
        <f>C10</f>
        <v>总额（万元）</v>
      </c>
      <c r="D14" s="3233">
        <f>IF('数据-取费表'!E3="否",结果表!I108,'结果表 (1修多)'!I110)</f>
        <v>0</v>
      </c>
      <c r="E14" s="3221"/>
    </row>
    <row r="15" spans="1:5" ht="14.25">
      <c r="A15" s="3221"/>
      <c r="B15" s="3323" t="str">
        <f>IF('数据-取费表'!E3="否",结果表!F110,'结果表 (1修多)'!F112)</f>
        <v>3.房地产抵押价值</v>
      </c>
      <c r="C15" s="3234" t="str">
        <f>C7</f>
        <v>总价（万元）</v>
      </c>
      <c r="D15" s="3225">
        <f>IF('数据-取费表'!E3="否",结果表!I110,'结果表 (1修多)'!I112)</f>
        <v>0</v>
      </c>
      <c r="E15" s="3221"/>
    </row>
    <row r="16" spans="1:5" ht="14.25">
      <c r="A16" s="3221"/>
      <c r="B16" s="3323"/>
      <c r="C16" s="3227" t="s">
        <v>90</v>
      </c>
      <c r="D16" s="3225" t="str">
        <f>IF('数据-取费表'!B3="万元",NUMBERSTRING(INT(D15*10000),2)&amp;"元整",NUMBERSTRING(INT(D15),2)&amp;"元整")</f>
        <v>零元整</v>
      </c>
      <c r="E16" s="3221"/>
    </row>
    <row r="17" spans="1:5" ht="14.25">
      <c r="A17" s="3221"/>
      <c r="B17" s="3323"/>
      <c r="C17" s="3229" t="s">
        <v>91</v>
      </c>
      <c r="D17" s="3225" t="e">
        <f>IF('数据-取费表'!E3="否",结果表!I111,'结果表 (1修多)'!I113)</f>
        <v>#DIV/0!</v>
      </c>
      <c r="E17" s="3221"/>
    </row>
    <row r="18" spans="1:5" ht="14.25">
      <c r="A18" s="3221"/>
      <c r="B18" s="3323" t="str">
        <f>IF('数据-取费表'!E3="否",结果表!F112,'结果表 (1修多)'!F114)</f>
        <v>——</v>
      </c>
      <c r="C18" s="3234" t="str">
        <f>C7</f>
        <v>总价（万元）</v>
      </c>
      <c r="D18" s="3225" t="str">
        <f>IF('数据-取费表'!E3="否",结果表!I112,'结果表 (1修多)'!I114)</f>
        <v>——</v>
      </c>
      <c r="E18" s="3221"/>
    </row>
    <row r="19" spans="1:5" ht="14.25">
      <c r="A19" s="3221"/>
      <c r="B19" s="3323"/>
      <c r="C19" s="3227" t="s">
        <v>90</v>
      </c>
      <c r="D19" s="3225" t="e">
        <f>IF('数据-取费表'!B3="万元",NUMBERSTRING(INT(D18*10000),2)&amp;"元整",NUMBERSTRING(INT(D18),2)&amp;"元整")</f>
        <v>#VALUE!</v>
      </c>
      <c r="E19" s="3221"/>
    </row>
    <row r="20" spans="1:5" ht="14.25">
      <c r="A20" s="3221"/>
      <c r="B20" s="3323"/>
      <c r="C20" s="3229" t="s">
        <v>91</v>
      </c>
      <c r="D20" s="3225" t="str">
        <f>IF('数据-取费表'!E3="否",结果表!I113,'结果表 (1修多)'!I115)</f>
        <v>——</v>
      </c>
      <c r="E20" s="3221"/>
    </row>
    <row r="21" spans="1:5" ht="14.25">
      <c r="A21" s="3221"/>
      <c r="B21" s="3322" t="str">
        <f>IF('数据-取费表'!E3="否",结果表!F114,'结果表 (1修多)'!F116)</f>
        <v>——</v>
      </c>
      <c r="C21" s="3226" t="str">
        <f>C7</f>
        <v>总价（万元）</v>
      </c>
      <c r="D21" s="3225" t="str">
        <f>IF('数据-取费表'!E3="否",结果表!I114,'结果表 (1修多)'!I116)</f>
        <v>——</v>
      </c>
      <c r="E21" s="3221"/>
    </row>
    <row r="22" spans="1:5" ht="14.25">
      <c r="A22" s="3221"/>
      <c r="B22" s="3322"/>
      <c r="C22" s="3227" t="s">
        <v>90</v>
      </c>
      <c r="D22" s="3228" t="e">
        <f>IF('数据-取费表'!B3="万元",NUMBERSTRING(INT(D21*10000),2)&amp;"元整",NUMBERSTRING(INT(D21),2)&amp;"元整")</f>
        <v>#VALUE!</v>
      </c>
      <c r="E22" s="3221"/>
    </row>
    <row r="23" spans="1:5" ht="14.25">
      <c r="A23" s="3221"/>
      <c r="B23" s="3324"/>
      <c r="C23" s="3235" t="s">
        <v>91</v>
      </c>
      <c r="D23" s="3236" t="str">
        <f>IF('数据-取费表'!E3="否",结果表!I115,'结果表 (1修多)'!I117)</f>
        <v>——</v>
      </c>
      <c r="E23" s="3221"/>
    </row>
    <row r="24" spans="1:5">
      <c r="A24" s="3221"/>
      <c r="B24" s="3221"/>
      <c r="C24" s="3221"/>
      <c r="D24" s="3221"/>
      <c r="E24" s="3221"/>
    </row>
    <row r="25" spans="1:5" ht="18.75" customHeight="1">
      <c r="A25" s="3221"/>
      <c r="B25" s="3321" t="s">
        <v>95</v>
      </c>
      <c r="C25" s="3321"/>
      <c r="D25" s="3321"/>
      <c r="E25" s="3221"/>
    </row>
    <row r="26" spans="1:5" ht="18.75" customHeight="1">
      <c r="A26" s="3221"/>
      <c r="B26" s="3312" t="s">
        <v>96</v>
      </c>
      <c r="C26" s="3313"/>
      <c r="D26" s="3310" t="s">
        <v>97</v>
      </c>
      <c r="E26" s="3221"/>
    </row>
    <row r="27" spans="1:5" ht="18.75" customHeight="1">
      <c r="A27" s="3221"/>
      <c r="B27" s="3314"/>
      <c r="C27" s="3315"/>
      <c r="D27" s="3311"/>
      <c r="E27" s="3221"/>
    </row>
    <row r="28" spans="1:5" ht="14.25">
      <c r="A28" s="3221"/>
      <c r="B28" s="3302" t="s">
        <v>89</v>
      </c>
      <c r="C28" s="3238" t="s">
        <v>98</v>
      </c>
      <c r="D28" s="3239">
        <f>IF('数据-取费表'!E3="否",结果表!I102,'结果表 (1修多)'!I104)</f>
        <v>0</v>
      </c>
      <c r="E28" s="3221"/>
    </row>
    <row r="29" spans="1:5" ht="14.25">
      <c r="A29" s="3221"/>
      <c r="B29" s="3303"/>
      <c r="C29" s="3240" t="s">
        <v>90</v>
      </c>
      <c r="D29" s="3241" t="str">
        <f>IF('数据-取费表'!B3="万元",NUMBERSTRING(INT(D28*10000),2)&amp;"元整",NUMBERSTRING(INT(D28),2)&amp;"元整")</f>
        <v>零元整</v>
      </c>
      <c r="E29" s="3221"/>
    </row>
    <row r="30" spans="1:5" ht="14.25">
      <c r="A30" s="3221"/>
      <c r="B30" s="3304"/>
      <c r="C30" s="3229" t="s">
        <v>99</v>
      </c>
      <c r="D30" s="3242" t="e">
        <f>IF('数据-取费表'!E3="否",结果表!I103,'结果表 (1修多)'!I105)</f>
        <v>#DIV/0!</v>
      </c>
      <c r="E30" s="3221"/>
    </row>
    <row r="31" spans="1:5" ht="14.25">
      <c r="A31" s="3221"/>
      <c r="B31" s="3305" t="str">
        <f>B10</f>
        <v>2.估价师所知悉的法定优先受偿款</v>
      </c>
      <c r="C31" s="3243" t="s">
        <v>100</v>
      </c>
      <c r="D31" s="3237">
        <f>IF('数据-取费表'!E3="否",结果表!I105,'结果表 (1修多)'!I107)</f>
        <v>0</v>
      </c>
      <c r="E31" s="3221"/>
    </row>
    <row r="32" spans="1:5" ht="14.25">
      <c r="A32" s="3221"/>
      <c r="B32" s="3306"/>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07" t="str">
        <f>B15</f>
        <v>3.房地产抵押价值</v>
      </c>
      <c r="C36" s="3243" t="str">
        <f>C28</f>
        <v>总价</v>
      </c>
      <c r="D36" s="3237">
        <f>IF('数据-取费表'!E3="否",结果表!I110,'结果表 (1修多)'!I112)</f>
        <v>0</v>
      </c>
      <c r="E36" s="3221"/>
    </row>
    <row r="37" spans="1:5" ht="14.25">
      <c r="A37" s="3221"/>
      <c r="B37" s="3307"/>
      <c r="C37" s="3240" t="s">
        <v>90</v>
      </c>
      <c r="D37" s="3244" t="str">
        <f>IF('数据-取费表'!B3="万元",NUMBERSTRING(INT(D36*10000),2)&amp;"元整",NUMBERSTRING(INT(D36),2)&amp;"元整")</f>
        <v>零元整</v>
      </c>
      <c r="E37" s="3221"/>
    </row>
    <row r="38" spans="1:5" ht="14.25">
      <c r="A38" s="3221"/>
      <c r="B38" s="3307"/>
      <c r="C38" s="3229" t="s">
        <v>99</v>
      </c>
      <c r="D38" s="3242" t="e">
        <f>IF('数据-取费表'!E3="否",结果表!D113,'结果表 (1修多)'!D117)</f>
        <v>#DIV/0!</v>
      </c>
      <c r="E38" s="3221"/>
    </row>
    <row r="39" spans="1:5" ht="14.25">
      <c r="A39" s="3221"/>
      <c r="B39" s="3308" t="str">
        <f>B18</f>
        <v>——</v>
      </c>
      <c r="C39" s="3243" t="str">
        <f>C28</f>
        <v>总价</v>
      </c>
      <c r="D39" s="3237" t="str">
        <f>IF('数据-取费表'!E3="否",结果表!I112,'结果表 (1修多)'!I114)</f>
        <v>——</v>
      </c>
      <c r="E39" s="3221"/>
    </row>
    <row r="40" spans="1:5" ht="14.25">
      <c r="A40" s="3221"/>
      <c r="B40" s="3308"/>
      <c r="C40" s="3240" t="s">
        <v>90</v>
      </c>
      <c r="D40" s="3244" t="e">
        <f>IF('数据-取费表'!B3="万元",NUMBERSTRING(INT(D39*10000),2)&amp;"元整",NUMBERSTRING(INT(D39),2)&amp;"元整")</f>
        <v>#VALUE!</v>
      </c>
      <c r="E40" s="3221"/>
    </row>
    <row r="41" spans="1:5" ht="14.25">
      <c r="A41" s="3221"/>
      <c r="B41" s="3308"/>
      <c r="C41" s="3229" t="s">
        <v>99</v>
      </c>
      <c r="D41" s="3242" t="str">
        <f>IF('数据-取费表'!E3="否",结果表!D115,'结果表 (1修多)'!D119)</f>
        <v>——</v>
      </c>
      <c r="E41" s="3221"/>
    </row>
    <row r="42" spans="1:5" ht="14.25">
      <c r="A42" s="3221"/>
      <c r="B42" s="3307" t="str">
        <f>B21</f>
        <v>——</v>
      </c>
      <c r="C42" s="3243" t="str">
        <f>C28</f>
        <v>总价</v>
      </c>
      <c r="D42" s="3237" t="str">
        <f>IF('数据-取费表'!E3="否",结果表!I114,'结果表 (1修多)'!I116)</f>
        <v>——</v>
      </c>
      <c r="E42" s="3221"/>
    </row>
    <row r="43" spans="1:5" ht="14.25">
      <c r="A43" s="3221"/>
      <c r="B43" s="3305"/>
      <c r="C43" s="3240" t="s">
        <v>90</v>
      </c>
      <c r="D43" s="3245" t="e">
        <f>IF('数据-取费表'!B3="万元",NUMBERSTRING(INT(D42*10000),2)&amp;"元整",NUMBERSTRING(INT(D42),2)&amp;"元整")</f>
        <v>#VALUE!</v>
      </c>
      <c r="E43" s="3221"/>
    </row>
    <row r="44" spans="1:5" ht="14.25">
      <c r="A44" s="3221"/>
      <c r="B44" s="3309"/>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8.75">
      <c r="B46" s="3247"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34" t="str">
        <f>IF(项目基本情况!D5="房地产市场价值","估价结果一览表","结果表-2")</f>
        <v>估价结果一览表</v>
      </c>
      <c r="B1" s="3334"/>
      <c r="C1" s="3334"/>
      <c r="D1" s="3334"/>
      <c r="E1" s="3334"/>
      <c r="F1" s="3334"/>
      <c r="G1" s="3334"/>
      <c r="H1" s="3334"/>
      <c r="I1" s="3334"/>
    </row>
    <row r="2" spans="1:9" ht="30" customHeight="1">
      <c r="A2" s="3335" t="s">
        <v>102</v>
      </c>
      <c r="B2" s="3335" t="s">
        <v>103</v>
      </c>
      <c r="C2" s="3335" t="s">
        <v>104</v>
      </c>
      <c r="D2" s="3335" t="str">
        <f>IF('数据-取费表'!E3="否",结果表!D119,'结果表 (1修多)'!D123)</f>
        <v>出让国有建设用地使用权价值</v>
      </c>
      <c r="E2" s="3335"/>
      <c r="F2" s="3335" t="s">
        <v>105</v>
      </c>
      <c r="G2" s="3335"/>
      <c r="H2" s="3335" t="s">
        <v>106</v>
      </c>
      <c r="I2" s="3335"/>
    </row>
    <row r="3" spans="1:9" ht="15">
      <c r="A3" s="3329"/>
      <c r="B3" s="3329"/>
      <c r="C3" s="3329"/>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IF('数据-取费表'!E3="否",结果表!H122,'结果表 (1修多)'!H126)</f>
        <v>零元整</v>
      </c>
      <c r="I5" s="3330"/>
    </row>
    <row r="6" spans="1:9" ht="15.75">
      <c r="A6" s="3325" t="str">
        <f>IF('数据-取费表'!E3="否",结果表!A123,'结果表 (1修多)'!A127)</f>
        <v>——</v>
      </c>
      <c r="B6" s="3325"/>
      <c r="C6" s="3325"/>
      <c r="D6" s="3325">
        <f>IF('数据-取费表'!E3="否",结果表!D123,'结果表 (1修多)'!D127)</f>
        <v>0</v>
      </c>
      <c r="E6" s="3325"/>
      <c r="F6" s="3325"/>
      <c r="G6" s="3325"/>
      <c r="H6" s="3325"/>
      <c r="I6" s="3325"/>
    </row>
    <row r="7" spans="1:9" ht="15">
      <c r="A7" s="3329" t="s">
        <v>109</v>
      </c>
      <c r="B7" s="3329"/>
      <c r="C7" s="3329"/>
      <c r="D7" s="3331">
        <f>IF('数据-取费表'!E3="否",结果表!D124,'结果表 (1修多)'!D128)</f>
        <v>0</v>
      </c>
      <c r="E7" s="3332"/>
      <c r="F7" s="3332"/>
      <c r="G7" s="3332"/>
      <c r="H7" s="3332"/>
      <c r="I7" s="3333"/>
    </row>
    <row r="8" spans="1:9" ht="15.75">
      <c r="A8" s="3325" t="str">
        <f>IF('数据-取费表'!E3="否",结果表!A125,'结果表 (1修多)'!A129)</f>
        <v>——</v>
      </c>
      <c r="B8" s="3325"/>
      <c r="C8" s="3325"/>
      <c r="D8" s="3325">
        <f>IF('数据-取费表'!E3="否",结果表!D125,'结果表 (1修多)'!D129)</f>
        <v>0</v>
      </c>
      <c r="E8" s="3325"/>
      <c r="F8" s="3325"/>
      <c r="G8" s="3325"/>
      <c r="H8" s="3325"/>
      <c r="I8" s="3325"/>
    </row>
    <row r="9" spans="1:9" ht="15">
      <c r="A9" s="3329" t="s">
        <v>109</v>
      </c>
      <c r="B9" s="3329"/>
      <c r="C9" s="3329"/>
      <c r="D9" s="3330" t="e">
        <f>IF('数据-取费表'!E3="否",结果表!D126,'结果表 (1修多)'!D130)</f>
        <v>#DIV/0!</v>
      </c>
      <c r="E9" s="3330"/>
      <c r="F9" s="3330"/>
      <c r="G9" s="3330"/>
      <c r="H9" s="3330"/>
      <c r="I9" s="3330"/>
    </row>
    <row r="10" spans="1:9" ht="15.75">
      <c r="A10" s="3325" t="str">
        <f>IF('数据-取费表'!E3="否",结果表!A127,'结果表 (1修多)'!A131)</f>
        <v>——</v>
      </c>
      <c r="B10" s="3325"/>
      <c r="C10" s="3325"/>
      <c r="D10" s="3325" t="e">
        <f>IF('数据-取费表'!E3="否",结果表!D127,'结果表 (1修多)'!D130)</f>
        <v>#DIV/0!</v>
      </c>
      <c r="E10" s="3325"/>
      <c r="F10" s="3325"/>
      <c r="G10" s="3325"/>
      <c r="H10" s="3325"/>
      <c r="I10" s="3325"/>
    </row>
    <row r="11" spans="1:9" ht="15">
      <c r="A11" s="3329" t="s">
        <v>109</v>
      </c>
      <c r="B11" s="3329"/>
      <c r="C11" s="3329"/>
      <c r="D11" s="3330" t="str">
        <f>IF('数据-取费表'!E3="否",结果表!D128,'结果表 (1修多)'!D132)</f>
        <v>——</v>
      </c>
      <c r="E11" s="3330"/>
      <c r="F11" s="3330"/>
      <c r="G11" s="3330"/>
      <c r="H11" s="3330"/>
      <c r="I11" s="3330"/>
    </row>
    <row r="12" spans="1:9" ht="15.75">
      <c r="A12" s="3325" t="str">
        <f>IF('数据-取费表'!E3="否",结果表!A129,'结果表 (1修多)'!A133)</f>
        <v>——</v>
      </c>
      <c r="B12" s="3325"/>
      <c r="C12" s="3325"/>
      <c r="D12" s="3325" t="str">
        <f>IF('数据-取费表'!E3="否",结果表!D129,'结果表 (1修多)'!D133)</f>
        <v>——</v>
      </c>
      <c r="E12" s="3325"/>
      <c r="F12" s="3325"/>
      <c r="G12" s="3325"/>
      <c r="H12" s="3325"/>
      <c r="I12" s="3325"/>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42"/>
      <c r="B15" s="3142"/>
      <c r="C15" s="3142"/>
      <c r="D15" s="3142"/>
      <c r="E15" s="3142"/>
      <c r="F15" s="3142"/>
      <c r="G15" s="3142"/>
      <c r="H15" s="3142"/>
      <c r="I15" s="3142"/>
    </row>
    <row r="16" spans="1:9" ht="18.75">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39" t="s">
        <v>111</v>
      </c>
      <c r="B1" s="3339"/>
      <c r="C1" s="3339"/>
      <c r="D1" s="3339"/>
    </row>
    <row r="2" spans="1:4" ht="18">
      <c r="A2" s="3340" t="s">
        <v>112</v>
      </c>
      <c r="B2" s="3340"/>
      <c r="C2" s="3340"/>
      <c r="D2" s="3340"/>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0" t="s">
        <v>118</v>
      </c>
      <c r="B7" s="3340"/>
      <c r="C7" s="3340"/>
      <c r="D7" s="3340"/>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36" t="s">
        <v>123</v>
      </c>
      <c r="B12" s="3338"/>
      <c r="C12" s="3338"/>
      <c r="D12" s="3338"/>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8"/>
      <c r="C13" s="3338"/>
      <c r="D13" s="3338"/>
    </row>
    <row r="14" spans="1:4" ht="30" customHeight="1">
      <c r="A14" s="3336" t="str">
        <f>IF(项目基本情况!D4="抵押","3.抵押双方在办理抵押登记手续时，应使用本公司出具的正式《不动产估价报告书》，特提醒报告使用者注意。","——")</f>
        <v>——</v>
      </c>
      <c r="B14" s="3338"/>
      <c r="C14" s="3338"/>
      <c r="D14" s="3338"/>
    </row>
    <row r="15" spans="1:4" ht="15.75" customHeight="1">
      <c r="A15" s="3336" t="str">
        <f>IF(项目基本情况!D4="抵押","4.本次评估估价师所知悉的法定优先受偿款情况说明如下：","——")</f>
        <v>——</v>
      </c>
      <c r="B15" s="3338"/>
      <c r="C15" s="3338"/>
      <c r="D15" s="3338"/>
    </row>
    <row r="16" spans="1:4" ht="75" customHeight="1">
      <c r="A16" s="3336" t="str">
        <f>IF(项目基本情况!D4="抵押",CONCATENATE(项目基本情况!J13,项目基本情况!J14,项目基本情况!J15),"——")</f>
        <v>——</v>
      </c>
      <c r="B16" s="3336"/>
      <c r="C16" s="3336"/>
      <c r="D16" s="3336"/>
    </row>
    <row r="17" spans="1:4" ht="63.75" customHeight="1">
      <c r="A17" s="3337" t="s">
        <v>124</v>
      </c>
      <c r="B17" s="3337"/>
      <c r="C17" s="3337"/>
      <c r="D17" s="3337"/>
    </row>
    <row r="18" spans="1:4" ht="15.75" customHeight="1">
      <c r="A18" s="3336" t="str">
        <f>IF(项目基本情况!D4="抵押",结果表!L106,"——")</f>
        <v>——</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7" t="s">
        <v>125</v>
      </c>
      <c r="B20" s="3337"/>
      <c r="C20" s="3337"/>
      <c r="D20" s="3337"/>
    </row>
    <row r="21" spans="1:4">
      <c r="A21" s="3214"/>
      <c r="B21" s="310"/>
      <c r="C21" s="310"/>
      <c r="D21" s="310"/>
    </row>
    <row r="22" spans="1:4">
      <c r="A22" s="3214"/>
      <c r="B22" s="310"/>
      <c r="C22" s="310"/>
      <c r="D22" s="310"/>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9" customWidth="1"/>
    <col min="2" max="16384" width="14.5" style="3142"/>
  </cols>
  <sheetData>
    <row r="1" spans="1:7" s="3188" customFormat="1" ht="18.75">
      <c r="A1" s="3190" t="s">
        <v>129</v>
      </c>
    </row>
    <row r="3" spans="1:7" ht="14.25">
      <c r="A3" s="3191" t="s">
        <v>130</v>
      </c>
      <c r="B3" s="3142" t="s">
        <v>131</v>
      </c>
      <c r="G3" s="3192"/>
    </row>
    <row r="4" spans="1:7">
      <c r="G4" s="3192"/>
    </row>
    <row r="5" spans="1:7" ht="14.25">
      <c r="A5" s="3193" t="s">
        <v>132</v>
      </c>
      <c r="B5" s="3142" t="s">
        <v>133</v>
      </c>
      <c r="G5" s="3192"/>
    </row>
    <row r="6" spans="1:7">
      <c r="G6" s="3192"/>
    </row>
    <row r="7" spans="1:7" ht="14.25">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199" t="s">
        <v>146</v>
      </c>
      <c r="B19" s="3200"/>
      <c r="C19" s="3201"/>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2" t="s">
        <v>152</v>
      </c>
    </row>
    <row r="24" spans="1:3" ht="14.25">
      <c r="A24" s="3346"/>
      <c r="B24" s="3347"/>
      <c r="C24" s="3202" t="s">
        <v>153</v>
      </c>
    </row>
    <row r="25" spans="1:3" ht="14.25">
      <c r="A25" s="3346"/>
      <c r="B25" s="3347"/>
      <c r="C25" s="3202" t="s">
        <v>154</v>
      </c>
    </row>
    <row r="26" spans="1:3" ht="14.25">
      <c r="A26" s="3346"/>
      <c r="B26" s="3347"/>
      <c r="C26" s="3202" t="s">
        <v>155</v>
      </c>
    </row>
    <row r="27" spans="1:3" ht="14.25">
      <c r="A27" s="3346"/>
      <c r="B27" s="3347"/>
      <c r="C27" s="3202" t="s">
        <v>156</v>
      </c>
    </row>
    <row r="28" spans="1:3" ht="14.25">
      <c r="A28" s="3346"/>
      <c r="B28" s="3347"/>
      <c r="C28" s="3202" t="s">
        <v>157</v>
      </c>
    </row>
    <row r="29" spans="1:3" ht="14.25">
      <c r="A29" s="3346"/>
      <c r="B29" s="3347"/>
      <c r="C29" s="3202" t="s">
        <v>158</v>
      </c>
    </row>
    <row r="30" spans="1:3" ht="14.25">
      <c r="A30" s="3346"/>
      <c r="B30" s="3347"/>
      <c r="C30" s="3202" t="s">
        <v>159</v>
      </c>
    </row>
    <row r="31" spans="1:3" ht="14.25">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44636</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c r="A7" s="2422" t="s">
        <v>268</v>
      </c>
      <c r="B7" s="2453" t="s">
        <v>269</v>
      </c>
      <c r="C7" s="3148" t="s">
        <v>270</v>
      </c>
      <c r="F7" s="3143" t="s">
        <v>271</v>
      </c>
      <c r="H7" s="3143" t="s">
        <v>155</v>
      </c>
      <c r="I7" s="3143" t="s">
        <v>272</v>
      </c>
      <c r="X7" s="3152"/>
    </row>
    <row r="8" spans="1:25">
      <c r="A8" s="2422" t="s">
        <v>273</v>
      </c>
      <c r="B8" s="2453" t="s">
        <v>274</v>
      </c>
      <c r="C8" s="3148" t="s">
        <v>275</v>
      </c>
      <c r="F8" s="3143" t="s">
        <v>276</v>
      </c>
      <c r="H8" s="3143" t="s">
        <v>277</v>
      </c>
      <c r="I8" s="3143" t="s">
        <v>278</v>
      </c>
      <c r="X8" s="3152"/>
    </row>
    <row r="9" spans="1:25">
      <c r="A9" s="2422" t="s">
        <v>279</v>
      </c>
      <c r="B9" s="2422" t="s">
        <v>280</v>
      </c>
      <c r="C9" s="3148" t="s">
        <v>281</v>
      </c>
      <c r="F9" s="3143" t="s">
        <v>157</v>
      </c>
      <c r="H9" s="3143" t="s">
        <v>282</v>
      </c>
    </row>
    <row r="10" spans="1:25">
      <c r="A10" s="2422" t="s">
        <v>283</v>
      </c>
      <c r="B10" s="2422" t="s">
        <v>284</v>
      </c>
      <c r="C10" s="3148" t="s">
        <v>285</v>
      </c>
      <c r="F10" s="3143" t="s">
        <v>121</v>
      </c>
    </row>
    <row r="11" spans="1:25">
      <c r="A11" s="2422" t="s">
        <v>286</v>
      </c>
      <c r="B11" s="2422" t="s">
        <v>287</v>
      </c>
      <c r="C11" s="3148" t="s">
        <v>288</v>
      </c>
    </row>
    <row r="12" spans="1:25">
      <c r="A12" s="2422" t="s">
        <v>289</v>
      </c>
      <c r="B12" s="2422" t="s">
        <v>290</v>
      </c>
      <c r="C12" s="3148" t="s">
        <v>291</v>
      </c>
    </row>
    <row r="13" spans="1:25">
      <c r="A13" s="2422" t="s">
        <v>292</v>
      </c>
      <c r="B13" s="2422" t="s">
        <v>293</v>
      </c>
      <c r="C13" s="3148" t="s">
        <v>294</v>
      </c>
    </row>
    <row r="14" spans="1:25">
      <c r="A14" s="2422" t="s">
        <v>295</v>
      </c>
      <c r="B14" s="2422" t="s">
        <v>296</v>
      </c>
      <c r="C14" s="3148"/>
    </row>
    <row r="15" spans="1:25">
      <c r="A15" s="2422" t="s">
        <v>297</v>
      </c>
      <c r="B15" s="2422" t="s">
        <v>298</v>
      </c>
      <c r="C15" s="3148"/>
    </row>
    <row r="16" spans="1:25">
      <c r="A16" s="2422" t="s">
        <v>299</v>
      </c>
      <c r="B16" s="2422" t="s">
        <v>300</v>
      </c>
      <c r="C16" s="3148"/>
    </row>
    <row r="17" spans="1:3">
      <c r="A17" s="2422" t="s">
        <v>301</v>
      </c>
      <c r="B17" s="2422" t="s">
        <v>302</v>
      </c>
      <c r="C17" s="3148"/>
    </row>
    <row r="18" spans="1:3">
      <c r="A18" s="2422" t="s">
        <v>303</v>
      </c>
      <c r="B18" s="2422" t="s">
        <v>304</v>
      </c>
      <c r="C18" s="3148"/>
    </row>
    <row r="19" spans="1:3">
      <c r="A19" s="2422" t="s">
        <v>305</v>
      </c>
      <c r="B19" s="2422" t="s">
        <v>306</v>
      </c>
      <c r="C19" s="3148"/>
    </row>
    <row r="20" spans="1:3">
      <c r="A20" s="2422" t="s">
        <v>307</v>
      </c>
      <c r="B20" s="2422" t="s">
        <v>308</v>
      </c>
      <c r="C20" s="3148"/>
    </row>
    <row r="21" spans="1:3">
      <c r="A21" s="2422" t="s">
        <v>257</v>
      </c>
      <c r="B21" s="2422" t="s">
        <v>309</v>
      </c>
      <c r="C21" s="3148"/>
    </row>
    <row r="22" spans="1:3">
      <c r="A22" s="2422" t="s">
        <v>310</v>
      </c>
      <c r="B22" s="2422" t="s">
        <v>309</v>
      </c>
      <c r="C22" s="3148"/>
    </row>
    <row r="23" spans="1:3">
      <c r="A23" s="2422" t="s">
        <v>311</v>
      </c>
      <c r="B23" s="2422" t="s">
        <v>309</v>
      </c>
      <c r="C23" s="3148"/>
    </row>
    <row r="24" spans="1:3">
      <c r="A24" s="2422" t="s">
        <v>312</v>
      </c>
      <c r="B24" s="2422" t="s">
        <v>309</v>
      </c>
      <c r="C24" s="3148"/>
    </row>
    <row r="25" spans="1:3">
      <c r="A25" s="2422" t="s">
        <v>313</v>
      </c>
      <c r="B25" s="2422" t="s">
        <v>309</v>
      </c>
      <c r="C25" s="3148"/>
    </row>
    <row r="26" spans="1:3">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52"/>
      <c r="B54" s="2691" t="s">
        <v>323</v>
      </c>
      <c r="C54" s="2691" t="s">
        <v>324</v>
      </c>
    </row>
    <row r="55" spans="1:4">
      <c r="A55" s="3352"/>
      <c r="B55" s="2691" t="s">
        <v>325</v>
      </c>
      <c r="C55" s="2691" t="s">
        <v>326</v>
      </c>
    </row>
    <row r="56" spans="1:4">
      <c r="A56" s="3352"/>
      <c r="B56" s="2691" t="s">
        <v>327</v>
      </c>
      <c r="C56" s="2691" t="s">
        <v>328</v>
      </c>
    </row>
    <row r="57" spans="1: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2022-03-15T08:34:22Z</cp:lastPrinted>
  <dcterms:created xsi:type="dcterms:W3CDTF">2015-07-13T07:17:00Z</dcterms:created>
  <dcterms:modified xsi:type="dcterms:W3CDTF">2022-03-16T02:23:51Z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