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面积表" sheetId="75"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75" l="1"/>
  <c r="AT13" i="3"/>
  <c r="AN13" i="3"/>
  <c r="AL13" i="3"/>
  <c r="AJ13" i="3"/>
  <c r="AH13" i="3"/>
  <c r="AF13" i="3"/>
  <c r="AD13" i="3"/>
  <c r="K13" i="3"/>
  <c r="I13" i="3"/>
  <c r="N26" i="75"/>
  <c r="I26" i="75"/>
  <c r="B26" i="75"/>
  <c r="O26" i="75"/>
  <c r="M26" i="75"/>
  <c r="K26" i="75"/>
  <c r="L26" i="75"/>
  <c r="D27" i="75"/>
  <c r="F27" i="75"/>
  <c r="H27" i="75"/>
  <c r="J27" i="75"/>
  <c r="K27" i="75"/>
  <c r="L27" i="75"/>
  <c r="M27" i="75"/>
  <c r="G25" i="75"/>
  <c r="G27" i="75" s="1"/>
  <c r="F25" i="75"/>
  <c r="H26" i="75"/>
  <c r="I10" i="75"/>
  <c r="I11" i="75"/>
  <c r="I12" i="75"/>
  <c r="I13" i="75"/>
  <c r="I14" i="75"/>
  <c r="I15" i="75"/>
  <c r="I16" i="75"/>
  <c r="I17" i="75"/>
  <c r="I18" i="75"/>
  <c r="I19" i="75"/>
  <c r="I20" i="75"/>
  <c r="I21" i="75"/>
  <c r="I22" i="75"/>
  <c r="I23" i="75"/>
  <c r="I24" i="75"/>
  <c r="C9" i="75"/>
  <c r="B9" i="75" s="1"/>
  <c r="C10" i="75"/>
  <c r="B10" i="75" s="1"/>
  <c r="C11" i="75"/>
  <c r="B11" i="75" s="1"/>
  <c r="C12" i="75"/>
  <c r="B12" i="75" s="1"/>
  <c r="C13" i="75"/>
  <c r="B13" i="75" s="1"/>
  <c r="C14" i="75"/>
  <c r="B14" i="75" s="1"/>
  <c r="C15" i="75"/>
  <c r="B15" i="75" s="1"/>
  <c r="C16" i="75"/>
  <c r="B16" i="75" s="1"/>
  <c r="C17" i="75"/>
  <c r="B17" i="75" s="1"/>
  <c r="C18" i="75"/>
  <c r="B18" i="75" s="1"/>
  <c r="C19" i="75"/>
  <c r="B19" i="75" s="1"/>
  <c r="C20" i="75"/>
  <c r="B20" i="75" s="1"/>
  <c r="C21" i="75"/>
  <c r="B21" i="75" s="1"/>
  <c r="C22" i="75"/>
  <c r="B22" i="75" s="1"/>
  <c r="C23" i="75"/>
  <c r="B23" i="75" s="1"/>
  <c r="C24" i="75"/>
  <c r="B24" i="75" s="1"/>
  <c r="C25" i="75"/>
  <c r="B25" i="75" s="1"/>
  <c r="O27" i="75"/>
  <c r="N27" i="75"/>
  <c r="E27" i="75"/>
  <c r="C26" i="75"/>
  <c r="I25" i="75"/>
  <c r="I9" i="75"/>
  <c r="I8" i="75"/>
  <c r="C8" i="75"/>
  <c r="I7" i="75"/>
  <c r="C7" i="75"/>
  <c r="I6" i="75"/>
  <c r="C6" i="75"/>
  <c r="I5" i="75"/>
  <c r="C5" i="75"/>
  <c r="I4" i="75"/>
  <c r="C4" i="75"/>
  <c r="I27" i="75" l="1"/>
  <c r="B6" i="75"/>
  <c r="B8" i="75"/>
  <c r="B7" i="75"/>
  <c r="B5" i="75"/>
  <c r="B4" i="75"/>
  <c r="C27" i="75"/>
  <c r="B27" i="75" l="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I56" i="40"/>
  <c r="H56" i="40"/>
  <c r="C56" i="40"/>
  <c r="I55" i="40"/>
  <c r="C55" i="40" s="1"/>
  <c r="H55" i="40"/>
  <c r="I54" i="40"/>
  <c r="C54" i="40" s="1"/>
  <c r="H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I65" i="39"/>
  <c r="H65" i="39"/>
  <c r="C65" i="39"/>
  <c r="I64" i="39"/>
  <c r="C64" i="39" s="1"/>
  <c r="H64" i="39"/>
  <c r="H63" i="39"/>
  <c r="I63" i="39" s="1"/>
  <c r="C63" i="39" s="1"/>
  <c r="I62" i="39"/>
  <c r="C62" i="39" s="1"/>
  <c r="H62" i="39"/>
  <c r="I61" i="39"/>
  <c r="H61" i="39"/>
  <c r="C61" i="39"/>
  <c r="I60" i="39"/>
  <c r="C60" i="39" s="1"/>
  <c r="H60" i="39"/>
  <c r="I59" i="39"/>
  <c r="C59" i="39" s="1"/>
  <c r="H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F66" i="9"/>
  <c r="E66" i="9"/>
  <c r="D66" i="9"/>
  <c r="N72" i="9" s="1"/>
  <c r="C46" i="9"/>
  <c r="A46" i="9"/>
  <c r="C45" i="9"/>
  <c r="A45" i="9"/>
  <c r="M44" i="9"/>
  <c r="K44" i="9"/>
  <c r="A44" i="9"/>
  <c r="M43" i="9"/>
  <c r="K43" i="9"/>
  <c r="K41" i="9"/>
  <c r="K40" i="9"/>
  <c r="K39" i="9"/>
  <c r="C37" i="9"/>
  <c r="K33" i="9"/>
  <c r="K31" i="9"/>
  <c r="K32" i="9" s="1"/>
  <c r="C27" i="9"/>
  <c r="B27" i="9"/>
  <c r="D27" i="9" s="1"/>
  <c r="G35" i="9" s="1"/>
  <c r="C43" i="9" s="1"/>
  <c r="K47" i="9" s="1"/>
  <c r="A14" i="55" s="1"/>
  <c r="B65" i="63"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C9" i="39" s="1"/>
  <c r="C69" i="39" s="1"/>
  <c r="O25" i="72"/>
  <c r="P27" i="6"/>
  <c r="O27" i="6"/>
  <c r="N27" i="6"/>
  <c r="G27" i="6"/>
  <c r="P26" i="6"/>
  <c r="L26" i="6"/>
  <c r="E26" i="6"/>
  <c r="P25" i="6"/>
  <c r="L25" i="6"/>
  <c r="E25" i="6"/>
  <c r="P24" i="6"/>
  <c r="L24" i="6"/>
  <c r="E24" i="6"/>
  <c r="P23" i="6"/>
  <c r="L23" i="6"/>
  <c r="E23" i="6"/>
  <c r="P22" i="6"/>
  <c r="L22" i="6"/>
  <c r="E22" i="6"/>
  <c r="P21" i="6"/>
  <c r="L21" i="6"/>
  <c r="E21" i="6"/>
  <c r="P20" i="6"/>
  <c r="L20" i="6"/>
  <c r="G20" i="6"/>
  <c r="E20" i="6"/>
  <c r="K7" i="1" s="1"/>
  <c r="M7" i="1"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M5" i="3" s="1"/>
  <c r="F29" i="6" s="1"/>
  <c r="BK13" i="3"/>
  <c r="BJ13" i="3"/>
  <c r="BI13" i="3"/>
  <c r="BH13" i="3"/>
  <c r="BG13" i="3"/>
  <c r="BF13" i="3"/>
  <c r="BE13" i="3"/>
  <c r="BD13" i="3"/>
  <c r="BC13" i="3"/>
  <c r="BA13" i="3" s="1"/>
  <c r="BA5" i="3" s="1"/>
  <c r="E27" i="6"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BP5" i="3"/>
  <c r="BO5" i="3"/>
  <c r="BK5" i="3"/>
  <c r="BJ5" i="3"/>
  <c r="BI5" i="3"/>
  <c r="BH5" i="3"/>
  <c r="BG5" i="3"/>
  <c r="BF5" i="3"/>
  <c r="BE5" i="3"/>
  <c r="BD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B3" i="69"/>
  <c r="C6" i="69" s="1"/>
  <c r="D6" i="69" s="1"/>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J6" i="65"/>
  <c r="B7" i="67"/>
  <c r="F38" i="44"/>
  <c r="N5" i="65"/>
  <c r="E13" i="67"/>
  <c r="F36" i="15"/>
  <c r="I6" i="65"/>
  <c r="F37" i="44"/>
  <c r="M11" i="44"/>
  <c r="F11" i="67"/>
  <c r="M28" i="15"/>
  <c r="B11" i="67"/>
  <c r="M8" i="15"/>
  <c r="F18" i="44"/>
  <c r="J3" i="65"/>
  <c r="F8" i="15"/>
  <c r="F13" i="15"/>
  <c r="J36" i="15"/>
  <c r="M28" i="44"/>
  <c r="I4" i="65"/>
  <c r="F26" i="15"/>
  <c r="F10" i="67"/>
  <c r="M26" i="15"/>
  <c r="B12" i="67"/>
  <c r="B10" i="67"/>
  <c r="F45" i="44"/>
  <c r="E8" i="67"/>
  <c r="F7" i="15"/>
  <c r="F6" i="15"/>
  <c r="M31" i="44"/>
  <c r="M29" i="15"/>
  <c r="N3" i="65"/>
  <c r="L47" i="15"/>
  <c r="M23" i="44"/>
  <c r="B8" i="67"/>
  <c r="M24" i="15"/>
  <c r="E12" i="67"/>
  <c r="F28" i="44"/>
  <c r="F43" i="15"/>
  <c r="M8" i="44"/>
  <c r="F10" i="44"/>
  <c r="F12" i="67"/>
  <c r="I7" i="65"/>
  <c r="F9" i="67"/>
  <c r="F37" i="15"/>
  <c r="F16" i="15"/>
  <c r="B13" i="67"/>
  <c r="M24" i="44"/>
  <c r="F15" i="44"/>
  <c r="L49" i="44"/>
  <c r="M10" i="44"/>
  <c r="E14" i="67"/>
  <c r="F11" i="44"/>
  <c r="M27" i="15"/>
  <c r="F9" i="15"/>
  <c r="F38" i="15"/>
  <c r="J4" i="65"/>
  <c r="L48" i="15"/>
  <c r="E10" i="67"/>
  <c r="N4" i="65"/>
  <c r="M25" i="44"/>
  <c r="M29" i="44"/>
  <c r="J5" i="65"/>
  <c r="E11" i="67"/>
  <c r="M23" i="15"/>
  <c r="J7" i="65"/>
  <c r="F13" i="67"/>
  <c r="E7" i="67"/>
  <c r="B9" i="67"/>
  <c r="F14" i="67"/>
  <c r="L48" i="44"/>
  <c r="M9" i="15"/>
  <c r="F46" i="44"/>
  <c r="M22" i="15"/>
  <c r="J15" i="15"/>
  <c r="E9" i="67"/>
  <c r="F39" i="44"/>
  <c r="N7" i="65"/>
  <c r="N6" i="65"/>
  <c r="F40" i="44"/>
  <c r="F8" i="44"/>
  <c r="I3" i="65"/>
  <c r="F42" i="15"/>
  <c r="J17" i="44"/>
  <c r="M30" i="44"/>
  <c r="M6" i="15"/>
  <c r="F40" i="15"/>
  <c r="F9" i="44"/>
  <c r="F43" i="44"/>
  <c r="M26" i="44"/>
  <c r="F7" i="67"/>
  <c r="F8" i="67"/>
  <c r="C19" i="44"/>
  <c r="B14" i="67"/>
  <c r="I5" i="65"/>
  <c r="C7" i="69" l="1"/>
  <c r="D7" i="69" s="1"/>
  <c r="C42" i="1"/>
  <c r="C5" i="69"/>
  <c r="D5" i="69" s="1"/>
  <c r="N67" i="9"/>
  <c r="BC5" i="3"/>
  <c r="E11" i="6" s="1"/>
  <c r="B37" i="9"/>
  <c r="E37" i="9" s="1"/>
  <c r="D3" i="35"/>
  <c r="D9" i="12"/>
  <c r="E13" i="6"/>
  <c r="E64" i="39" s="1"/>
  <c r="E15" i="6"/>
  <c r="E61" i="40" s="1"/>
  <c r="I4" i="6"/>
  <c r="I7" i="6" s="1"/>
  <c r="G3" i="46" s="1"/>
  <c r="J26" i="46" s="1"/>
  <c r="E59" i="40"/>
  <c r="C9" i="12"/>
  <c r="K6" i="1"/>
  <c r="H16" i="1" s="1"/>
  <c r="E32" i="6"/>
  <c r="D3" i="21"/>
  <c r="E66" i="39"/>
  <c r="G13" i="3"/>
  <c r="G5" i="3" s="1"/>
  <c r="B3" i="3" s="1"/>
  <c r="E509" i="3" s="1"/>
  <c r="E10" i="6"/>
  <c r="E14" i="6"/>
  <c r="E5" i="6"/>
  <c r="D21" i="12" s="1"/>
  <c r="C21" i="12" s="1"/>
  <c r="E12" i="6"/>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AZ13" i="3"/>
  <c r="AZ5" i="3" s="1"/>
  <c r="E3" i="6" s="1"/>
  <c r="BN5" i="3"/>
  <c r="G29" i="6" s="1"/>
  <c r="E29" i="6" s="1"/>
  <c r="I34" i="1" s="1"/>
  <c r="O8" i="1"/>
  <c r="P8" i="1" s="1"/>
  <c r="O12" i="1"/>
  <c r="P12" i="1" s="1"/>
  <c r="E28" i="6"/>
  <c r="O7" i="1"/>
  <c r="P7" i="1" s="1"/>
  <c r="O9" i="1"/>
  <c r="P9" i="1" s="1"/>
  <c r="O11" i="1"/>
  <c r="P11" i="1" s="1"/>
  <c r="O13" i="1"/>
  <c r="P13" i="1" s="1"/>
  <c r="O10" i="1"/>
  <c r="P10" i="1" s="1"/>
  <c r="E273" i="3"/>
  <c r="G26"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C18" i="44"/>
  <c r="C16" i="15"/>
  <c r="E2" i="65"/>
  <c r="E3" i="65"/>
  <c r="E324" i="3" l="1"/>
  <c r="E85" i="3"/>
  <c r="E38" i="3"/>
  <c r="E209" i="3"/>
  <c r="E102" i="3"/>
  <c r="G30" i="6"/>
  <c r="G31" i="6" s="1"/>
  <c r="E149" i="3"/>
  <c r="E195" i="3"/>
  <c r="F26" i="46"/>
  <c r="E21" i="3"/>
  <c r="E205" i="3"/>
  <c r="E344" i="3"/>
  <c r="E445" i="3"/>
  <c r="Y6" i="3"/>
  <c r="E53" i="3"/>
  <c r="E269" i="3"/>
  <c r="E307" i="3"/>
  <c r="E57" i="40"/>
  <c r="E62" i="39"/>
  <c r="D12" i="11"/>
  <c r="C12" i="11" s="1"/>
  <c r="Z7" i="46"/>
  <c r="E13" i="3"/>
  <c r="AR6" i="3"/>
  <c r="E117" i="3"/>
  <c r="E542" i="3"/>
  <c r="E39" i="3"/>
  <c r="E400" i="3"/>
  <c r="E26" i="46"/>
  <c r="B117" i="46"/>
  <c r="D121" i="46" s="1"/>
  <c r="E121" i="46" s="1"/>
  <c r="F121" i="46" s="1"/>
  <c r="G121" i="46" s="1"/>
  <c r="H121" i="46" s="1"/>
  <c r="Q16" i="1"/>
  <c r="F21" i="43" s="1"/>
  <c r="P6" i="3"/>
  <c r="E161" i="3"/>
  <c r="E225" i="3"/>
  <c r="E289" i="3"/>
  <c r="E363" i="3"/>
  <c r="E29" i="3"/>
  <c r="E61" i="3"/>
  <c r="E93" i="3"/>
  <c r="E125" i="3"/>
  <c r="E157" i="3"/>
  <c r="E221" i="3"/>
  <c r="E285" i="3"/>
  <c r="V6" i="3"/>
  <c r="E54" i="3"/>
  <c r="E118" i="3"/>
  <c r="W6" i="3"/>
  <c r="E55" i="3"/>
  <c r="E505" i="3"/>
  <c r="E391" i="3"/>
  <c r="E259" i="3"/>
  <c r="E474" i="3"/>
  <c r="I3" i="6"/>
  <c r="E559" i="3"/>
  <c r="E543" i="3"/>
  <c r="E527" i="3"/>
  <c r="E511" i="3"/>
  <c r="E495" i="3"/>
  <c r="E479" i="3"/>
  <c r="E463" i="3"/>
  <c r="E572" i="3"/>
  <c r="E556" i="3"/>
  <c r="E540" i="3"/>
  <c r="E524" i="3"/>
  <c r="E508" i="3"/>
  <c r="E492" i="3"/>
  <c r="E476" i="3"/>
  <c r="E460" i="3"/>
  <c r="E441" i="3"/>
  <c r="E425" i="3"/>
  <c r="E409" i="3"/>
  <c r="E393" i="3"/>
  <c r="E377" i="3"/>
  <c r="E361" i="3"/>
  <c r="E345" i="3"/>
  <c r="E329" i="3"/>
  <c r="E313" i="3"/>
  <c r="E562" i="3"/>
  <c r="E530" i="3"/>
  <c r="E498" i="3"/>
  <c r="E466" i="3"/>
  <c r="E444" i="3"/>
  <c r="E428" i="3"/>
  <c r="E412" i="3"/>
  <c r="E396" i="3"/>
  <c r="E380" i="3"/>
  <c r="E545" i="3"/>
  <c r="E513" i="3"/>
  <c r="E481" i="3"/>
  <c r="E367" i="3"/>
  <c r="E351" i="3"/>
  <c r="E335" i="3"/>
  <c r="E319" i="3"/>
  <c r="E303" i="3"/>
  <c r="E287" i="3"/>
  <c r="E271" i="3"/>
  <c r="E255" i="3"/>
  <c r="E239" i="3"/>
  <c r="E223" i="3"/>
  <c r="E207" i="3"/>
  <c r="E191" i="3"/>
  <c r="E175" i="3"/>
  <c r="E159" i="3"/>
  <c r="E518" i="3"/>
  <c r="E454" i="3"/>
  <c r="E446" i="3"/>
  <c r="E438" i="3"/>
  <c r="E430" i="3"/>
  <c r="E422" i="3"/>
  <c r="E414" i="3"/>
  <c r="E406" i="3"/>
  <c r="E398" i="3"/>
  <c r="E390" i="3"/>
  <c r="E382" i="3"/>
  <c r="E374" i="3"/>
  <c r="E348" i="3"/>
  <c r="E316" i="3"/>
  <c r="E294" i="3"/>
  <c r="E278" i="3"/>
  <c r="E262" i="3"/>
  <c r="E246" i="3"/>
  <c r="E230" i="3"/>
  <c r="E214" i="3"/>
  <c r="E198" i="3"/>
  <c r="E182" i="3"/>
  <c r="E166" i="3"/>
  <c r="E568" i="3"/>
  <c r="E536" i="3"/>
  <c r="E504" i="3"/>
  <c r="E472" i="3"/>
  <c r="E370" i="3"/>
  <c r="E338" i="3"/>
  <c r="E306" i="3"/>
  <c r="E143" i="3"/>
  <c r="E127" i="3"/>
  <c r="E111" i="3"/>
  <c r="E95" i="3"/>
  <c r="E571" i="3"/>
  <c r="E555" i="3"/>
  <c r="E539" i="3"/>
  <c r="E523" i="3"/>
  <c r="E507" i="3"/>
  <c r="E491" i="3"/>
  <c r="E475" i="3"/>
  <c r="E459" i="3"/>
  <c r="E565" i="3"/>
  <c r="E549" i="3"/>
  <c r="E533" i="3"/>
  <c r="E517" i="3"/>
  <c r="E501" i="3"/>
  <c r="E485" i="3"/>
  <c r="E469" i="3"/>
  <c r="E453" i="3"/>
  <c r="E437" i="3"/>
  <c r="E421" i="3"/>
  <c r="E405" i="3"/>
  <c r="E389" i="3"/>
  <c r="E373" i="3"/>
  <c r="E357" i="3"/>
  <c r="E341" i="3"/>
  <c r="E325" i="3"/>
  <c r="E309" i="3"/>
  <c r="E554" i="3"/>
  <c r="E522" i="3"/>
  <c r="E490" i="3"/>
  <c r="E458" i="3"/>
  <c r="E440" i="3"/>
  <c r="E424" i="3"/>
  <c r="E408" i="3"/>
  <c r="E392" i="3"/>
  <c r="E376" i="3"/>
  <c r="E544" i="3"/>
  <c r="E512" i="3"/>
  <c r="E480" i="3"/>
  <c r="E366" i="3"/>
  <c r="E350" i="3"/>
  <c r="E334" i="3"/>
  <c r="E318" i="3"/>
  <c r="E299" i="3"/>
  <c r="E283" i="3"/>
  <c r="E267" i="3"/>
  <c r="E251" i="3"/>
  <c r="E235" i="3"/>
  <c r="E219" i="3"/>
  <c r="E203" i="3"/>
  <c r="E187" i="3"/>
  <c r="E171" i="3"/>
  <c r="E566" i="3"/>
  <c r="E502" i="3"/>
  <c r="E451" i="3"/>
  <c r="E443" i="3"/>
  <c r="E435" i="3"/>
  <c r="E427" i="3"/>
  <c r="E419" i="3"/>
  <c r="E411" i="3"/>
  <c r="E403" i="3"/>
  <c r="E395" i="3"/>
  <c r="E387" i="3"/>
  <c r="E379" i="3"/>
  <c r="E372" i="3"/>
  <c r="E340" i="3"/>
  <c r="E308" i="3"/>
  <c r="E290" i="3"/>
  <c r="E274" i="3"/>
  <c r="E258" i="3"/>
  <c r="E242" i="3"/>
  <c r="E226" i="3"/>
  <c r="E210" i="3"/>
  <c r="E194" i="3"/>
  <c r="E178" i="3"/>
  <c r="E162" i="3"/>
  <c r="E553" i="3"/>
  <c r="E521" i="3"/>
  <c r="E489" i="3"/>
  <c r="E457" i="3"/>
  <c r="E355" i="3"/>
  <c r="E323" i="3"/>
  <c r="E155" i="3"/>
  <c r="E139" i="3"/>
  <c r="E123" i="3"/>
  <c r="E107" i="3"/>
  <c r="E91" i="3"/>
  <c r="E567" i="3"/>
  <c r="E551" i="3"/>
  <c r="E535" i="3"/>
  <c r="E519" i="3"/>
  <c r="E503" i="3"/>
  <c r="E487" i="3"/>
  <c r="E471" i="3"/>
  <c r="E455" i="3"/>
  <c r="E564" i="3"/>
  <c r="E548" i="3"/>
  <c r="E532" i="3"/>
  <c r="E516" i="3"/>
  <c r="E500" i="3"/>
  <c r="E484" i="3"/>
  <c r="E468" i="3"/>
  <c r="E449" i="3"/>
  <c r="E433" i="3"/>
  <c r="E417" i="3"/>
  <c r="E401" i="3"/>
  <c r="E385" i="3"/>
  <c r="E369" i="3"/>
  <c r="E353" i="3"/>
  <c r="E337" i="3"/>
  <c r="E321" i="3"/>
  <c r="E305" i="3"/>
  <c r="E546" i="3"/>
  <c r="E514" i="3"/>
  <c r="E482" i="3"/>
  <c r="E452" i="3"/>
  <c r="E436" i="3"/>
  <c r="E420" i="3"/>
  <c r="E404" i="3"/>
  <c r="E388" i="3"/>
  <c r="E561" i="3"/>
  <c r="E529" i="3"/>
  <c r="E497" i="3"/>
  <c r="E465" i="3"/>
  <c r="E359" i="3"/>
  <c r="E343" i="3"/>
  <c r="E327" i="3"/>
  <c r="E311" i="3"/>
  <c r="E295" i="3"/>
  <c r="E279" i="3"/>
  <c r="E263" i="3"/>
  <c r="E247" i="3"/>
  <c r="E231" i="3"/>
  <c r="E215" i="3"/>
  <c r="E199" i="3"/>
  <c r="E183" i="3"/>
  <c r="E167" i="3"/>
  <c r="E550" i="3"/>
  <c r="E486" i="3"/>
  <c r="E450" i="3"/>
  <c r="E442" i="3"/>
  <c r="E434" i="3"/>
  <c r="E426" i="3"/>
  <c r="E418" i="3"/>
  <c r="E410" i="3"/>
  <c r="E402" i="3"/>
  <c r="E394" i="3"/>
  <c r="E386" i="3"/>
  <c r="E378" i="3"/>
  <c r="E364" i="3"/>
  <c r="E332" i="3"/>
  <c r="E302" i="3"/>
  <c r="E286" i="3"/>
  <c r="E270" i="3"/>
  <c r="E254" i="3"/>
  <c r="E238" i="3"/>
  <c r="E222" i="3"/>
  <c r="E206" i="3"/>
  <c r="E190" i="3"/>
  <c r="E174" i="3"/>
  <c r="E158" i="3"/>
  <c r="E552" i="3"/>
  <c r="E520" i="3"/>
  <c r="E488" i="3"/>
  <c r="E456" i="3"/>
  <c r="E354" i="3"/>
  <c r="E322" i="3"/>
  <c r="E151" i="3"/>
  <c r="E135" i="3"/>
  <c r="E119" i="3"/>
  <c r="E103" i="3"/>
  <c r="E87" i="3"/>
  <c r="E563" i="3"/>
  <c r="E499" i="3"/>
  <c r="E557" i="3"/>
  <c r="E493" i="3"/>
  <c r="E429" i="3"/>
  <c r="E365" i="3"/>
  <c r="E570" i="3"/>
  <c r="E448" i="3"/>
  <c r="E384" i="3"/>
  <c r="E464" i="3"/>
  <c r="E310" i="3"/>
  <c r="E243" i="3"/>
  <c r="E179" i="3"/>
  <c r="E447" i="3"/>
  <c r="E415" i="3"/>
  <c r="E383" i="3"/>
  <c r="E298" i="3"/>
  <c r="E234" i="3"/>
  <c r="E170" i="3"/>
  <c r="E473" i="3"/>
  <c r="E147" i="3"/>
  <c r="E83" i="3"/>
  <c r="E67" i="3"/>
  <c r="E51" i="3"/>
  <c r="E35" i="3"/>
  <c r="E19" i="3"/>
  <c r="AI6" i="3"/>
  <c r="S6" i="3"/>
  <c r="E328" i="3"/>
  <c r="E146" i="3"/>
  <c r="E130" i="3"/>
  <c r="E114" i="3"/>
  <c r="E98" i="3"/>
  <c r="E82" i="3"/>
  <c r="E66" i="3"/>
  <c r="E50" i="3"/>
  <c r="E34" i="3"/>
  <c r="E18" i="3"/>
  <c r="AH6" i="3"/>
  <c r="R6" i="3"/>
  <c r="E526" i="3"/>
  <c r="E462" i="3"/>
  <c r="E300" i="3"/>
  <c r="E284" i="3"/>
  <c r="E268" i="3"/>
  <c r="E252" i="3"/>
  <c r="E236" i="3"/>
  <c r="E220" i="3"/>
  <c r="E204" i="3"/>
  <c r="E188" i="3"/>
  <c r="E172" i="3"/>
  <c r="E156" i="3"/>
  <c r="E148" i="3"/>
  <c r="E140" i="3"/>
  <c r="E132" i="3"/>
  <c r="E124" i="3"/>
  <c r="E116" i="3"/>
  <c r="E108" i="3"/>
  <c r="E100" i="3"/>
  <c r="E92" i="3"/>
  <c r="E84" i="3"/>
  <c r="E76" i="3"/>
  <c r="E68" i="3"/>
  <c r="E60" i="3"/>
  <c r="E52" i="3"/>
  <c r="E44" i="3"/>
  <c r="E36" i="3"/>
  <c r="E28" i="3"/>
  <c r="E20" i="3"/>
  <c r="AK6" i="3"/>
  <c r="E347" i="3"/>
  <c r="E362" i="3"/>
  <c r="AJ6" i="3"/>
  <c r="AF6" i="3"/>
  <c r="E304" i="3"/>
  <c r="E288" i="3"/>
  <c r="E272" i="3"/>
  <c r="E256" i="3"/>
  <c r="E240" i="3"/>
  <c r="E224" i="3"/>
  <c r="E208" i="3"/>
  <c r="E192" i="3"/>
  <c r="E176" i="3"/>
  <c r="E160" i="3"/>
  <c r="Q6" i="3"/>
  <c r="E547" i="3"/>
  <c r="E483" i="3"/>
  <c r="E541" i="3"/>
  <c r="E477" i="3"/>
  <c r="E413" i="3"/>
  <c r="E349" i="3"/>
  <c r="E538" i="3"/>
  <c r="E432" i="3"/>
  <c r="E560" i="3"/>
  <c r="E358" i="3"/>
  <c r="E291" i="3"/>
  <c r="E227" i="3"/>
  <c r="E163" i="3"/>
  <c r="E439" i="3"/>
  <c r="E407" i="3"/>
  <c r="E375" i="3"/>
  <c r="E282" i="3"/>
  <c r="E218" i="3"/>
  <c r="E569" i="3"/>
  <c r="E371" i="3"/>
  <c r="E131" i="3"/>
  <c r="E79" i="3"/>
  <c r="E63" i="3"/>
  <c r="E47" i="3"/>
  <c r="E31" i="3"/>
  <c r="E15" i="3"/>
  <c r="AE6" i="3"/>
  <c r="O6" i="3"/>
  <c r="E312" i="3"/>
  <c r="E142" i="3"/>
  <c r="E126" i="3"/>
  <c r="E110" i="3"/>
  <c r="E94" i="3"/>
  <c r="E78" i="3"/>
  <c r="E62" i="3"/>
  <c r="E46" i="3"/>
  <c r="E30" i="3"/>
  <c r="E14" i="3"/>
  <c r="AD6" i="3"/>
  <c r="N6" i="3"/>
  <c r="E510" i="3"/>
  <c r="E352" i="3"/>
  <c r="E293" i="3"/>
  <c r="E277" i="3"/>
  <c r="E261" i="3"/>
  <c r="E245" i="3"/>
  <c r="E229" i="3"/>
  <c r="E213" i="3"/>
  <c r="E197" i="3"/>
  <c r="E181" i="3"/>
  <c r="E165" i="3"/>
  <c r="E153" i="3"/>
  <c r="E145" i="3"/>
  <c r="E137" i="3"/>
  <c r="E129" i="3"/>
  <c r="E121" i="3"/>
  <c r="E113" i="3"/>
  <c r="E105" i="3"/>
  <c r="E97" i="3"/>
  <c r="E89" i="3"/>
  <c r="E81" i="3"/>
  <c r="E73" i="3"/>
  <c r="E65" i="3"/>
  <c r="E57" i="3"/>
  <c r="E49" i="3"/>
  <c r="E41" i="3"/>
  <c r="E33" i="3"/>
  <c r="E25" i="3"/>
  <c r="E17" i="3"/>
  <c r="U6" i="3"/>
  <c r="E314" i="3"/>
  <c r="E331" i="3"/>
  <c r="AB6" i="3"/>
  <c r="J6" i="3"/>
  <c r="E297" i="3"/>
  <c r="E281" i="3"/>
  <c r="E265" i="3"/>
  <c r="E249" i="3"/>
  <c r="E233" i="3"/>
  <c r="E217" i="3"/>
  <c r="E201" i="3"/>
  <c r="E185" i="3"/>
  <c r="E169" i="3"/>
  <c r="AO6" i="3"/>
  <c r="K6" i="3"/>
  <c r="E531" i="3"/>
  <c r="E467" i="3"/>
  <c r="E525" i="3"/>
  <c r="E461" i="3"/>
  <c r="E397" i="3"/>
  <c r="E333" i="3"/>
  <c r="E506" i="3"/>
  <c r="E416" i="3"/>
  <c r="E528" i="3"/>
  <c r="E342" i="3"/>
  <c r="E275" i="3"/>
  <c r="E211" i="3"/>
  <c r="E534" i="3"/>
  <c r="E431" i="3"/>
  <c r="E399" i="3"/>
  <c r="E356" i="3"/>
  <c r="E266" i="3"/>
  <c r="E202" i="3"/>
  <c r="E537" i="3"/>
  <c r="E339" i="3"/>
  <c r="E115" i="3"/>
  <c r="E75" i="3"/>
  <c r="E59" i="3"/>
  <c r="E43" i="3"/>
  <c r="E27" i="3"/>
  <c r="AQ6" i="3"/>
  <c r="AA6" i="3"/>
  <c r="E360" i="3"/>
  <c r="E154" i="3"/>
  <c r="E138" i="3"/>
  <c r="E122" i="3"/>
  <c r="E106" i="3"/>
  <c r="E90" i="3"/>
  <c r="E74" i="3"/>
  <c r="E58" i="3"/>
  <c r="E42" i="3"/>
  <c r="E26" i="3"/>
  <c r="AP6" i="3"/>
  <c r="Z6" i="3"/>
  <c r="E558" i="3"/>
  <c r="E494" i="3"/>
  <c r="E320" i="3"/>
  <c r="E292" i="3"/>
  <c r="E276" i="3"/>
  <c r="E260" i="3"/>
  <c r="E244" i="3"/>
  <c r="E228" i="3"/>
  <c r="E212" i="3"/>
  <c r="E196" i="3"/>
  <c r="E180" i="3"/>
  <c r="E164" i="3"/>
  <c r="E152" i="3"/>
  <c r="E144" i="3"/>
  <c r="E136" i="3"/>
  <c r="E128" i="3"/>
  <c r="E120" i="3"/>
  <c r="E112" i="3"/>
  <c r="E104" i="3"/>
  <c r="E96" i="3"/>
  <c r="E88" i="3"/>
  <c r="E80" i="3"/>
  <c r="E72" i="3"/>
  <c r="E64" i="3"/>
  <c r="E56" i="3"/>
  <c r="E48" i="3"/>
  <c r="E40" i="3"/>
  <c r="E32" i="3"/>
  <c r="E24" i="3"/>
  <c r="E16" i="3"/>
  <c r="M6" i="3"/>
  <c r="X6" i="3"/>
  <c r="E330" i="3"/>
  <c r="T6" i="3"/>
  <c r="E368" i="3"/>
  <c r="E296" i="3"/>
  <c r="E280" i="3"/>
  <c r="E264" i="3"/>
  <c r="E248" i="3"/>
  <c r="E232" i="3"/>
  <c r="E216" i="3"/>
  <c r="E200" i="3"/>
  <c r="E184" i="3"/>
  <c r="E168" i="3"/>
  <c r="AG6" i="3"/>
  <c r="E346" i="3"/>
  <c r="AN6" i="3"/>
  <c r="E177" i="3"/>
  <c r="E241" i="3"/>
  <c r="E336" i="3"/>
  <c r="I6" i="3"/>
  <c r="E37" i="3"/>
  <c r="E69" i="3"/>
  <c r="E101" i="3"/>
  <c r="E133" i="3"/>
  <c r="E173" i="3"/>
  <c r="E237" i="3"/>
  <c r="E301" i="3"/>
  <c r="AL6" i="3"/>
  <c r="E70" i="3"/>
  <c r="E134" i="3"/>
  <c r="AM6" i="3"/>
  <c r="E71" i="3"/>
  <c r="E186" i="3"/>
  <c r="E423" i="3"/>
  <c r="E326" i="3"/>
  <c r="E317" i="3"/>
  <c r="B14" i="66"/>
  <c r="B1" i="66" s="1"/>
  <c r="C8" i="66" s="1"/>
  <c r="E315" i="3"/>
  <c r="E193" i="3"/>
  <c r="E257" i="3"/>
  <c r="L6" i="3"/>
  <c r="AS6" i="3"/>
  <c r="E45" i="3"/>
  <c r="E77" i="3"/>
  <c r="E109" i="3"/>
  <c r="E141" i="3"/>
  <c r="E189" i="3"/>
  <c r="E253" i="3"/>
  <c r="E478" i="3"/>
  <c r="E22" i="3"/>
  <c r="E86" i="3"/>
  <c r="E150" i="3"/>
  <c r="E23" i="3"/>
  <c r="E99" i="3"/>
  <c r="E250" i="3"/>
  <c r="E470" i="3"/>
  <c r="E496" i="3"/>
  <c r="E381" i="3"/>
  <c r="E515" i="3"/>
  <c r="M6" i="1"/>
  <c r="C15" i="43" s="1"/>
  <c r="E65" i="39"/>
  <c r="E60" i="40"/>
  <c r="F27" i="6"/>
  <c r="F31" i="6" s="1"/>
  <c r="E53" i="40"/>
  <c r="E16" i="6"/>
  <c r="E58" i="39"/>
  <c r="E67" i="39" s="1"/>
  <c r="E6" i="6"/>
  <c r="D22" i="12" s="1"/>
  <c r="C22" i="12" s="1"/>
  <c r="C20" i="12" s="1"/>
  <c r="E58" i="40"/>
  <c r="E63" i="39"/>
  <c r="C33" i="21"/>
  <c r="AT6" i="3"/>
  <c r="U44" i="21"/>
  <c r="C39" i="46"/>
  <c r="C37" i="46"/>
  <c r="G37" i="46" s="1"/>
  <c r="I37" i="46" s="1"/>
  <c r="C40" i="46"/>
  <c r="C41" i="46"/>
  <c r="C42" i="46"/>
  <c r="C38" i="46"/>
  <c r="G38" i="46" s="1"/>
  <c r="I38" i="46" s="1"/>
  <c r="C5" i="46"/>
  <c r="D16" i="12"/>
  <c r="C16" i="12" s="1"/>
  <c r="C21" i="4"/>
  <c r="O5" i="54" s="1"/>
  <c r="B45" i="63" s="1"/>
  <c r="D46" i="9"/>
  <c r="L38" i="9"/>
  <c r="D16" i="43"/>
  <c r="C16" i="43" s="1"/>
  <c r="D45" i="9"/>
  <c r="AY6" i="3"/>
  <c r="AY532" i="3" s="1"/>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C7" i="66"/>
  <c r="D122" i="46"/>
  <c r="E122" i="46" s="1"/>
  <c r="F122" i="46" s="1"/>
  <c r="G122" i="46"/>
  <c r="H122" i="46" s="1"/>
  <c r="I122" i="46"/>
  <c r="J122" i="46" s="1"/>
  <c r="K122" i="46" s="1"/>
  <c r="L122" i="46" s="1"/>
  <c r="M122" i="46" s="1"/>
  <c r="I120" i="46"/>
  <c r="J120" i="46" s="1"/>
  <c r="K120" i="46" s="1"/>
  <c r="L120" i="46" s="1"/>
  <c r="M120" i="46" s="1"/>
  <c r="I119" i="46"/>
  <c r="J119" i="46" s="1"/>
  <c r="K119" i="46" s="1"/>
  <c r="L119" i="46" s="1"/>
  <c r="M119" i="46" s="1"/>
  <c r="B119" i="46"/>
  <c r="C119"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H7" i="21" l="1"/>
  <c r="AY97" i="3"/>
  <c r="AY462" i="3"/>
  <c r="BG6" i="3"/>
  <c r="AY40" i="3"/>
  <c r="AY265" i="3"/>
  <c r="AY364" i="3"/>
  <c r="AY129" i="3"/>
  <c r="AY63" i="3"/>
  <c r="AY104" i="3"/>
  <c r="AY171" i="3"/>
  <c r="AY33" i="3"/>
  <c r="BM6" i="3"/>
  <c r="AY127" i="3"/>
  <c r="AY162" i="3"/>
  <c r="AY160" i="3"/>
  <c r="AY65" i="3"/>
  <c r="AY505" i="3"/>
  <c r="AY341" i="3"/>
  <c r="AY194" i="3"/>
  <c r="AY413" i="3"/>
  <c r="F33" i="12"/>
  <c r="C34" i="12" s="1"/>
  <c r="D33" i="12" s="1"/>
  <c r="O6" i="1"/>
  <c r="D119" i="46"/>
  <c r="E119" i="46" s="1"/>
  <c r="F119" i="46" s="1"/>
  <c r="G119" i="46" s="1"/>
  <c r="H119" i="46" s="1"/>
  <c r="D26" i="46"/>
  <c r="C25" i="46" s="1"/>
  <c r="C33" i="46" s="1"/>
  <c r="E33" i="46" s="1"/>
  <c r="C30" i="46" s="1"/>
  <c r="B2" i="46" s="1"/>
  <c r="B123" i="46"/>
  <c r="C123" i="46" s="1"/>
  <c r="I121" i="46"/>
  <c r="J121" i="46" s="1"/>
  <c r="K121" i="46" s="1"/>
  <c r="L121" i="46" s="1"/>
  <c r="M121" i="46" s="1"/>
  <c r="B120" i="46"/>
  <c r="C120" i="46" s="1"/>
  <c r="D123" i="46"/>
  <c r="E123" i="46" s="1"/>
  <c r="F123" i="46" s="1"/>
  <c r="G123" i="46" s="1"/>
  <c r="H123" i="46" s="1"/>
  <c r="B121" i="46"/>
  <c r="C121" i="46" s="1"/>
  <c r="I123" i="46"/>
  <c r="J123" i="46" s="1"/>
  <c r="K123" i="46" s="1"/>
  <c r="L123" i="46" s="1"/>
  <c r="M123" i="46" s="1"/>
  <c r="B122" i="46"/>
  <c r="C122" i="46" s="1"/>
  <c r="D120" i="46"/>
  <c r="E120" i="46" s="1"/>
  <c r="F120" i="46" s="1"/>
  <c r="G120" i="46" s="1"/>
  <c r="H120" i="46" s="1"/>
  <c r="D117" i="46"/>
  <c r="AY41" i="3"/>
  <c r="BJ6" i="3"/>
  <c r="AY73" i="3"/>
  <c r="AY105" i="3"/>
  <c r="AY137" i="3"/>
  <c r="AY347" i="3"/>
  <c r="AY522" i="3"/>
  <c r="AY15" i="3"/>
  <c r="AY79" i="3"/>
  <c r="AY143" i="3"/>
  <c r="AY371" i="3"/>
  <c r="AY56" i="3"/>
  <c r="AY120" i="3"/>
  <c r="AY170" i="3"/>
  <c r="AY202" i="3"/>
  <c r="AY297" i="3"/>
  <c r="AY235" i="3"/>
  <c r="AY224" i="3"/>
  <c r="AY501" i="3"/>
  <c r="AY526" i="3"/>
  <c r="AY17" i="3"/>
  <c r="AY49" i="3"/>
  <c r="AY81" i="3"/>
  <c r="AY113" i="3"/>
  <c r="AY145" i="3"/>
  <c r="AY458" i="3"/>
  <c r="AY539" i="3"/>
  <c r="AY31" i="3"/>
  <c r="AY95" i="3"/>
  <c r="AY307" i="3"/>
  <c r="BP6" i="3"/>
  <c r="AY72" i="3"/>
  <c r="AY136" i="3"/>
  <c r="AY178" i="3"/>
  <c r="AY210" i="3"/>
  <c r="AY396" i="3"/>
  <c r="AY299" i="3"/>
  <c r="AY288" i="3"/>
  <c r="AY334" i="3"/>
  <c r="AY468" i="3"/>
  <c r="AY331" i="3"/>
  <c r="AY25" i="3"/>
  <c r="AY57" i="3"/>
  <c r="AY89" i="3"/>
  <c r="AY121" i="3"/>
  <c r="AY153" i="3"/>
  <c r="AY475" i="3"/>
  <c r="AY569" i="3"/>
  <c r="AY47" i="3"/>
  <c r="AY111" i="3"/>
  <c r="AY324" i="3"/>
  <c r="AY24" i="3"/>
  <c r="AY88" i="3"/>
  <c r="AY152" i="3"/>
  <c r="AY186" i="3"/>
  <c r="AY233" i="3"/>
  <c r="AY428" i="3"/>
  <c r="AY497" i="3"/>
  <c r="AY352" i="3"/>
  <c r="AY398" i="3"/>
  <c r="H6" i="3"/>
  <c r="AC6" i="3"/>
  <c r="D13" i="11"/>
  <c r="C13" i="11" s="1"/>
  <c r="F12" i="39"/>
  <c r="AA12" i="39" s="1"/>
  <c r="F12" i="40"/>
  <c r="J33" i="21"/>
  <c r="F33" i="21"/>
  <c r="H33" i="21"/>
  <c r="H12" i="39"/>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J12" i="39"/>
  <c r="W12" i="39" s="1"/>
  <c r="W7" i="36"/>
  <c r="AC7" i="36"/>
  <c r="V36" i="36" s="1"/>
  <c r="I36" i="36" s="1"/>
  <c r="S7" i="34"/>
  <c r="AA7" i="34"/>
  <c r="R49" i="34" s="1"/>
  <c r="E64" i="40"/>
  <c r="D66" i="40"/>
  <c r="J7" i="33"/>
  <c r="AC12" i="40"/>
  <c r="W12" i="40"/>
  <c r="F7" i="37"/>
  <c r="AB7" i="34"/>
  <c r="T49" i="34" s="1"/>
  <c r="G49" i="34" s="1"/>
  <c r="U7" i="34"/>
  <c r="U7" i="21"/>
  <c r="AB7" i="21"/>
  <c r="F7" i="35"/>
  <c r="H7" i="35"/>
  <c r="F7" i="33"/>
  <c r="AB12" i="39"/>
  <c r="U12" i="39"/>
  <c r="F7" i="36"/>
  <c r="H7" i="37"/>
  <c r="F7" i="21"/>
  <c r="J7" i="35"/>
  <c r="H7" i="33"/>
  <c r="AA12" i="40"/>
  <c r="S12" i="40"/>
  <c r="H7" i="36"/>
  <c r="J7" i="37"/>
  <c r="J7" i="34"/>
  <c r="J7" i="21"/>
  <c r="E71" i="39"/>
  <c r="F69" i="39"/>
  <c r="L47" i="44"/>
  <c r="C40" i="44"/>
  <c r="J26" i="44"/>
  <c r="J28" i="44"/>
  <c r="J31" i="44" s="1"/>
  <c r="J26" i="15"/>
  <c r="J24" i="15"/>
  <c r="C60" i="15"/>
  <c r="J19" i="44"/>
  <c r="C52" i="15"/>
  <c r="C47" i="15" s="1"/>
  <c r="C10" i="15"/>
  <c r="C5" i="15" s="1"/>
  <c r="C33" i="44"/>
  <c r="C20" i="11"/>
  <c r="C21" i="11" s="1"/>
  <c r="C22" i="11" s="1"/>
  <c r="C23" i="11" s="1"/>
  <c r="B2" i="11" s="1"/>
  <c r="F41" i="15"/>
  <c r="C17" i="15"/>
  <c r="E6" i="3" l="1"/>
  <c r="C34" i="46"/>
  <c r="E34" i="46" s="1"/>
  <c r="C31" i="46" s="1"/>
  <c r="S12" i="39"/>
  <c r="B4" i="46"/>
  <c r="D4" i="46"/>
  <c r="B3" i="46"/>
  <c r="D19" i="6"/>
  <c r="D22" i="6"/>
  <c r="AB33" i="21"/>
  <c r="T48" i="21" s="1"/>
  <c r="G48" i="21" s="1"/>
  <c r="G52" i="21" s="1"/>
  <c r="H52" i="21" s="1"/>
  <c r="U33" i="21"/>
  <c r="AA33" i="21"/>
  <c r="S33" i="21"/>
  <c r="W33" i="21"/>
  <c r="AC33" i="21"/>
  <c r="H23" i="6"/>
  <c r="H24" i="6"/>
  <c r="AB12" i="40"/>
  <c r="D9" i="6"/>
  <c r="F45" i="9"/>
  <c r="E45" i="9"/>
  <c r="D5" i="6"/>
  <c r="D10" i="6"/>
  <c r="H21" i="6"/>
  <c r="D26" i="6"/>
  <c r="D12" i="6"/>
  <c r="D11" i="6"/>
  <c r="D21" i="6"/>
  <c r="R21" i="6" s="1"/>
  <c r="D25" i="6"/>
  <c r="D8" i="6"/>
  <c r="F46" i="9"/>
  <c r="C22" i="4"/>
  <c r="A20" i="51" s="1"/>
  <c r="B15"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U7" i="33"/>
  <c r="AB7" i="33"/>
  <c r="T48" i="33" s="1"/>
  <c r="G48" i="33" s="1"/>
  <c r="S7" i="36"/>
  <c r="AA7" i="36"/>
  <c r="R36" i="36"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S7" i="21"/>
  <c r="U7" i="35"/>
  <c r="AB7" i="35"/>
  <c r="T38" i="35" s="1"/>
  <c r="G38" i="35" s="1"/>
  <c r="E66" i="40"/>
  <c r="F64" i="40"/>
  <c r="F68" i="15"/>
  <c r="J29" i="15"/>
  <c r="B5" i="11"/>
  <c r="B4" i="11"/>
  <c r="B3" i="11"/>
  <c r="C65" i="15"/>
  <c r="C59" i="15"/>
  <c r="C38" i="15"/>
  <c r="Q67" i="44"/>
  <c r="Q58" i="44"/>
  <c r="Q49" i="44"/>
  <c r="Q55" i="44" s="1"/>
  <c r="R26" i="6" l="1"/>
  <c r="G53" i="21"/>
  <c r="H53" i="21" s="1"/>
  <c r="R20" i="6"/>
  <c r="R7" i="1" s="1"/>
  <c r="A6" i="64"/>
  <c r="R23" i="6"/>
  <c r="A6" i="51"/>
  <c r="B7" i="63" s="1"/>
  <c r="R48" i="21"/>
  <c r="R49" i="21" s="1"/>
  <c r="R25" i="6"/>
  <c r="N5" i="54"/>
  <c r="B43" i="63" s="1"/>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F35" i="15"/>
  <c r="M21" i="15"/>
  <c r="C14" i="15"/>
  <c r="C16" i="44"/>
  <c r="J20" i="15" l="1"/>
  <c r="J17" i="15" s="1"/>
  <c r="C34" i="15"/>
  <c r="C31" i="15" s="1"/>
  <c r="F62" i="15"/>
  <c r="C61" i="15" s="1"/>
  <c r="C58" i="15" s="1"/>
  <c r="D31" i="6"/>
  <c r="I6" i="6" s="1"/>
  <c r="E48" i="21"/>
  <c r="I53" i="21" s="1"/>
  <c r="J53" i="21" s="1"/>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I5" i="6" l="1"/>
  <c r="C19" i="15"/>
  <c r="B2" i="35"/>
  <c r="C10" i="12"/>
  <c r="C21" i="44"/>
  <c r="C22" i="44" s="1"/>
  <c r="C25" i="44" s="1"/>
  <c r="C18" i="43"/>
  <c r="C19" i="43" s="1"/>
  <c r="C21" i="43" s="1"/>
  <c r="R6" i="1"/>
  <c r="R16" i="1" s="1"/>
  <c r="R27" i="6"/>
  <c r="C20" i="15"/>
  <c r="C26" i="15" s="1"/>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Q50" i="15"/>
  <c r="Q51" i="44"/>
  <c r="J16" i="44"/>
  <c r="J24" i="44" s="1"/>
  <c r="C56" i="15"/>
  <c r="C63" i="15" s="1"/>
  <c r="C15" i="44"/>
  <c r="Q72" i="44" s="1"/>
  <c r="C36" i="15"/>
  <c r="C13" i="15"/>
  <c r="Q71" i="15" s="1"/>
  <c r="B4" i="43"/>
  <c r="B5" i="43"/>
  <c r="J22" i="15"/>
  <c r="J13" i="15"/>
  <c r="J23" i="15" s="1"/>
  <c r="L69" i="39"/>
  <c r="K71" i="39"/>
  <c r="J66" i="40"/>
  <c r="K64" i="40"/>
  <c r="C31" i="12" l="1"/>
  <c r="C30" i="12" s="1"/>
  <c r="C36" i="12"/>
  <c r="B2" i="12" s="1"/>
  <c r="B3" i="12" s="1"/>
  <c r="J15" i="44"/>
  <c r="J25" i="44" s="1"/>
  <c r="J18" i="44" s="1"/>
  <c r="J27" i="44" s="1"/>
  <c r="C43" i="44"/>
  <c r="C39" i="44"/>
  <c r="C32" i="44" s="1"/>
  <c r="C42" i="44" s="1"/>
  <c r="J35" i="15"/>
  <c r="C37" i="15"/>
  <c r="C30" i="15" s="1"/>
  <c r="C39" i="15" s="1"/>
  <c r="C55" i="15"/>
  <c r="C64" i="15" s="1"/>
  <c r="C57" i="15" s="1"/>
  <c r="C66" i="15" s="1"/>
  <c r="C67" i="15" s="1"/>
  <c r="C70" i="15" s="1"/>
  <c r="J16" i="15"/>
  <c r="J25" i="15" s="1"/>
  <c r="M69" i="39"/>
  <c r="L71" i="39"/>
  <c r="L64" i="40"/>
  <c r="K66" i="40"/>
  <c r="D19" i="9"/>
  <c r="L51" i="15"/>
  <c r="D20" i="9"/>
  <c r="B4" i="12" l="1"/>
  <c r="C44" i="44"/>
  <c r="C45" i="44" s="1"/>
  <c r="L52" i="44" s="1"/>
  <c r="L44" i="9"/>
  <c r="B5" i="12"/>
  <c r="Q71" i="44"/>
  <c r="Q70" i="44" s="1"/>
  <c r="J39" i="15"/>
  <c r="J40" i="15" s="1"/>
  <c r="C40" i="15"/>
  <c r="C46" i="15" s="1"/>
  <c r="Q70" i="15"/>
  <c r="Q69" i="15" s="1"/>
  <c r="Q68" i="15"/>
  <c r="B2" i="44"/>
  <c r="M64" i="40"/>
  <c r="L66" i="40"/>
  <c r="M71" i="39"/>
  <c r="N69" i="39"/>
  <c r="N71" i="39" s="1"/>
  <c r="D21" i="9"/>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1" i="9"/>
  <c r="C20"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<sst xmlns="http://schemas.openxmlformats.org/spreadsheetml/2006/main" count="7842" uniqueCount="2746">
  <si>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</si>
  <si>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</si>
  <si>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</si>
  <si>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</si>
  <si>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</si>
  <si>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</si>
  <si>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</si>
  <si>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</si>
  <si>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</si>
  <si>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</si>
  <si>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</si>
  <si>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</si>
  <si>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</si>
  <si>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</si>
  <si>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</si>
  <si>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</si>
  <si>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</si>
  <si>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</si>
  <si>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</si>
  <si>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</si>
  <si>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</si>
  <si>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</si>
  <si>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</si>
  <si>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</si>
  <si>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</si>
  <si>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</si>
  <si>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</si>
  <si>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</si>
  <si>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</si>
  <si>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</si>
  <si>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</si>
  <si>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</si>
  <si>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</si>
  <si>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</si>
  <si>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</si>
  <si>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</si>
  <si>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</si>
  <si>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</si>
  <si>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</si>
  <si>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</si>
  <si>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</si>
  <si>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</si>
  <si>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</si>
  <si>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</si>
  <si>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</si>
  <si>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</si>
  <si>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</si>
  <si>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</si>
  <si>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</si>
  <si>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</si>
  <si>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</si>
  <si>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</si>
  <si>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</si>
  <si>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</si>
  <si>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</si>
  <si>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</si>
  <si>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</si>
  <si>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</si>
  <si>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</si>
  <si>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</si>
  <si>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</si>
  <si>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</si>
  <si>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</si>
  <si>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</si>
  <si>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</si>
  <si>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</si>
  <si>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</si>
  <si>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</si>
  <si>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</si>
  <si>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</si>
  <si>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</si>
  <si>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</si>
  <si>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</si>
  <si>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</si>
  <si>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</si>
  <si>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</si>
  <si>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</si>
  <si>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</si>
  <si>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</si>
  <si>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</si>
  <si>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</si>
  <si>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</si>
  <si>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</si>
  <si>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</si>
  <si>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</si>
  <si>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</si>
  <si>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</si>
  <si>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</si>
  <si>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</si>
  <si>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</si>
  <si>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</si>
  <si>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</si>
  <si>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</si>
  <si>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</si>
  <si>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</si>
  <si>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</si>
  <si>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</si>
  <si>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</si>
  <si>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</si>
  <si>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</si>
  <si>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</si>
  <si>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</si>
  <si>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</si>
  <si>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</si>
  <si>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</si>
  <si>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</si>
  <si>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</si>
  <si>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</si>
  <si>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</si>
  <si>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</si>
  <si>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</si>
  <si>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</si>
  <si>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</si>
  <si>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</si>
  <si>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</si>
  <si>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</si>
  <si>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</si>
  <si>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</si>
  <si>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</si>
  <si>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</si>
  <si>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</si>
  <si>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</si>
  <si>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</si>
  <si>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</si>
  <si>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</si>
  <si>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</si>
  <si>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</si>
  <si>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</si>
  <si>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</si>
  <si>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</si>
  <si>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</si>
  <si>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</si>
  <si>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</si>
  <si>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</si>
  <si>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</si>
  <si>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</si>
  <si>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</si>
  <si>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</si>
  <si>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</si>
  <si>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</si>
  <si>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</si>
  <si>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</si>
  <si>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</si>
  <si>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</si>
  <si>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</si>
  <si>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</si>
  <si>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</si>
  <si>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</si>
  <si>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</si>
  <si>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</si>
  <si>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</si>
  <si>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</si>
  <si>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</si>
  <si>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</si>
  <si>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</si>
  <si>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</si>
  <si>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</si>
  <si>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</si>
  <si>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</si>
  <si>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</si>
  <si>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</si>
  <si>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</si>
  <si>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</si>
  <si>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</si>
  <si>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</si>
  <si>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</si>
  <si>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</si>
  <si>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</si>
  <si>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</si>
  <si>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</si>
  <si>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</si>
  <si>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</si>
  <si>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</si>
  <si>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</si>
  <si>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</si>
  <si>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</si>
  <si>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</si>
  <si>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</si>
  <si>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</si>
  <si>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</si>
  <si>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</si>
  <si>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</si>
  <si>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</si>
  <si>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</si>
  <si>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</si>
  <si>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</si>
  <si>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</si>
  <si>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</si>
  <si>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</si>
  <si>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</si>
  <si>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</si>
  <si>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</si>
  <si>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</si>
  <si>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</si>
  <si>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</si>
  <si>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</si>
  <si>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</si>
  <si>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</si>
  <si>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</si>
  <si>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</si>
  <si>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</si>
  <si>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</si>
  <si>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</si>
  <si>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</si>
  <si>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</si>
  <si>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</si>
  <si>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</si>
  <si>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</si>
  <si>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</si>
  <si>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</si>
  <si>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</si>
  <si>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</si>
  <si>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</si>
  <si>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</si>
  <si>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</si>
  <si>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</si>
  <si>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</si>
  <si>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</si>
  <si>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</si>
  <si>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</si>
  <si>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</si>
  <si>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</si>
  <si>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</si>
  <si>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</si>
  <si>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</si>
  <si>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</si>
  <si>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</si>
  <si>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</si>
  <si>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</si>
  <si>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</si>
  <si>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</si>
  <si>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</si>
  <si>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</si>
  <si>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</si>
  <si>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</si>
  <si>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</si>
  <si>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</si>
  <si>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</si>
  <si>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</si>
  <si>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</si>
  <si>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</si>
  <si>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</si>
  <si>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</si>
  <si>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</si>
  <si>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</si>
  <si>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</si>
  <si>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</si>
  <si>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</si>
  <si>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</si>
  <si>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</si>
  <si>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</si>
  <si>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</si>
  <si>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</si>
  <si>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</si>
  <si>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</si>
  <si>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</si>
  <si>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</si>
  <si>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</si>
  <si>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</si>
  <si>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</si>
  <si>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</si>
  <si>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</si>
  <si>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</si>
  <si>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</si>
  <si>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</si>
  <si>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</si>
  <si>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</si>
  <si>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</si>
  <si>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</si>
  <si>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</si>
  <si>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</si>
  <si>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</si>
  <si>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</si>
  <si>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</si>
  <si>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</si>
  <si>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</si>
  <si>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</si>
  <si>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</si>
  <si>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</si>
  <si>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</si>
  <si>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</si>
  <si>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</si>
  <si>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</si>
  <si>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</si>
  <si>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</si>
  <si>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</si>
  <si>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</si>
  <si>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</si>
  <si>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</si>
  <si>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</si>
  <si>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</si>
  <si>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</si>
  <si>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</si>
  <si>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</si>
  <si>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</si>
  <si>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</si>
  <si>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</si>
  <si>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</si>
  <si>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</si>
  <si>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</si>
  <si>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</si>
  <si>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</si>
  <si>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</si>
  <si>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</si>
  <si>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</si>
  <si>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</si>
  <si>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</si>
  <si>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</si>
  <si>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</si>
  <si>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</si>
  <si>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</si>
  <si>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</si>
  <si>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</si>
  <si>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</si>
  <si>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</si>
  <si>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</si>
  <si>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</si>
  <si>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</si>
  <si>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</si>
  <si>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</si>
  <si>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</si>
  <si>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</si>
  <si>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</si>
  <si>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</si>
  <si>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</si>
  <si>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</si>
  <si>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</si>
  <si>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</si>
  <si>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</si>
  <si>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</si>
  <si>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</si>
  <si>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</si>
  <si>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</si>
  <si>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</si>
  <si>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</si>
  <si>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</si>
  <si>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</si>
  <si>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</si>
  <si>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</si>
  <si>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</si>
  <si>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</si>
  <si>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</si>
  <si>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</si>
  <si>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</si>
  <si>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</si>
  <si>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</si>
  <si>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</si>
  <si>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</si>
  <si>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</si>
  <si>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</si>
  <si>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</si>
  <si>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</si>
  <si>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</si>
  <si>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</si>
  <si>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</si>
  <si>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</si>
  <si>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</si>
  <si>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</si>
  <si>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</si>
  <si>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</si>
  <si>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</si>
  <si>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</si>
  <si>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</si>
  <si>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</si>
  <si>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</si>
  <si>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</si>
  <si>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</si>
  <si>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</si>
  <si>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</si>
  <si>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</si>
  <si>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</si>
  <si>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</si>
  <si>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</si>
  <si>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</si>
  <si>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</si>
  <si>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</si>
  <si>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</si>
  <si>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</si>
  <si>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</si>
  <si>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</si>
  <si>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</si>
  <si>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</si>
  <si>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</si>
  <si>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</si>
  <si>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</si>
  <si>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</si>
  <si>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</si>
  <si>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</si>
  <si>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</si>
  <si>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</si>
  <si>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</si>
  <si>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</si>
  <si>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</si>
  <si>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</si>
  <si>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</si>
  <si>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</si>
  <si>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</si>
  <si>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</si>
  <si>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</si>
  <si>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</si>
  <si>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</si>
  <si>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</si>
  <si>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</si>
  <si>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</si>
  <si>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</si>
  <si>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</si>
  <si>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</si>
  <si>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</si>
  <si>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</si>
  <si>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</si>
  <si>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</si>
  <si>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</si>
  <si>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</si>
  <si>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</si>
  <si>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</si>
  <si>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</si>
  <si>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</si>
  <si>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</si>
  <si>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</si>
  <si>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</si>
  <si>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</si>
  <si>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</si>
  <si>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</si>
  <si>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</si>
  <si>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</si>
  <si>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</si>
  <si>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</si>
  <si>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</si>
  <si>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</si>
  <si>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</si>
  <si>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</si>
  <si>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</si>
  <si>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</si>
  <si>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</si>
  <si>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</si>
  <si>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</si>
  <si>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</si>
  <si>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</si>
  <si>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</si>
  <si>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</si>
  <si>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</si>
  <si>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</si>
  <si>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</si>
  <si>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</si>
  <si>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</si>
  <si>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</si>
  <si>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</si>
  <si>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</si>
  <si>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</si>
  <si>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</si>
  <si>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</si>
  <si>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</si>
  <si>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</si>
  <si>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</si>
  <si>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</si>
  <si>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</si>
  <si>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</si>
  <si>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</si>
  <si>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</si>
  <si>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</si>
  <si>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</si>
  <si>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</si>
  <si>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</si>
  <si>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</si>
  <si>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</si>
  <si>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</si>
  <si>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</si>
  <si>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</si>
  <si>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</si>
  <si>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</si>
  <si>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</si>
  <si>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</si>
  <si>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</si>
  <si>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</si>
  <si>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</si>
  <si>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</si>
  <si>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</si>
  <si>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</si>
  <si>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</si>
  <si>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</si>
  <si>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</si>
  <si>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</si>
  <si>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</si>
  <si>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</si>
  <si>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</si>
  <si>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</si>
  <si>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</si>
  <si>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</si>
  <si>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</si>
  <si>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</si>
  <si>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</si>
  <si>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</si>
  <si>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</si>
  <si>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</si>
  <si>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</si>
  <si>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</si>
  <si>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</si>
  <si>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</si>
  <si>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</si>
  <si>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</si>
  <si>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</si>
  <si>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</si>
  <si>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</si>
  <si>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</si>
  <si>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</si>
  <si>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</si>
  <si>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</si>
  <si>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</si>
  <si>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</si>
  <si>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</si>
  <si>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</si>
  <si>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</si>
  <si>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</si>
  <si>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</si>
  <si>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</si>
  <si>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</si>
  <si>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</si>
  <si>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</si>
  <si>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</si>
  <si>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</si>
  <si>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</si>
  <si>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</si>
  <si>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</si>
  <si>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</si>
  <si>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</si>
  <si>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</si>
  <si>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</si>
  <si>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</si>
  <si>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</si>
  <si>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</si>
  <si>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</si>
  <si>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</si>
  <si>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</si>
  <si>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</si>
  <si>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</si>
  <si>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</si>
  <si>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</si>
  <si>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</si>
  <si>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</si>
  <si>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</si>
  <si>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</si>
  <si>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</si>
  <si>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</si>
  <si>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</si>
  <si>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</si>
  <si>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</si>
  <si>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</si>
  <si>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</si>
  <si>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</si>
  <si>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</si>
  <si>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</si>
  <si>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</si>
  <si>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</si>
  <si>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</si>
  <si>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</si>
  <si>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</si>
  <si>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</si>
  <si>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</si>
  <si>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</si>
  <si>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</si>
  <si>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</si>
  <si>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</si>
  <si>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</si>
  <si>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</si>
  <si>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</si>
  <si>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</si>
  <si>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</si>
  <si>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</si>
  <si>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</si>
  <si>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</si>
  <si>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</si>
  <si>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</si>
  <si>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</si>
  <si>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</si>
  <si>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</si>
  <si>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</si>
  <si>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</si>
  <si>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</si>
  <si>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</si>
  <si>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</si>
  <si>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</si>
  <si>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</si>
  <si>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</si>
  <si>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</si>
  <si>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</si>
  <si>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</si>
  <si>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</si>
  <si>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</si>
  <si>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</si>
  <si>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</si>
  <si>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</si>
  <si>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</si>
  <si>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</si>
  <si>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</si>
  <si>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</si>
  <si>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</si>
  <si>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</si>
  <si>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</si>
  <si>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</si>
  <si>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</si>
  <si>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</si>
  <si>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</si>
  <si>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</si>
  <si>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</si>
  <si>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</si>
  <si>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</si>
  <si>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</si>
  <si>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</si>
  <si>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</si>
  <si>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</si>
  <si>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</si>
  <si>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</si>
  <si>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</si>
  <si>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</si>
  <si>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</si>
  <si>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</si>
  <si>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</si>
  <si>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</si>
  <si>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</si>
  <si>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</si>
  <si>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</si>
  <si>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</si>
  <si>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</si>
  <si>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</si>
  <si>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</si>
  <si>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</si>
  <si>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</si>
  <si>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</si>
  <si>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</si>
  <si>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</si>
  <si>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</si>
  <si>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</si>
  <si>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</si>
  <si>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</si>
  <si>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</si>
  <si>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</si>
  <si>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</si>
  <si>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</si>
  <si>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</si>
  <si>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</si>
  <si>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</si>
  <si>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</si>
  <si>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</si>
  <si>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</si>
  <si>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</si>
  <si>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</si>
  <si>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</si>
  <si>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</si>
  <si>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</si>
  <si>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</si>
  <si>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</si>
  <si>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</si>
  <si>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</si>
  <si>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</si>
  <si>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</si>
  <si>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</si>
  <si>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</si>
  <si>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</si>
  <si>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</si>
  <si>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</si>
  <si>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</si>
  <si>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</si>
  <si>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</si>
  <si>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</si>
  <si>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</si>
  <si>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</si>
  <si>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</si>
  <si>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</si>
  <si>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</si>
  <si>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</si>
  <si>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</si>
  <si>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</si>
  <si>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</si>
  <si>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</si>
  <si>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</si>
  <si>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</si>
  <si>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</si>
  <si>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</si>
  <si>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</si>
  <si>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</si>
  <si>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</si>
  <si>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</si>
  <si>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</si>
  <si>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</si>
  <si>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</si>
  <si>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</si>
  <si>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</si>
  <si>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</si>
  <si>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</si>
  <si>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</si>
  <si>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</si>
  <si>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</si>
  <si>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</si>
  <si>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</si>
  <si>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</si>
  <si>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</si>
  <si>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</si>
  <si>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</si>
  <si>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</si>
  <si>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</si>
  <si>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</si>
  <si>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</si>
  <si>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</si>
  <si>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</si>
  <si>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</si>
  <si>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</si>
  <si>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</si>
  <si>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</si>
  <si>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</si>
  <si>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</si>
  <si>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</si>
  <si>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</si>
  <si>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</si>
  <si>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</si>
  <si>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</si>
  <si>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</si>
  <si>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</si>
  <si>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</si>
  <si>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</si>
  <si>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</si>
  <si>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</si>
  <si>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</si>
  <si>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</si>
  <si>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</si>
  <si>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</si>
  <si>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</si>
  <si>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</si>
  <si>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</si>
  <si>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</si>
  <si>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</si>
  <si>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</si>
  <si>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</si>
  <si>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</si>
  <si>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</si>
  <si>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</si>
  <si>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</si>
  <si>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</si>
  <si>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</si>
  <si>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</si>
  <si>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</si>
  <si>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</si>
  <si>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</si>
  <si>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</si>
  <si>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</si>
  <si>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</si>
  <si>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</si>
  <si>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</si>
  <si>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</si>
  <si>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</si>
  <si>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</si>
  <si>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</si>
  <si>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</si>
  <si>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</si>
  <si>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</si>
  <si>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</si>
  <si>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</si>
  <si>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</si>
  <si>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</si>
  <si>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</si>
  <si>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</si>
  <si>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</si>
  <si>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</si>
  <si>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</si>
  <si>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</si>
  <si>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</si>
  <si>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</si>
  <si>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</si>
  <si>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</si>
  <si>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</si>
  <si>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</si>
  <si>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</si>
  <si>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</si>
  <si>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</si>
  <si>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</si>
  <si>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</si>
  <si>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</si>
  <si>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</si>
  <si>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</si>
  <si>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</si>
  <si>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</si>
  <si>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</si>
  <si>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</si>
  <si>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</si>
  <si>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</si>
  <si>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</si>
  <si>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</si>
  <si>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</si>
  <si>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</si>
  <si>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</si>
  <si>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</si>
  <si>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</si>
  <si>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</si>
  <si>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</si>
  <si>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</si>
  <si>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</si>
  <si>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</si>
  <si>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</si>
  <si>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</si>
  <si>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</si>
  <si>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</si>
  <si>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</si>
  <si>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</si>
  <si>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</si>
  <si>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</si>
  <si>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</si>
  <si>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</si>
  <si>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</si>
  <si>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</si>
  <si>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</si>
  <si>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</si>
  <si>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</si>
  <si>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</si>
  <si>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</si>
  <si>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</si>
  <si>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</si>
  <si>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</si>
  <si>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</si>
  <si>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</si>
  <si>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</si>
  <si>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</si>
  <si>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</si>
  <si>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</si>
  <si>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</si>
  <si>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</si>
  <si>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</si>
  <si>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</si>
  <si>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</si>
  <si>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</si>
  <si>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</si>
  <si>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</si>
  <si>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</si>
  <si>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</si>
  <si>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</si>
  <si>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</si>
  <si>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</si>
  <si>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</si>
  <si>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</si>
  <si>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</si>
  <si>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</si>
  <si>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</si>
  <si>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</si>
  <si>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</si>
  <si>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</si>
  <si>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</si>
  <si>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</si>
  <si>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</si>
  <si>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</si>
  <si>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</si>
  <si>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</si>
  <si>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</si>
  <si>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</si>
  <si>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</si>
  <si>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</si>
  <si>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</si>
  <si>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</si>
  <si>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</si>
  <si>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</si>
  <si>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</si>
  <si>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</si>
  <si>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</si>
  <si>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</si>
  <si>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</si>
  <si>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</si>
  <si>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</si>
  <si>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</si>
  <si>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</si>
  <si>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</si>
  <si>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</si>
  <si>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</si>
  <si>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</si>
  <si>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</si>
  <si>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</si>
  <si>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</si>
  <si>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</si>
  <si>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</si>
  <si>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</si>
  <si>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</si>
  <si>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</si>
  <si>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</si>
  <si>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</si>
  <si>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</si>
  <si>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</si>
  <si>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</si>
  <si>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</si>
  <si>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</si>
  <si>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</si>
  <si>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</si>
  <si>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</si>
  <si>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</si>
  <si>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</si>
  <si>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</si>
  <si>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</si>
  <si>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</si>
  <si>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</si>
  <si>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</si>
  <si>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</si>
  <si>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</si>
  <si>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</si>
  <si>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</si>
  <si>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</si>
  <si>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</si>
  <si>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</si>
  <si>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</si>
  <si>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</si>
  <si>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</si>
  <si>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</si>
  <si>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</si>
  <si>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</si>
  <si>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</si>
  <si>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</si>
  <si>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</si>
  <si>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</si>
  <si>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</si>
  <si>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</si>
  <si>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</si>
  <si>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</si>
  <si>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</si>
  <si>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</si>
  <si>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</si>
  <si>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</si>
  <si>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</si>
  <si>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</si>
  <si>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</si>
  <si>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</si>
  <si>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</si>
  <si>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</si>
  <si>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</si>
  <si>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</si>
  <si>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</si>
  <si>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</si>
  <si>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</si>
  <si>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</si>
  <si>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</si>
  <si>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</si>
  <si>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</si>
  <si>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</si>
  <si>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</si>
  <si>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</si>
  <si>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</si>
  <si>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</si>
  <si>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</si>
  <si>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</si>
  <si>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</si>
  <si>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</si>
  <si>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</si>
  <si>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</si>
  <si>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</si>
  <si>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</si>
  <si>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</si>
  <si>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</si>
  <si>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</si>
  <si>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</si>
  <si>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</si>
  <si>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</si>
  <si>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</si>
  <si>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</si>
  <si>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</si>
  <si>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</si>
  <si>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</si>
  <si>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</si>
  <si>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</si>
  <si>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</si>
  <si>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</si>
  <si>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</si>
  <si>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</si>
  <si>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</si>
  <si>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</si>
  <si>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</si>
  <si>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</si>
  <si>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</si>
  <si>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</si>
  <si>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</si>
  <si>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</si>
  <si>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</si>
  <si>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</si>
  <si>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</si>
  <si>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</si>
  <si>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</si>
  <si>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</si>
  <si>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</si>
  <si>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</si>
  <si>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</si>
  <si>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</si>
  <si>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</si>
  <si>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</si>
  <si>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</si>
  <si>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</si>
  <si>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</si>
  <si>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</si>
  <si>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</si>
  <si>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</si>
  <si>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</si>
  <si>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</si>
  <si>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</si>
  <si>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</si>
  <si>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</si>
  <si>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</si>
  <si>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</si>
  <si>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</si>
  <si>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</si>
  <si>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</si>
  <si>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</si>
  <si>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</si>
  <si>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</si>
  <si>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</si>
  <si>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</si>
  <si>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</si>
  <si>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</si>
  <si>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</si>
  <si>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</si>
  <si>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</si>
  <si>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</si>
  <si>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</si>
  <si>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</si>
  <si>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</si>
  <si>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</si>
  <si>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</si>
  <si>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</si>
  <si>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</si>
  <si>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</si>
  <si>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</si>
  <si>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</si>
  <si>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</si>
  <si>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</si>
  <si>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</si>
  <si>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</si>
  <si>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</si>
  <si>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</si>
  <si>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</si>
  <si>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</si>
  <si>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</si>
  <si>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</si>
  <si>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</si>
  <si>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</si>
  <si>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</si>
  <si>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</si>
  <si>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</si>
  <si>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</si>
  <si>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</si>
  <si>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</si>
  <si>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</si>
  <si>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</si>
  <si>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</si>
  <si>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</si>
  <si>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</si>
  <si>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</si>
  <si>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</si>
  <si>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</si>
  <si>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</si>
  <si>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</si>
  <si>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</si>
  <si>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</si>
  <si>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</si>
  <si>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</si>
  <si>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</si>
  <si>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</si>
  <si>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</si>
  <si>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</si>
  <si>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</si>
  <si>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</si>
  <si>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</si>
  <si>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</si>
  <si>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</si>
  <si>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</si>
  <si>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</si>
  <si>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</si>
  <si>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</si>
  <si>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</si>
  <si>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</si>
  <si>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</si>
  <si>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</si>
  <si>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</si>
  <si>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</si>
  <si>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</si>
  <si>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</si>
  <si>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</si>
  <si>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</si>
  <si>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</si>
  <si>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</si>
  <si>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</si>
  <si>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</si>
  <si>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</si>
  <si>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</si>
  <si>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</si>
  <si>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</si>
  <si>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</si>
  <si>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</si>
  <si>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</si>
  <si>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</si>
  <si>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</si>
  <si>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</si>
  <si>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</si>
  <si>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</si>
  <si>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</si>
  <si>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</si>
  <si>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</si>
  <si>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</si>
  <si>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</si>
  <si>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</si>
  <si>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</si>
  <si>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</si>
  <si>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</si>
  <si>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</si>
  <si>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</si>
  <si>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</si>
  <si>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</si>
  <si>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</si>
  <si>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</si>
  <si>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</si>
  <si>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</si>
  <si>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</si>
  <si>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</si>
  <si>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</si>
  <si>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</si>
  <si>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</si>
  <si>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</si>
  <si>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</si>
  <si>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</si>
  <si>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</si>
  <si>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</si>
  <si>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</si>
  <si>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</si>
  <si>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</si>
  <si>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</si>
  <si>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</si>
  <si>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</si>
  <si>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</si>
  <si>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</si>
  <si>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</si>
  <si>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</si>
  <si>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</si>
  <si>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</si>
  <si>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</si>
  <si>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</si>
  <si>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</si>
  <si>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</si>
  <si>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</si>
  <si>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</si>
  <si>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</si>
  <si>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</si>
  <si>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</si>
  <si>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</si>
  <si>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</si>
  <si>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</si>
  <si>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</si>
  <si>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</si>
  <si>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</si>
  <si>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</si>
  <si>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</si>
  <si>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</si>
  <si>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</si>
  <si>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</si>
  <si>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</si>
  <si>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</si>
  <si>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</si>
  <si>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</si>
  <si>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</si>
  <si>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</si>
  <si>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</si>
  <si>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</si>
  <si>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</si>
  <si>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</si>
  <si>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</si>
  <si>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</si>
  <si>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</si>
  <si>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</si>
  <si>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</si>
  <si>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</si>
  <si>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</si>
  <si>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</si>
  <si>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</si>
  <si>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</si>
  <si>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</si>
  <si>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</si>
  <si>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</si>
  <si>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</si>
  <si>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</si>
  <si>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</si>
  <si>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</si>
  <si>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</si>
  <si>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</si>
  <si>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</si>
  <si>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</si>
  <si>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</si>
  <si>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</si>
  <si>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</si>
  <si>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</si>
  <si>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</si>
  <si>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</si>
  <si>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</si>
  <si>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</si>
  <si>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</si>
  <si>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</si>
  <si>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</si>
  <si>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</si>
  <si>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</si>
  <si>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</si>
  <si>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</si>
  <si>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</si>
  <si>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</si>
  <si>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</si>
  <si>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</si>
  <si>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</si>
  <si>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</si>
  <si>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</si>
  <si>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</si>
  <si>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</si>
  <si>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</si>
  <si>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</si>
  <si>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</si>
  <si>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</si>
  <si>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</si>
  <si>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</si>
  <si>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</si>
  <si>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</si>
  <si>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</si>
  <si>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</si>
  <si>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</si>
  <si>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</si>
  <si>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</si>
  <si>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</si>
  <si>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</si>
  <si>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</si>
  <si>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</si>
  <si>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</si>
  <si>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</si>
  <si>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</si>
  <si>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</si>
  <si>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</si>
  <si>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</si>
  <si>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</si>
  <si>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</si>
  <si>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</si>
  <si>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</si>
  <si>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</si>
  <si>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</si>
  <si>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</si>
  <si>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</si>
  <si>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</si>
  <si>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</si>
  <si>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</si>
  <si>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</si>
  <si>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</si>
  <si>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</si>
  <si>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</si>
  <si>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</si>
  <si>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</si>
  <si>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</si>
  <si>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</si>
  <si>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</si>
  <si>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</si>
  <si>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</si>
  <si>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</si>
  <si>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</si>
  <si>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</si>
  <si>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</si>
  <si>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</si>
  <si>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</si>
  <si>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</si>
  <si>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</si>
  <si>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</si>
  <si>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</si>
  <si>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</si>
  <si>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</si>
  <si>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</si>
  <si>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</si>
  <si>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</si>
  <si>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</si>
  <si>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</si>
  <si>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</si>
  <si>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</si>
  <si>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</si>
  <si>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</si>
  <si>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</si>
  <si>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</si>
  <si>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</si>
  <si>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</si>
  <si>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</si>
  <si>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</si>
  <si>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</si>
  <si>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</si>
  <si>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</si>
  <si>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</si>
  <si>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</si>
  <si>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</si>
  <si>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</si>
  <si>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</si>
  <si>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</si>
  <si>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</si>
  <si>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</si>
  <si>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</si>
  <si>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</si>
  <si>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</si>
  <si>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</si>
  <si>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</si>
  <si>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</si>
  <si>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</si>
  <si>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</si>
  <si>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</si>
  <si>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</si>
  <si>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</si>
  <si>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</si>
  <si>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</si>
  <si>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</si>
  <si>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</si>
  <si>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</si>
  <si>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</si>
  <si>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</si>
  <si>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</si>
  <si>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</si>
  <si>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</si>
  <si>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</si>
  <si>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</si>
  <si>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</si>
  <si>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</si>
  <si>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</si>
  <si>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</si>
  <si>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</si>
  <si>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</si>
  <si>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</si>
  <si>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</si>
  <si>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</si>
  <si>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</si>
  <si>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</si>
  <si>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</si>
  <si>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</si>
  <si>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</si>
  <si>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</si>
  <si>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</si>
  <si>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</si>
  <si>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</si>
  <si>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</si>
  <si>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</si>
  <si>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</si>
  <si>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</si>
  <si>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</si>
  <si>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</si>
  <si>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</si>
  <si>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</si>
  <si>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</si>
  <si>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</si>
  <si>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</si>
  <si>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</si>
  <si>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</si>
  <si>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</si>
  <si>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</si>
  <si>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</si>
  <si>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</si>
  <si>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</si>
  <si>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</si>
  <si>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</si>
  <si>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</si>
  <si>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</si>
  <si>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</si>
  <si>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</si>
  <si>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</si>
  <si>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</si>
  <si>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</si>
  <si>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</si>
  <si>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</si>
  <si>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</si>
  <si>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</si>
  <si>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</si>
  <si>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</si>
  <si>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</si>
  <si>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</si>
  <si>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</si>
  <si>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</si>
  <si>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</si>
  <si>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</si>
  <si>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</si>
  <si>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</si>
  <si>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</si>
  <si>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</si>
  <si>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</si>
  <si>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</si>
  <si>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</si>
  <si>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</si>
  <si>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</si>
  <si>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</si>
  <si>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</si>
  <si>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</si>
  <si>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</si>
  <si>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</si>
  <si>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</si>
  <si>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</si>
  <si>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</si>
  <si>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</si>
  <si>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</si>
  <si>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</si>
  <si>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</si>
  <si>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</si>
  <si>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</si>
  <si>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</si>
  <si>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</si>
  <si>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</si>
  <si>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</si>
  <si>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</si>
  <si>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</si>
  <si>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</si>
  <si>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</si>
  <si>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</si>
  <si>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</si>
  <si>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</si>
  <si>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</si>
  <si>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</si>
  <si>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</si>
  <si>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</si>
  <si>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</si>
  <si>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</si>
  <si>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</si>
  <si>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</si>
  <si>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</si>
  <si>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</si>
  <si>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</si>
  <si>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</si>
  <si>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</si>
  <si>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</si>
  <si>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</si>
  <si>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</si>
  <si>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</si>
  <si>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</si>
  <si>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</si>
  <si>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</si>
  <si>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</si>
  <si>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</si>
  <si>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</si>
  <si>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</si>
  <si>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</si>
  <si>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</si>
  <si>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</si>
  <si>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</si>
  <si>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</si>
  <si>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</si>
  <si>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</si>
  <si>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</si>
  <si>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</si>
  <si>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</si>
  <si>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</si>
  <si>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</si>
  <si>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</si>
  <si>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</si>
  <si>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</si>
  <si>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</si>
  <si>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</si>
  <si>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</si>
  <si>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</si>
  <si>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</si>
  <si>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</si>
  <si>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</si>
  <si>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</si>
  <si>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</si>
  <si>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</si>
  <si>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</si>
  <si>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</si>
  <si>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</si>
  <si>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</si>
  <si>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</si>
  <si>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</si>
  <si>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</si>
  <si>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</si>
  <si>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</si>
  <si>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</si>
  <si>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</si>
  <si>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</si>
  <si>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</si>
  <si>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</si>
  <si>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</si>
  <si>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</si>
  <si>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</si>
  <si>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</si>
  <si>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</si>
  <si>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</si>
  <si>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</si>
  <si>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</si>
  <si>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</si>
  <si>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</si>
  <si>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</si>
  <si>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</si>
  <si>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</si>
  <si>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</si>
  <si>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</si>
  <si>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</si>
  <si>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</si>
  <si>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</si>
  <si>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</si>
  <si>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</si>
  <si>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</si>
  <si>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</si>
  <si>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</si>
  <si>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</si>
  <si>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</si>
  <si>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</si>
  <si>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</si>
  <si>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</si>
  <si>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</si>
  <si>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</si>
  <si>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</si>
  <si>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</si>
  <si>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</si>
  <si>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</si>
  <si>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</si>
  <si>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</si>
  <si>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</si>
  <si>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</si>
  <si>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</si>
  <si>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</si>
  <si>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</si>
  <si>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</si>
  <si>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</si>
  <si>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</si>
  <si>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</si>
  <si>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</si>
  <si>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</si>
  <si>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</si>
  <si>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</si>
  <si>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</si>
  <si>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</si>
  <si>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</si>
  <si>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</si>
  <si>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</si>
  <si>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</si>
  <si>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</si>
  <si>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</si>
  <si>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</si>
  <si>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</si>
  <si>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</si>
  <si>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</si>
  <si>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</si>
  <si>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</si>
  <si>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</si>
  <si>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</si>
  <si>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</si>
  <si>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</si>
  <si>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</si>
  <si>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</si>
  <si>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</si>
  <si>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</si>
  <si>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</si>
  <si>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</si>
  <si>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</si>
  <si>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</si>
  <si>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</si>
  <si>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</si>
  <si>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</si>
  <si>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</si>
  <si>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</si>
  <si>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</si>
  <si>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</si>
  <si>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</si>
  <si>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</si>
  <si>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</si>
  <si>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</si>
  <si>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</si>
  <si>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</si>
  <si>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</si>
  <si>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</si>
  <si>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</si>
  <si>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</si>
  <si>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</si>
  <si>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</si>
  <si>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</si>
  <si>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</si>
  <si>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</si>
  <si>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</si>
  <si>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</si>
  <si>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</si>
  <si>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</si>
  <si>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</si>
  <si>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</si>
  <si>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</si>
  <si>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</si>
  <si>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</si>
  <si>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</si>
  <si>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</si>
  <si>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</si>
  <si>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</si>
  <si>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</si>
  <si>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</si>
  <si>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</si>
  <si>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</si>
  <si>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</si>
  <si>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</si>
  <si>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</si>
  <si>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</si>
  <si>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</si>
  <si>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</si>
  <si>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</si>
  <si>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</si>
  <si>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</si>
  <si>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</si>
  <si>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</si>
  <si>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</si>
  <si>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</si>
  <si>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</si>
  <si>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</si>
  <si>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</si>
  <si>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</si>
  <si>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</si>
  <si>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</si>
  <si>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</si>
  <si>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</si>
  <si>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</si>
  <si>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</si>
  <si>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</si>
  <si>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</si>
  <si>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</si>
  <si>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</si>
  <si>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</si>
  <si>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</si>
  <si>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</si>
  <si>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</si>
  <si>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</si>
  <si>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</si>
  <si>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</si>
  <si>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</si>
  <si>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</si>
  <si>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</si>
  <si>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</si>
  <si>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</si>
  <si>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</si>
  <si>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</si>
  <si>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</si>
  <si>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</si>
  <si>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</si>
  <si>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</si>
  <si>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</si>
  <si>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</si>
  <si>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</si>
  <si>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</si>
  <si>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</si>
  <si>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</si>
  <si>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</si>
  <si>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</si>
  <si>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</si>
  <si>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</si>
  <si>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</si>
  <si>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</si>
  <si>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</si>
  <si>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</si>
  <si>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</si>
  <si>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</si>
  <si>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</si>
  <si>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</si>
  <si>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</si>
  <si>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</si>
  <si>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</si>
  <si>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</si>
  <si>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</si>
  <si>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</si>
  <si>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</si>
  <si>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</si>
  <si>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</si>
  <si>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</si>
  <si>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</si>
  <si>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</si>
  <si>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</si>
  <si>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</si>
  <si>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</si>
  <si>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</si>
  <si>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</si>
  <si>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</si>
  <si>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</si>
  <si>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</si>
  <si>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</si>
  <si>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</si>
  <si>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</si>
  <si>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</si>
  <si>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</si>
  <si>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</si>
  <si>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</si>
  <si>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</si>
  <si>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</si>
  <si>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</si>
  <si>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</si>
  <si>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</si>
  <si>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</si>
  <si>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</si>
  <si>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</si>
  <si>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</si>
  <si>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</si>
  <si>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</si>
  <si>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</si>
  <si>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</si>
  <si>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</si>
  <si>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</si>
  <si>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</si>
  <si>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</si>
  <si>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</si>
  <si>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</si>
  <si>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</si>
  <si>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</si>
  <si>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</si>
  <si>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</si>
  <si>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</si>
  <si>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</si>
  <si>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</si>
  <si>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</si>
  <si>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</si>
  <si>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</si>
  <si>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</si>
  <si>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</si>
  <si>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</si>
  <si>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</si>
  <si>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</si>
  <si>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</si>
  <si>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</si>
  <si>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</si>
  <si>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</si>
  <si>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</si>
  <si>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</si>
  <si>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</si>
  <si>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</si>
  <si>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</si>
  <si>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</si>
  <si>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</si>
  <si>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</si>
  <si>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</si>
  <si>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</si>
  <si>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</si>
  <si>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</si>
  <si>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</si>
  <si>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</si>
  <si>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</si>
  <si>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</si>
  <si>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</si>
  <si>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</si>
  <si>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</si>
  <si>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</si>
  <si>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</si>
  <si>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</si>
  <si>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</si>
  <si>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</si>
  <si>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</si>
  <si>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</si>
  <si>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</si>
  <si>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</si>
  <si>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</si>
  <si>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</si>
  <si>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</si>
  <si>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</si>
  <si>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</si>
  <si>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</si>
  <si>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</si>
  <si>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</si>
  <si>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</si>
  <si>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</si>
  <si>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</si>
  <si>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</si>
  <si>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</si>
  <si>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</si>
  <si>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</si>
  <si>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</si>
  <si>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</si>
  <si>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</si>
  <si>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</si>
  <si>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</si>
  <si>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</si>
  <si>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</si>
  <si>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</si>
  <si>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</si>
  <si>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</si>
  <si>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</si>
  <si>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</si>
  <si>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</si>
  <si>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</si>
  <si>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</si>
  <si>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</si>
  <si>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</si>
  <si>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</si>
  <si>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</si>
  <si>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</si>
  <si>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</si>
  <si>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</si>
  <si>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</si>
  <si>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</si>
  <si>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</si>
  <si>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</si>
  <si>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</si>
  <si>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</si>
  <si>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</si>
  <si>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</si>
  <si>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</si>
  <si>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</si>
  <si>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</si>
  <si>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</si>
  <si>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</si>
  <si>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</si>
  <si>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</si>
  <si>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</si>
  <si>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</si>
  <si>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</si>
  <si>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</si>
  <si>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</si>
  <si>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</si>
  <si>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</si>
  <si>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</si>
  <si>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</si>
  <si>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</si>
  <si>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</si>
  <si>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</si>
  <si>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</si>
  <si>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</si>
  <si>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</si>
  <si>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</si>
  <si>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</si>
  <si>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</si>
  <si>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</si>
  <si>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</si>
  <si>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</si>
  <si>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</si>
  <si>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</si>
  <si>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</si>
  <si>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</si>
  <si>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</si>
  <si>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</si>
  <si>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</si>
  <si>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</si>
  <si>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</si>
  <si>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</si>
  <si>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</si>
  <si>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</si>
  <si>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</si>
  <si>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</si>
  <si>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</si>
  <si>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</si>
  <si>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</si>
  <si>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</si>
  <si>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</si>
  <si>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</si>
  <si>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</si>
  <si>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</si>
  <si>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</si>
  <si>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</si>
  <si>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</si>
  <si>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</si>
  <si>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</si>
  <si>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</si>
  <si>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</si>
  <si>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</si>
  <si>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</si>
  <si>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</si>
  <si>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</si>
  <si>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</si>
  <si>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</si>
  <si>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</si>
  <si>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</si>
  <si>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</si>
  <si>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</si>
  <si>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</si>
  <si>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</si>
  <si>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</si>
  <si>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</si>
  <si>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</si>
  <si>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</si>
  <si>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</si>
  <si>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</si>
  <si>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</si>
  <si>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</si>
  <si>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</si>
  <si>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</si>
  <si>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</si>
  <si>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</si>
  <si>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</si>
  <si>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</si>
  <si>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</si>
  <si>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</si>
  <si>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</si>
  <si>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</si>
  <si>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</si>
  <si>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</si>
  <si>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</si>
  <si>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</si>
  <si>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</si>
  <si>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</si>
  <si>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</si>
  <si>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</si>
  <si>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</si>
  <si>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</si>
  <si>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</si>
  <si>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</si>
  <si>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</si>
  <si>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</si>
  <si>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</si>
  <si>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</si>
  <si>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</si>
  <si>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</si>
  <si>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</si>
  <si>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</si>
  <si>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</si>
  <si>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</si>
  <si>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</si>
  <si>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</si>
  <si>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</si>
  <si>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</si>
  <si>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</si>
  <si>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</si>
  <si>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</si>
  <si>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</si>
  <si>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</si>
  <si>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</si>
  <si>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</si>
  <si>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</si>
  <si>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</si>
  <si>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</si>
  <si>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</si>
  <si>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</si>
  <si>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</si>
  <si>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</si>
  <si>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</si>
  <si>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</si>
  <si>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</si>
  <si>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</si>
  <si>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</si>
  <si>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</si>
  <si>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</si>
  <si>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</si>
  <si>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</si>
  <si>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</si>
  <si>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</si>
  <si>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</si>
  <si>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</si>
  <si>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</si>
  <si>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</si>
  <si>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</si>
  <si>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</si>
  <si>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</si>
  <si>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</si>
  <si>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</si>
  <si>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</si>
  <si>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</si>
  <si>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</si>
  <si>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</si>
  <si>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</si>
  <si>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</si>
  <si>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</si>
  <si>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</si>
  <si>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</si>
  <si>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</si>
  <si>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</si>
  <si>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</si>
  <si>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</si>
  <si>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</si>
  <si>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</si>
  <si>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</si>
  <si>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</si>
  <si>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</si>
  <si>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</si>
  <si>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</si>
  <si>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</si>
  <si>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</si>
  <si>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</si>
  <si>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</si>
  <si>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</si>
  <si>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</si>
  <si>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</si>
  <si>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</si>
  <si>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</si>
  <si>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</si>
  <si>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</si>
  <si>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</si>
  <si>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</si>
  <si>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</si>
  <si>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</si>
  <si>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</si>
  <si>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</si>
  <si>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</si>
  <si>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</si>
  <si>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</si>
  <si>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</si>
  <si>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</si>
  <si>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</si>
  <si>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</si>
  <si>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</si>
  <si>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</si>
  <si>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</si>
  <si>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</si>
  <si>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</si>
  <si>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</si>
  <si>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</si>
  <si>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</si>
  <si>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</si>
  <si>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</si>
  <si>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</si>
  <si>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</si>
  <si>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</si>
  <si>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</si>
  <si>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</si>
  <si>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</si>
  <si>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</si>
  <si>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</si>
  <si>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</si>
  <si>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</si>
  <si>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</si>
  <si>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</si>
  <si>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</si>
  <si>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</si>
  <si>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</si>
  <si>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</si>
  <si>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</si>
  <si>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</si>
  <si>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</si>
  <si>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</si>
  <si>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</si>
  <si>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</si>
  <si>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</si>
  <si>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</si>
  <si>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</si>
  <si>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</si>
  <si>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</si>
  <si>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</si>
  <si>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</si>
  <si>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</si>
  <si>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</si>
  <si>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</si>
  <si>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</si>
  <si>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</si>
  <si>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</si>
  <si>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</si>
  <si>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</si>
  <si>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</si>
  <si>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</si>
  <si>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</si>
  <si>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</si>
  <si>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</si>
  <si>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</si>
  <si>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</si>
  <si>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</si>
  <si>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</si>
  <si>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</si>
  <si>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</si>
  <si>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</si>
  <si>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</si>
  <si>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</si>
  <si>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</si>
  <si>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</si>
  <si>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</si>
  <si>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</si>
  <si>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</si>
  <si>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</si>
  <si>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</si>
  <si>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</si>
  <si>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</si>
  <si>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</si>
  <si>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</si>
  <si>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</si>
  <si>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</si>
  <si>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</si>
  <si>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</si>
  <si>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</si>
  <si>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</si>
  <si>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</si>
  <si>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</si>
  <si>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</si>
  <si>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</si>
  <si>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</si>
  <si>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</si>
  <si>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</si>
  <si>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</si>
  <si>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</si>
  <si>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</si>
  <si>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</si>
  <si>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</si>
  <si>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</si>
  <si>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</si>
  <si>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</si>
  <si>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</si>
  <si>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</si>
  <si>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</si>
  <si>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</si>
  <si>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</si>
  <si>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</si>
  <si>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</si>
  <si>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</si>
  <si>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</si>
  <si>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</si>
  <si>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</si>
  <si>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</si>
  <si>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</si>
  <si>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</si>
  <si>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</si>
  <si>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</si>
  <si>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</si>
  <si>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</si>
  <si>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</si>
  <si>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</si>
  <si>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</si>
  <si>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</si>
  <si>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</si>
  <si>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</si>
  <si>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</si>
  <si>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</si>
  <si>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</si>
  <si>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</si>
  <si>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</si>
  <si>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</si>
  <si>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</si>
  <si>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</si>
  <si>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</si>
  <si>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</si>
  <si>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</si>
  <si>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</si>
  <si>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</si>
  <si>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</si>
  <si>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</si>
  <si>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</si>
  <si>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</si>
  <si>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</si>
  <si>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</si>
  <si>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</si>
  <si>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</si>
  <si>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</si>
  <si>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</si>
  <si>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</si>
  <si>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</si>
  <si>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</si>
  <si>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</si>
  <si>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</si>
  <si>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</si>
  <si>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</si>
  <si>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</si>
  <si>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</si>
  <si>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</si>
  <si>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</si>
  <si>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</si>
  <si>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</si>
  <si>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</si>
  <si>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</si>
  <si>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</si>
  <si>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</si>
  <si>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</si>
  <si>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</si>
  <si>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</si>
  <si>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</si>
  <si>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</si>
  <si>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</si>
  <si>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</si>
  <si>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</si>
  <si>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</si>
  <si>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</si>
  <si>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</si>
  <si>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</si>
  <si>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</si>
  <si>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</si>
  <si>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</si>
  <si>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</si>
  <si>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</si>
  <si>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</si>
  <si>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</si>
  <si>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</si>
  <si>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</si>
  <si>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</si>
  <si>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</si>
  <si>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</si>
  <si>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</si>
  <si>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</si>
  <si>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</si>
  <si>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</si>
  <si>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</si>
  <si>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</si>
  <si>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</si>
  <si>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</si>
  <si>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</si>
  <si>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</si>
  <si>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</si>
  <si>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</si>
  <si>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</si>
  <si>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</si>
  <si>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</si>
  <si>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</si>
  <si>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</si>
  <si>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</si>
  <si>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</si>
  <si>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</si>
  <si>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</si>
  <si>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</si>
  <si>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</si>
  <si>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</si>
  <si>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</si>
  <si>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</si>
  <si>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</si>
  <si>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</si>
  <si>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</si>
  <si>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</si>
  <si>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</si>
  <si>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</si>
  <si>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</si>
  <si>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</si>
  <si>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</si>
  <si>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</si>
  <si>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</si>
  <si>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</si>
  <si>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</si>
  <si>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</si>
  <si>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</si>
  <si>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</si>
  <si>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</si>
  <si>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</si>
  <si>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</si>
  <si>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</si>
  <si>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</si>
  <si>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</si>
  <si>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</si>
  <si>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</si>
  <si>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</si>
  <si>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</si>
  <si>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</si>
  <si>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</si>
  <si>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</si>
  <si>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</si>
  <si>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</si>
  <si>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</si>
  <si>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</si>
  <si>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</si>
  <si>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</si>
  <si>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</si>
  <si>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</si>
  <si>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</si>
  <si>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</si>
  <si>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</si>
  <si>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</si>
  <si>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</si>
  <si>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</si>
  <si>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</si>
  <si>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</si>
  <si>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</si>
  <si>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</si>
  <si>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</si>
  <si>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</si>
  <si>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</si>
  <si>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</si>
  <si>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</si>
  <si>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</si>
  <si>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</si>
  <si>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</si>
  <si>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</si>
  <si>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</si>
  <si>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</si>
  <si>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</si>
  <si>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</si>
  <si>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</si>
  <si>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</si>
  <si>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</si>
  <si>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</si>
  <si>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</si>
  <si>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</si>
  <si>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</si>
  <si>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</si>
  <si>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</si>
  <si>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</si>
  <si>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</si>
  <si>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</si>
  <si>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</si>
  <si>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</si>
  <si>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</si>
  <si>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</si>
  <si>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</si>
  <si>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</si>
  <si>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</si>
  <si>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</si>
  <si>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</si>
  <si>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</si>
  <si>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</si>
  <si>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</si>
  <si>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</si>
  <si>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</si>
  <si>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</si>
  <si>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</si>
  <si>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</si>
  <si>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</si>
  <si>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</si>
  <si>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</si>
  <si>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</si>
  <si>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</si>
  <si>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</si>
  <si>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</si>
  <si>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</si>
  <si>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</si>
  <si>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</si>
  <si>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</si>
  <si>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</si>
  <si>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</si>
  <si>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</si>
  <si>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</si>
  <si>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</si>
  <si>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</si>
  <si>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</si>
  <si>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</si>
  <si>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</si>
  <si>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</si>
  <si>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</si>
  <si>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</si>
  <si>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</si>
  <si>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</si>
  <si>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</si>
  <si>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</si>
  <si>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</si>
  <si>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</si>
  <si>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</si>
  <si>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</si>
  <si>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</si>
  <si>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</si>
  <si>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</si>
  <si>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</si>
  <si>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</si>
  <si>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</si>
  <si>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</si>
  <si>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</si>
  <si>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</si>
  <si>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</si>
  <si>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</si>
  <si>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</si>
  <si>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</si>
  <si>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</si>
  <si>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</si>
  <si>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</si>
  <si>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</si>
  <si>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</si>
  <si>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</si>
  <si>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</si>
  <si>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</si>
  <si>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</si>
  <si>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</si>
  <si>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</si>
  <si>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</si>
  <si>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</si>
  <si>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</si>
  <si>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</si>
  <si>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</si>
  <si>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</si>
  <si>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</si>
  <si>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</si>
  <si>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</si>
  <si>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</si>
  <si>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</si>
  <si>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</si>
  <si>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</si>
  <si>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</si>
  <si>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</si>
  <si>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</si>
  <si>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</si>
  <si>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</si>
  <si>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</si>
  <si>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</si>
  <si>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</si>
  <si>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</si>
  <si>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</si>
  <si>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</si>
  <si>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</si>
  <si>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</si>
  <si>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</si>
  <si>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</si>
  <si>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</si>
  <si>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</si>
  <si>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</si>
  <si>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</si>
  <si>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</si>
  <si>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</si>
  <si>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</si>
  <si>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</si>
  <si>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</si>
  <si>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</si>
  <si>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</si>
  <si>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</si>
  <si>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</si>
  <si>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</si>
  <si>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</si>
  <si>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</si>
  <si>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</si>
  <si>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</si>
  <si>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</si>
  <si>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</si>
  <si>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</si>
  <si>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</si>
  <si>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</si>
  <si>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</si>
  <si>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</si>
  <si>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</si>
  <si>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</si>
  <si>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</si>
  <si>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</si>
  <si>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</si>
  <si>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</si>
  <si>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</si>
  <si>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</si>
  <si>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</si>
  <si>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</si>
  <si>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</si>
  <si>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</si>
  <si>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</si>
  <si>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</si>
  <si>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</si>
  <si>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</si>
  <si>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</si>
  <si>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</si>
  <si>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</si>
  <si>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</si>
  <si>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</si>
  <si>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</si>
  <si>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</si>
  <si>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</si>
  <si>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</si>
  <si>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</si>
  <si>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</si>
  <si>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</si>
  <si>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</si>
  <si>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</si>
  <si>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</si>
  <si>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</si>
  <si>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</si>
  <si>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</si>
  <si>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</si>
  <si>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</si>
  <si>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</si>
  <si>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</si>
  <si>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</si>
  <si>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</si>
  <si>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</si>
  <si>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</si>
  <si>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</si>
  <si>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</si>
  <si>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</si>
  <si>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</si>
  <si>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</si>
  <si>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</si>
  <si>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</si>
  <si>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</si>
  <si>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</si>
  <si>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</si>
  <si>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</si>
  <si>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</si>
  <si>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</si>
  <si>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</si>
  <si>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</si>
  <si>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</si>
  <si>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</si>
  <si>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</si>
  <si>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</si>
  <si>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</si>
  <si>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</si>
  <si>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</si>
  <si>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</si>
  <si>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</si>
  <si>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</si>
  <si>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</si>
  <si>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</si>
  <si>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</si>
  <si>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</si>
  <si>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</si>
  <si>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</si>
  <si>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</si>
  <si>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</si>
  <si>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</si>
  <si>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</si>
  <si>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</si>
  <si>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</si>
  <si>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</si>
  <si>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</si>
  <si>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</si>
  <si>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</si>
  <si>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</si>
  <si>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</si>
  <si>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</si>
  <si>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</si>
  <si>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</si>
  <si>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</si>
  <si>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</si>
  <si>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</si>
  <si>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</si>
  <si>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</si>
  <si>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</si>
  <si>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</si>
  <si>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</si>
  <si>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</si>
  <si>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</si>
  <si>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</si>
  <si>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</si>
  <si>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</si>
  <si>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</si>
  <si>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</si>
  <si>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</si>
  <si>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</si>
  <si>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</si>
  <si>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</si>
  <si>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</si>
  <si>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</si>
  <si>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</si>
  <si>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</si>
  <si>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</si>
  <si>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</si>
  <si>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</si>
  <si>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</si>
  <si>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</si>
  <si>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</si>
  <si>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</si>
  <si>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</si>
  <si>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</si>
  <si>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</si>
  <si>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</si>
  <si>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</si>
  <si>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</si>
  <si>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</si>
  <si>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</si>
  <si>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</si>
  <si>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</si>
  <si>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</si>
  <si>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</si>
  <si>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</si>
  <si>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</si>
  <si>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</si>
  <si>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</si>
  <si>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</si>
  <si>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</si>
  <si>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</si>
  <si>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</si>
  <si>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</si>
  <si>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</si>
  <si>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</si>
  <si>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</si>
  <si>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</si>
  <si>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</si>
  <si>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</si>
  <si>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</si>
  <si>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</si>
  <si>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</si>
  <si>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</si>
  <si>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</si>
  <si>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</si>
  <si>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</si>
  <si>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</si>
  <si>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</si>
  <si>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</si>
  <si>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</si>
  <si>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</si>
  <si>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</si>
  <si>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</si>
  <si>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</si>
  <si>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</si>
  <si>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</si>
  <si>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</si>
  <si>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</si>
  <si>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</si>
  <si>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</si>
  <si>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</si>
  <si>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</si>
  <si>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</si>
  <si>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</si>
  <si>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</si>
  <si>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</si>
  <si>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</si>
  <si>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</si>
  <si>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</si>
  <si>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</si>
  <si>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</si>
  <si>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</si>
  <si>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</si>
  <si>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</si>
  <si>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</si>
  <si>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</si>
  <si>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</si>
  <si>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</si>
  <si>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</si>
  <si>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</si>
  <si>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</si>
  <si>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</si>
  <si>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</si>
  <si>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</si>
  <si>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</si>
  <si>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</si>
  <si>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</si>
  <si>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</si>
  <si>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</si>
  <si>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</si>
  <si>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</si>
  <si>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</si>
  <si>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</si>
  <si>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</si>
  <si>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</si>
  <si>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</si>
  <si>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</si>
  <si>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</si>
  <si>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</si>
  <si>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</si>
  <si>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</si>
  <si>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</si>
  <si>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</si>
  <si>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</si>
  <si>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</si>
  <si>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</si>
  <si>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</si>
  <si>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</si>
  <si>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</si>
  <si>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</si>
  <si>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</si>
  <si>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</si>
  <si>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</si>
  <si>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</si>
  <si>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</si>
  <si>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</si>
  <si>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</si>
  <si>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</si>
  <si>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</si>
  <si>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</si>
  <si>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</si>
  <si>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</si>
  <si>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</si>
  <si>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</si>
  <si>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</si>
  <si>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</si>
  <si>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</si>
  <si>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</si>
  <si>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</si>
  <si>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</si>
  <si>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</si>
  <si>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</si>
  <si>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</si>
  <si>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</si>
  <si>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</si>
  <si>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</si>
  <si>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</si>
  <si>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</si>
  <si>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</si>
  <si>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</si>
  <si>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</si>
  <si>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</si>
  <si>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</si>
  <si>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</si>
  <si>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</si>
  <si>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</si>
  <si>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</si>
  <si>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</si>
  <si>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</si>
  <si>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</si>
  <si>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</si>
  <si>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</si>
  <si>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</si>
  <si>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</si>
  <si>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</si>
  <si>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</si>
  <si>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</si>
  <si>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</si>
  <si>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</si>
  <si>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</si>
  <si>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</si>
  <si>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</si>
  <si>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</si>
  <si>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</si>
  <si>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</si>
  <si>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</si>
  <si>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</si>
  <si>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</si>
  <si>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</si>
  <si>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</si>
  <si>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</si>
  <si>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</si>
  <si>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</si>
  <si>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</si>
  <si>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</si>
  <si>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</si>
  <si>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</si>
  <si>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</si>
  <si>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</si>
  <si>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</si>
  <si>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</si>
  <si>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</si>
  <si>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</si>
  <si>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</si>
  <si>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</si>
  <si>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</si>
  <si>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</si>
  <si>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</si>
  <si>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</si>
  <si>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</si>
  <si>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</si>
  <si>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</si>
  <si>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</si>
  <si>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</si>
  <si>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</si>
  <si>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</si>
  <si>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</si>
  <si>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</si>
  <si>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</si>
  <si>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</si>
  <si>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</si>
  <si>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</si>
  <si>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</si>
  <si>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</si>
  <si>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</si>
  <si>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</si>
  <si>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</si>
  <si>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</si>
  <si>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</si>
  <si>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</si>
  <si>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</si>
  <si>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</si>
  <si>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</si>
  <si>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</si>
  <si>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</si>
  <si>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</si>
  <si>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</si>
  <si>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</si>
  <si>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</si>
  <si>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</si>
  <si>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</si>
  <si>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</si>
  <si>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</si>
  <si>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</si>
  <si>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</si>
  <si>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</si>
  <si>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</si>
  <si>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</si>
  <si>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</si>
  <si>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</si>
  <si>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</si>
  <si>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</si>
  <si>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</si>
  <si>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</si>
  <si>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</si>
  <si>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</si>
  <si>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</si>
  <si>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</si>
  <si>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1#住宅楼</t>
    <phoneticPr fontId="248"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</si>
  <si>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</si>
  <si>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</si>
  <si>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</si>
  <si>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</si>
  <si>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</si>
  <si>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</si>
  <si>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</si>
  <si>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</si>
  <si>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</si>
  <si>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</si>
  <si>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</si>
  <si>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</si>
  <si>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</si>
  <si>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</si>
  <si>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</si>
  <si>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</si>
  <si>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</si>
  <si>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19#配套公服楼</t>
    <phoneticPr fontId="248" type="noConversion"/>
  </si>
  <si>
    <t>20#配套公服楼</t>
  </si>
  <si>
    <t>21#配套公服楼</t>
  </si>
  <si>
    <t>22#配套公服楼</t>
  </si>
  <si>
    <t>地下室工程</t>
    <phoneticPr fontId="248" type="noConversion"/>
  </si>
  <si>
    <t>物业用房</t>
    <phoneticPr fontId="248" type="noConversion"/>
  </si>
  <si>
    <t>地块合计</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</si>
</sst>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399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05" fillId="0" borderId="0" xfId="11"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8"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4" borderId="138" xfId="13" applyFont="1" applyFill="1" applyBorder="1" applyAlignment="1" applyProtection="1">
      <alignment horizontal="left" vertical="center" wrapText="1"/>
    </xf>
    <xf numFmtId="0" fontId="108" fillId="14" borderId="11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50" fillId="0" borderId="1" xfId="4" applyFont="1" applyFill="1" applyBorder="1" applyAlignment="1">
      <alignment horizontal="center" vertical="center"/>
    </xf>
    <xf numFmtId="0" fontId="251" fillId="0" borderId="0" xfId="4" applyFont="1" applyFill="1">
      <alignment vertical="center"/>
    </xf>
    <xf numFmtId="0" fontId="250" fillId="0" borderId="1" xfId="4" applyFont="1" applyFill="1" applyBorder="1" applyAlignment="1">
      <alignment horizontal="center" vertical="center"/>
    </xf>
    <xf numFmtId="179" fontId="250" fillId="0" borderId="1" xfId="4" applyNumberFormat="1" applyFont="1" applyFill="1" applyBorder="1" applyAlignment="1">
      <alignment horizontal="center" vertical="center"/>
    </xf>
    <xf numFmtId="179" fontId="250" fillId="0" borderId="1" xfId="4" applyNumberFormat="1" applyFont="1" applyFill="1" applyBorder="1" applyAlignment="1">
      <alignment horizontal="center" vertical="center"/>
    </xf>
    <xf numFmtId="0" fontId="252" fillId="0" borderId="0" xfId="4" applyFont="1" applyFill="1">
      <alignment vertical="center"/>
    </xf>
    <xf numFmtId="0" fontId="250" fillId="0" borderId="1" xfId="4" applyFont="1" applyFill="1" applyBorder="1" applyAlignment="1">
      <alignment horizontal="center" vertical="center" wrapText="1"/>
    </xf>
    <xf numFmtId="186" fontId="250" fillId="0" borderId="1" xfId="4" applyNumberFormat="1" applyFont="1" applyFill="1" applyBorder="1" applyAlignment="1">
      <alignment horizontal="center" vertical="center" wrapText="1"/>
    </xf>
    <xf numFmtId="184" fontId="250" fillId="0" borderId="1" xfId="4" applyNumberFormat="1" applyFont="1" applyFill="1" applyBorder="1" applyAlignment="1">
      <alignment horizontal="center" vertical="center" wrapText="1"/>
    </xf>
    <xf numFmtId="0" fontId="0" fillId="0" borderId="0" xfId="0" applyFill="1">
      <alignment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2024年1月25日（评估专业人员勘察现场之日）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根据《国有土地使用证》[]，估价对象（分摊）出让国有建设用地使用权面积为55570.2平方米。根据《建设工程规划许可证》[]、《出让合同》[]，估价对象规划建筑面积为173355.13平方米。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估价期日：2024年1月25日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55570.2</v>
      </c>
    </row>
    <row r="44" spans="1:2">
      <c r="A44" s="3625" t="s">
        <v>44</v>
      </c>
      <c r="B44" s="3627" t="str">
        <f>'预评函-2'!O3</f>
        <v>规划建筑面积/㎡</v>
      </c>
    </row>
    <row r="45" spans="1:2">
      <c r="A45" s="3625" t="s">
        <v>45</v>
      </c>
      <c r="B45" s="3627">
        <f>'预评函-2'!O5</f>
        <v>173355.13</v>
      </c>
    </row>
    <row r="46" spans="1:2">
      <c r="A46" s="3625" t="s">
        <v>46</v>
      </c>
      <c r="B46" s="3627">
        <f ca="1">'预评函-2'!P5</f>
        <v>27461</v>
      </c>
    </row>
    <row r="47" spans="1:2">
      <c r="A47" s="3625" t="s">
        <v>47</v>
      </c>
      <c r="B47" s="3627">
        <f ca="1">'预评函-2'!Q5</f>
        <v>8803</v>
      </c>
    </row>
    <row r="48" spans="1:2">
      <c r="A48" s="3625" t="s">
        <v>48</v>
      </c>
      <c r="B48" s="3627">
        <f ca="1">'预评函-2'!R5</f>
        <v>152604</v>
      </c>
    </row>
    <row r="49" spans="1:2">
      <c r="A49" s="3625" t="s">
        <v>49</v>
      </c>
      <c r="B49" s="3627" t="str">
        <f>'预评函-2'!A6</f>
        <v>抵押价格</v>
      </c>
    </row>
    <row r="50" spans="1:2">
      <c r="A50" s="3625" t="s">
        <v>50</v>
      </c>
      <c r="B50" s="3627">
        <f ca="1">'预评函-2'!R6</f>
        <v>150383</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综上，本次评估估价师知悉的法定优先受偿款为人民币2221万元整。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45316</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-124.15</v>
      </c>
      <c r="D5" s="3450">
        <f>IF(ISERROR(ROUND(POWER(1+E5,A5-C5)*(POWER(1+E5,C5)-1)/(POWER(1+E5,A5)-1),3)),0,ROUND(POWER(1+E5,A5-C5)*(POWER(1+E5,C5)-1)/(POWER(1+E5,A5)-1),4))</f>
        <v>0</v>
      </c>
      <c r="E5" s="3451"/>
      <c r="F5" s="3444"/>
    </row>
    <row r="6" spans="1:6">
      <c r="A6" s="3449"/>
      <c r="B6" s="3446"/>
      <c r="C6" s="3448">
        <f>ROUNDDOWN(MIN((B6-B3)/365,A6),2)</f>
        <v>-124.15</v>
      </c>
      <c r="D6" s="3450">
        <f>IF(ISERROR(ROUND(POWER(1+E6,A6-C6)*(POWER(1+E6,C6)-1)/(POWER(1+E6,A6)-1),3)),0,ROUND(POWER(1+E6,A6-C6)*(POWER(1+E6,C6)-1)/(POWER(1+E6,A6)-1),4))</f>
        <v>0</v>
      </c>
      <c r="E6" s="3451"/>
      <c r="F6" s="3444"/>
    </row>
    <row r="7" spans="1:6">
      <c r="A7" s="3449"/>
      <c r="B7" s="3446"/>
      <c r="C7" s="3448">
        <f>ROUNDDOWN(MIN((B7-B3)/365,A7),2)</f>
        <v>-124.15</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L15" sqref="L15"/>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33" t="str">
        <f>IF(B10="北京市","北京市",C10)&amp;F10&amp;A17&amp;"国有建设用地使用权"&amp;B9&amp;"预评估"</f>
        <v>北京市出让国有建设用地使用权抵押价格预评估</v>
      </c>
      <c r="C1" s="3734"/>
      <c r="D1" s="3734"/>
      <c r="E1" s="3734"/>
      <c r="F1" s="3734"/>
      <c r="G1" s="3734"/>
      <c r="H1" s="3734"/>
      <c r="I1" s="3735"/>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45316</v>
      </c>
      <c r="C3" s="3287" t="s">
        <v>417</v>
      </c>
      <c r="D3" s="3286">
        <f>B3</f>
        <v>45316</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42"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43"/>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36"/>
      <c r="C12" s="3737"/>
      <c r="D12" s="3738"/>
      <c r="E12" s="3322" t="s">
        <v>430</v>
      </c>
      <c r="F12" s="3739" t="s">
        <v>431</v>
      </c>
      <c r="G12" s="3740"/>
      <c r="H12" s="3740"/>
      <c r="I12" s="3741"/>
      <c r="J12" s="3283"/>
      <c r="K12" s="3411"/>
      <c r="L12" s="3407"/>
      <c r="M12" s="3407"/>
      <c r="N12" s="3408"/>
      <c r="O12" s="3409"/>
      <c r="P12" s="3408"/>
      <c r="Q12" s="3408"/>
      <c r="R12" s="3408"/>
      <c r="S12" s="3408"/>
      <c r="T12" s="3408"/>
      <c r="U12" s="3408"/>
    </row>
    <row r="13" spans="1:21">
      <c r="A13" s="3323" t="s">
        <v>432</v>
      </c>
      <c r="B13" s="3736"/>
      <c r="C13" s="3737"/>
      <c r="D13" s="3738"/>
      <c r="E13" s="3322" t="s">
        <v>430</v>
      </c>
      <c r="F13" s="3739" t="s">
        <v>433</v>
      </c>
      <c r="G13" s="3740"/>
      <c r="H13" s="3740"/>
      <c r="I13" s="3741"/>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68.709999999999994</v>
      </c>
      <c r="D19" s="3338">
        <f>IF(A17="出让",IF(D17="","",ROUNDDOWN(MIN((D17-$D$3)/365,D18),2)),D18)</f>
        <v>38.69</v>
      </c>
      <c r="E19" s="3339" t="str">
        <f>IF(A17="出让",IF(E17="","",ROUNDDOWN(MIN((E17-$D$3)/365,E18),2)),E18)</f>
        <v/>
      </c>
      <c r="F19" s="3339">
        <f>IF(A17="出让",IF(F17="","",ROUNDDOWN(MIN((F17-$D$3)/365,F18),2)),F18)</f>
        <v>48.7</v>
      </c>
      <c r="G19" s="3339">
        <f>IF(A17="出让",IF(G17="","",ROUNDDOWN(MIN((G17-$D$3)/365,G18),2)),G18)</f>
        <v>48.7</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3"/>
      <c r="E20" s="3724"/>
      <c r="F20" s="3724"/>
      <c r="G20" s="3724"/>
      <c r="H20" s="3724"/>
      <c r="I20" s="3725"/>
      <c r="J20" s="3283"/>
      <c r="K20" s="3411"/>
      <c r="L20" s="3407"/>
      <c r="M20" s="3407"/>
      <c r="N20" s="3408"/>
      <c r="O20" s="3409"/>
      <c r="P20" s="3408"/>
      <c r="Q20" s="3408"/>
      <c r="R20" s="3408"/>
      <c r="S20" s="3408"/>
      <c r="T20" s="3408"/>
      <c r="U20" s="3408"/>
    </row>
    <row r="21" spans="1:21">
      <c r="A21" s="3336" t="s">
        <v>443</v>
      </c>
      <c r="B21" s="3343" t="s">
        <v>444</v>
      </c>
      <c r="C21" s="3344">
        <f>'数据-汇总表'!E3</f>
        <v>173355.13</v>
      </c>
      <c r="D21" s="3345" t="s">
        <v>445</v>
      </c>
      <c r="E21" s="3726" t="s">
        <v>446</v>
      </c>
      <c r="F21" s="3727"/>
      <c r="G21" s="3727"/>
      <c r="H21" s="3727"/>
      <c r="I21" s="3728"/>
      <c r="J21" s="3283"/>
      <c r="K21" s="3411"/>
      <c r="L21" s="3407"/>
      <c r="M21" s="3407"/>
      <c r="N21" s="3408"/>
      <c r="O21" s="3409"/>
      <c r="P21" s="3408"/>
      <c r="Q21" s="3408"/>
      <c r="R21" s="3408"/>
      <c r="S21" s="3408"/>
      <c r="T21" s="3408"/>
      <c r="U21" s="3408"/>
    </row>
    <row r="22" spans="1:21">
      <c r="A22" s="3346" t="s">
        <v>138</v>
      </c>
      <c r="B22" s="3285" t="s">
        <v>447</v>
      </c>
      <c r="C22" s="3330">
        <f>'数据-汇总表'!D3</f>
        <v>55570.2</v>
      </c>
      <c r="D22" s="3323" t="s">
        <v>445</v>
      </c>
      <c r="E22" s="3726" t="s">
        <v>431</v>
      </c>
      <c r="F22" s="3727"/>
      <c r="G22" s="3727"/>
      <c r="H22" s="3727"/>
      <c r="I22" s="3728"/>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29" t="s">
        <v>451</v>
      </c>
      <c r="C24" s="3730"/>
      <c r="D24" s="3731" t="s">
        <v>452</v>
      </c>
      <c r="E24" s="3732"/>
      <c r="F24" s="3355" t="s">
        <v>453</v>
      </c>
      <c r="G24" s="3283"/>
      <c r="H24" s="3283"/>
      <c r="I24" s="3413"/>
      <c r="J24" s="3283"/>
      <c r="K24" s="3703"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03"/>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03"/>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06" t="s">
        <v>464</v>
      </c>
      <c r="B31" s="3343" t="s">
        <v>465</v>
      </c>
      <c r="C31" s="3712"/>
      <c r="D31" s="3713"/>
      <c r="E31" s="3283"/>
      <c r="F31" s="3283"/>
      <c r="G31" s="3283"/>
      <c r="H31" s="3283"/>
      <c r="I31" s="3413"/>
      <c r="J31" s="3283"/>
      <c r="K31" s="3420"/>
      <c r="L31" s="3408"/>
      <c r="M31" s="3408"/>
      <c r="N31" s="3408"/>
      <c r="O31" s="3408"/>
      <c r="P31" s="3408"/>
      <c r="Q31" s="3408"/>
      <c r="R31" s="3408"/>
      <c r="S31" s="3408"/>
      <c r="T31" s="3408"/>
      <c r="U31" s="3408"/>
    </row>
    <row r="32" spans="1:21">
      <c r="A32" s="3706"/>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06"/>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07"/>
      <c r="B34" s="3285" t="s">
        <v>468</v>
      </c>
      <c r="C34" s="3714"/>
      <c r="D34" s="3715"/>
      <c r="E34" s="3283"/>
      <c r="F34" s="3283"/>
      <c r="G34" s="3283"/>
      <c r="H34" s="3283"/>
      <c r="I34" s="3413"/>
      <c r="J34" s="3283"/>
      <c r="K34" s="3420"/>
      <c r="L34" s="3408"/>
      <c r="M34" s="3408"/>
      <c r="N34" s="3408"/>
      <c r="O34" s="3408"/>
      <c r="P34" s="3408"/>
      <c r="Q34" s="3408"/>
      <c r="R34" s="3408"/>
      <c r="S34" s="3408"/>
      <c r="T34" s="3408"/>
      <c r="U34" s="3408"/>
    </row>
    <row r="35" spans="1:28">
      <c r="A35" s="3708" t="s">
        <v>469</v>
      </c>
      <c r="B35" s="3332"/>
      <c r="C35" s="3383" t="str">
        <f>IF(B35="场地平整","——","具体情况：")</f>
        <v>具体情况：</v>
      </c>
      <c r="D35" s="3716"/>
      <c r="E35" s="3717"/>
      <c r="F35" s="3717"/>
      <c r="G35" s="3717"/>
      <c r="H35" s="3717"/>
      <c r="I35" s="3718"/>
      <c r="J35" s="3283"/>
      <c r="K35" s="3421"/>
      <c r="L35" s="3407"/>
      <c r="M35" s="3407"/>
      <c r="N35" s="3408"/>
      <c r="O35" s="3409"/>
      <c r="P35" s="3408"/>
      <c r="Q35" s="3408"/>
      <c r="R35" s="3408"/>
      <c r="S35" s="3408"/>
      <c r="T35" s="3408"/>
      <c r="U35" s="3408"/>
    </row>
    <row r="36" spans="1:28">
      <c r="A36" s="3706"/>
      <c r="B36" s="3719" t="s">
        <v>470</v>
      </c>
      <c r="C36" s="3720"/>
      <c r="D36" s="3384"/>
      <c r="E36" s="3721"/>
      <c r="F36" s="3721"/>
      <c r="G36" s="3323" t="str">
        <f>IF(B35="场地未平整","估价结果处理","")</f>
        <v/>
      </c>
      <c r="H36" s="3722"/>
      <c r="I36" s="3722"/>
      <c r="J36" s="3283"/>
      <c r="K36" s="3421"/>
      <c r="L36" s="3407"/>
      <c r="M36" s="3407"/>
      <c r="N36" s="3408"/>
      <c r="O36" s="3409"/>
      <c r="P36" s="3408"/>
      <c r="Q36" s="3408"/>
      <c r="R36" s="3408"/>
      <c r="S36" s="3408"/>
      <c r="T36" s="3408"/>
      <c r="U36" s="3408"/>
    </row>
    <row r="37" spans="1:28" ht="28.5">
      <c r="A37" s="3706"/>
      <c r="B37" s="3709"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06"/>
      <c r="B38" s="3710"/>
      <c r="C38" s="3298" t="s">
        <v>473</v>
      </c>
      <c r="D38" s="3389">
        <f>ROUNDDOWN(MIN(('数据-取费表'!$B$2-D37)/365,D34),1)</f>
        <v>124.1</v>
      </c>
      <c r="E38" s="3390" t="s">
        <v>474</v>
      </c>
      <c r="F38" s="3283"/>
      <c r="G38" s="3283"/>
      <c r="H38" s="3283"/>
      <c r="I38" s="3413"/>
      <c r="J38" s="3283"/>
      <c r="K38" s="3421"/>
      <c r="L38" s="3408"/>
      <c r="M38" s="3408"/>
      <c r="N38" s="3408"/>
      <c r="O38" s="3408"/>
      <c r="P38" s="3408"/>
      <c r="Q38" s="3408"/>
      <c r="R38" s="3408"/>
      <c r="S38" s="3408"/>
      <c r="T38" s="3408"/>
      <c r="U38" s="3408"/>
    </row>
    <row r="39" spans="1:28">
      <c r="A39" s="3707"/>
      <c r="B39" s="3711"/>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04" t="s">
        <v>379</v>
      </c>
      <c r="T40" s="3322" t="str">
        <f>NUMBERSTRING(7-K40,1)&amp;"通"</f>
        <v>七通</v>
      </c>
      <c r="U40" s="3408"/>
    </row>
    <row r="41" spans="1:28">
      <c r="A41" s="3295"/>
      <c r="B41" s="3705" t="s">
        <v>425</v>
      </c>
      <c r="C41" s="3705"/>
      <c r="D41" s="3705"/>
      <c r="E41" s="3705"/>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04"/>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173355.13</v>
      </c>
      <c r="C3" s="3169" t="s">
        <v>2617</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165398.63</v>
      </c>
      <c r="I5" s="3173">
        <f t="shared" si="0"/>
        <v>119243.57</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7956.5</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0</v>
      </c>
      <c r="AM5" s="3173">
        <f t="shared" si="0"/>
        <v>0</v>
      </c>
      <c r="AN5" s="3173">
        <f t="shared" si="0"/>
        <v>686.28</v>
      </c>
      <c r="AO5" s="3173">
        <f t="shared" si="0"/>
        <v>0</v>
      </c>
      <c r="AP5" s="3173">
        <f t="shared" si="0"/>
        <v>0</v>
      </c>
      <c r="AQ5" s="3173">
        <f t="shared" si="0"/>
        <v>0</v>
      </c>
      <c r="AR5" s="3173">
        <f t="shared" si="0"/>
        <v>0</v>
      </c>
      <c r="AS5" s="3173">
        <f t="shared" si="0"/>
        <v>0</v>
      </c>
      <c r="AT5" s="3173">
        <f t="shared" si="0"/>
        <v>13472.33</v>
      </c>
      <c r="AU5" s="2457"/>
      <c r="AV5" s="778" t="s">
        <v>508</v>
      </c>
      <c r="AW5" s="887"/>
      <c r="AX5" s="887"/>
      <c r="AY5" s="3253" t="s">
        <v>138</v>
      </c>
      <c r="AZ5" s="3254">
        <f t="shared" ref="AZ5:BT5" si="1">SUM(AZ13:AZ641)</f>
        <v>173355.13</v>
      </c>
      <c r="BA5" s="3254">
        <f t="shared" si="1"/>
        <v>165398.63</v>
      </c>
      <c r="BB5" s="3254">
        <f t="shared" si="1"/>
        <v>119243.57</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7956.5</v>
      </c>
      <c r="BM5" s="3254">
        <f t="shared" si="1"/>
        <v>2790.84</v>
      </c>
      <c r="BN5" s="3254">
        <f t="shared" si="1"/>
        <v>4320.71</v>
      </c>
      <c r="BO5" s="3254">
        <f t="shared" si="1"/>
        <v>100.43</v>
      </c>
      <c r="BP5" s="3254">
        <f t="shared" si="1"/>
        <v>58.24</v>
      </c>
      <c r="BQ5" s="3254">
        <f t="shared" si="1"/>
        <v>0</v>
      </c>
      <c r="BR5" s="3254">
        <f t="shared" si="1"/>
        <v>686.28</v>
      </c>
      <c r="BS5" s="3254">
        <f t="shared" si="1"/>
        <v>0</v>
      </c>
      <c r="BT5" s="3263">
        <f t="shared" si="1"/>
        <v>0</v>
      </c>
    </row>
    <row r="6" spans="1:72" s="3160" customFormat="1" ht="12.75">
      <c r="A6" s="778" t="s">
        <v>509</v>
      </c>
      <c r="B6" s="3174"/>
      <c r="C6" s="3174"/>
      <c r="D6" s="3175"/>
      <c r="E6" s="3173">
        <f>H6+AC6+AT6</f>
        <v>55570.19</v>
      </c>
      <c r="F6" s="3173" t="s">
        <v>138</v>
      </c>
      <c r="G6" s="3173" t="s">
        <v>138</v>
      </c>
      <c r="H6" s="3176">
        <f>SUMIF(I$12:AB$12,"总值",I6:AB6)</f>
        <v>53019.69</v>
      </c>
      <c r="I6" s="3173">
        <f t="shared" ref="I6:AB6" si="2">ROUND($A$3*I5/$B$3,2)</f>
        <v>38224.36</v>
      </c>
      <c r="J6" s="3173">
        <f t="shared" si="2"/>
        <v>0</v>
      </c>
      <c r="K6" s="3173">
        <f t="shared" si="2"/>
        <v>14795.33</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2550.5</v>
      </c>
      <c r="AD6" s="3173">
        <f t="shared" ref="AD6:AS6" si="3">ROUND($A$3*AD5/$B$3,2)</f>
        <v>894.62</v>
      </c>
      <c r="AE6" s="3173">
        <f t="shared" si="3"/>
        <v>0</v>
      </c>
      <c r="AF6" s="3173">
        <f t="shared" si="3"/>
        <v>1385.03</v>
      </c>
      <c r="AG6" s="3173">
        <f t="shared" si="3"/>
        <v>0</v>
      </c>
      <c r="AH6" s="3173">
        <f t="shared" si="3"/>
        <v>32.19</v>
      </c>
      <c r="AI6" s="3173">
        <f t="shared" si="3"/>
        <v>0</v>
      </c>
      <c r="AJ6" s="3173">
        <f t="shared" si="3"/>
        <v>18.670000000000002</v>
      </c>
      <c r="AK6" s="3173">
        <f t="shared" si="3"/>
        <v>0</v>
      </c>
      <c r="AL6" s="3173">
        <f t="shared" si="3"/>
        <v>0</v>
      </c>
      <c r="AM6" s="3173">
        <f t="shared" si="3"/>
        <v>0</v>
      </c>
      <c r="AN6" s="3173">
        <f t="shared" si="3"/>
        <v>219.99</v>
      </c>
      <c r="AO6" s="3173">
        <f t="shared" si="3"/>
        <v>0</v>
      </c>
      <c r="AP6" s="3173">
        <f t="shared" si="3"/>
        <v>0</v>
      </c>
      <c r="AQ6" s="3173">
        <f t="shared" si="3"/>
        <v>0</v>
      </c>
      <c r="AR6" s="3173">
        <f t="shared" si="3"/>
        <v>0</v>
      </c>
      <c r="AS6" s="3173">
        <f t="shared" si="3"/>
        <v>0</v>
      </c>
      <c r="AT6" s="3176">
        <f>IF(C3="是",ROUND($A$3*AT5/$B$3,2),0)</f>
        <v>0</v>
      </c>
      <c r="AU6" s="3230"/>
      <c r="AV6" s="778" t="s">
        <v>509</v>
      </c>
      <c r="AW6" s="3174"/>
      <c r="AX6" s="3174"/>
      <c r="AY6" s="3255">
        <f>IF(AY3&gt;0,AY3,ROUND($A$3*AZ5/$B$3,2))</f>
        <v>55570.2</v>
      </c>
      <c r="AZ6" s="3173" t="s">
        <v>138</v>
      </c>
      <c r="BA6" s="3173">
        <f>ROUND($AY$6*BA5/$AZ$5,2)</f>
        <v>53019.69</v>
      </c>
      <c r="BB6" s="3173">
        <f>ROUND($AY$6*BB5/$AZ$5,2)</f>
        <v>38224.36</v>
      </c>
      <c r="BC6" s="3173">
        <f t="shared" ref="BC6:BH6" si="4">ROUND($AY$6*BC5/$AZ$5,2)</f>
        <v>14795.33</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2550.5100000000002</v>
      </c>
      <c r="BM6" s="3173">
        <f t="shared" si="5"/>
        <v>894.62</v>
      </c>
      <c r="BN6" s="3173">
        <f t="shared" si="5"/>
        <v>1385.03</v>
      </c>
      <c r="BO6" s="3173">
        <f t="shared" si="5"/>
        <v>32.19</v>
      </c>
      <c r="BP6" s="3173">
        <f t="shared" si="5"/>
        <v>18.670000000000002</v>
      </c>
      <c r="BQ6" s="3173">
        <f t="shared" si="5"/>
        <v>0</v>
      </c>
      <c r="BR6" s="3173">
        <f t="shared" si="5"/>
        <v>219.99</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165398.63</v>
      </c>
      <c r="I13" s="3211">
        <f>面积表!D27</f>
        <v>119243.57</v>
      </c>
      <c r="J13" s="3211"/>
      <c r="K13" s="3211">
        <f>面积表!N27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7956.5</v>
      </c>
      <c r="AD13" s="3223">
        <f>面积表!G27</f>
        <v>2790.84</v>
      </c>
      <c r="AE13" s="3223"/>
      <c r="AF13" s="3223">
        <f>面积表!M27</f>
        <v>4320.71</v>
      </c>
      <c r="AG13" s="3223"/>
      <c r="AH13" s="3223">
        <f>面积表!F27</f>
        <v>100.43</v>
      </c>
      <c r="AI13" s="3223"/>
      <c r="AJ13" s="3223">
        <f>面积表!L27</f>
        <v>58.24</v>
      </c>
      <c r="AK13" s="3223"/>
      <c r="AL13" s="3223">
        <f>面积表!E27</f>
        <v>0</v>
      </c>
      <c r="AM13" s="3223"/>
      <c r="AN13" s="3223">
        <f>面积表!K27</f>
        <v>686.28</v>
      </c>
      <c r="AO13" s="3223"/>
      <c r="AP13" s="3223"/>
      <c r="AQ13" s="3223"/>
      <c r="AR13" s="3223"/>
      <c r="AS13" s="3223"/>
      <c r="AT13" s="3242">
        <f>面积表!H27+面积表!O27</f>
        <v>13472.33</v>
      </c>
      <c r="AU13" s="3243"/>
      <c r="AV13" s="130">
        <f t="shared" ref="AV13:AX20" si="10">A13</f>
        <v>0</v>
      </c>
      <c r="AW13" s="130">
        <f t="shared" si="10"/>
        <v>0</v>
      </c>
      <c r="AX13" s="130">
        <f t="shared" si="10"/>
        <v>0</v>
      </c>
      <c r="AY13" s="2569">
        <f t="shared" ref="AY13:AY20" si="11">ROUND($AY$6*AZ13/$AZ$5,2)</f>
        <v>55570.2</v>
      </c>
      <c r="AZ13" s="3173">
        <f t="shared" ref="AZ13:AZ20" si="12">BA13+BL13</f>
        <v>173355.13</v>
      </c>
      <c r="BA13" s="3173">
        <f t="shared" ref="BA13:BA20" si="13">SUM(BB13:BK13)</f>
        <v>165398.63</v>
      </c>
      <c r="BB13" s="3173">
        <f t="shared" ref="BB13:BB20" si="14">IF($D13="是",I13-J13,0)</f>
        <v>119243.57</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7956.5</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0</v>
      </c>
      <c r="BR13" s="3173">
        <f t="shared" ref="BR13:BR20" si="30">IF($D13="是",AN13-AO13,0)</f>
        <v>686.28</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Normal="70" zoomScaleSheetLayoutView="100" workbookViewId="0">
      <selection activeCell="E29" sqref="E29"/>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53" t="s">
        <v>543</v>
      </c>
      <c r="B2" s="3753"/>
      <c r="C2" s="3753"/>
      <c r="D2" s="1021" t="s">
        <v>544</v>
      </c>
      <c r="E2" s="3073" t="s">
        <v>545</v>
      </c>
      <c r="F2" s="3074"/>
      <c r="G2" s="3075"/>
      <c r="H2" s="3076"/>
      <c r="I2" s="3133" t="s">
        <v>546</v>
      </c>
      <c r="J2" s="3074"/>
      <c r="K2" s="3074"/>
      <c r="L2" s="3074"/>
      <c r="M2" s="3074"/>
      <c r="N2" s="3074"/>
      <c r="O2" s="3074"/>
      <c r="P2" s="3074"/>
    </row>
    <row r="3" spans="1:16" ht="15">
      <c r="A3" s="3754" t="s">
        <v>547</v>
      </c>
      <c r="B3" s="3754"/>
      <c r="C3" s="3754"/>
      <c r="D3" s="3077">
        <f>'数据-基础表'!AY6</f>
        <v>55570.2</v>
      </c>
      <c r="E3" s="3077">
        <f>'数据-基础表'!AZ5</f>
        <v>173355.13</v>
      </c>
      <c r="F3" s="3074"/>
      <c r="G3" s="2477" t="s">
        <v>548</v>
      </c>
      <c r="H3" s="2473" t="s">
        <v>549</v>
      </c>
      <c r="I3" s="481">
        <f>ROUND('数据-基础表'!B3/'数据-基础表'!A3,2)</f>
        <v>3.12</v>
      </c>
      <c r="J3" s="3074"/>
      <c r="K3" s="3074"/>
      <c r="L3" s="3074"/>
      <c r="M3" s="3074"/>
      <c r="N3" s="3074"/>
      <c r="O3" s="3074"/>
      <c r="P3" s="3074"/>
    </row>
    <row r="4" spans="1:16" ht="15">
      <c r="A4" s="3755"/>
      <c r="B4" s="3756"/>
      <c r="C4" s="3757"/>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58" t="s">
        <v>241</v>
      </c>
      <c r="C5" s="3758"/>
      <c r="D5" s="3082">
        <f>ROUND($D$3*E5/$E$3,2)</f>
        <v>38224.36</v>
      </c>
      <c r="E5" s="3083">
        <f>SUMIF('数据-基础表'!$11:$11,"住宅",'数据-基础表'!$5:$5)</f>
        <v>119243.57</v>
      </c>
      <c r="F5" s="3074"/>
      <c r="G5" s="2477" t="s">
        <v>552</v>
      </c>
      <c r="H5" s="2473" t="s">
        <v>549</v>
      </c>
      <c r="I5" s="481">
        <f>ROUND(E31/D31,2)</f>
        <v>3.12</v>
      </c>
      <c r="J5" s="3074"/>
      <c r="K5" s="3074"/>
      <c r="L5" s="3074"/>
      <c r="M5" s="3074"/>
      <c r="N5" s="3074"/>
      <c r="O5" s="3074"/>
      <c r="P5" s="3074"/>
    </row>
    <row r="6" spans="1:16">
      <c r="A6" s="3084"/>
      <c r="B6" s="3758" t="s">
        <v>553</v>
      </c>
      <c r="C6" s="3758"/>
      <c r="D6" s="3082">
        <f>ROUND($D$3*E6/$E$3,2)</f>
        <v>17345.84</v>
      </c>
      <c r="E6" s="3083">
        <f>E3-E5</f>
        <v>54111.56</v>
      </c>
      <c r="F6" s="3074"/>
      <c r="G6" s="3080"/>
      <c r="H6" s="2473" t="s">
        <v>550</v>
      </c>
      <c r="I6" s="481">
        <f>ROUND(F31/D31,2)</f>
        <v>2.2000000000000002</v>
      </c>
      <c r="J6" s="3074"/>
      <c r="K6" s="3074"/>
      <c r="L6" s="3074"/>
      <c r="M6" s="3074"/>
      <c r="N6" s="3074"/>
      <c r="O6" s="3074"/>
      <c r="P6" s="3074"/>
    </row>
    <row r="7" spans="1:16" ht="15">
      <c r="A7" s="3744"/>
      <c r="B7" s="3745"/>
      <c r="C7" s="3746"/>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38224.36</v>
      </c>
      <c r="E8" s="3089">
        <f>SUMIF('数据-基础表'!BB10:BK10,"地上",'数据-基础表'!BB5:BK5)</f>
        <v>119243.57</v>
      </c>
      <c r="F8" s="3074"/>
      <c r="G8" s="3090"/>
      <c r="H8" s="3090"/>
      <c r="I8" s="3074"/>
      <c r="J8" s="3074"/>
      <c r="K8" s="3074"/>
      <c r="L8" s="3074"/>
      <c r="M8" s="3074"/>
      <c r="N8" s="3074"/>
      <c r="O8" s="3074"/>
      <c r="P8" s="3074"/>
    </row>
    <row r="9" spans="1:16">
      <c r="A9" s="3091"/>
      <c r="B9" s="3092"/>
      <c r="C9" s="3082" t="s">
        <v>559</v>
      </c>
      <c r="D9" s="3082">
        <f t="shared" si="0"/>
        <v>32.18</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18.670000000000002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14795.33</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53070.54</v>
      </c>
      <c r="E16" s="3095">
        <f>SUM(E8:E15)</f>
        <v>165557.27000000002</v>
      </c>
      <c r="F16" s="3074"/>
      <c r="G16" s="3090"/>
      <c r="H16" s="3096" t="s">
        <v>567</v>
      </c>
      <c r="I16" s="3135"/>
      <c r="J16" s="3072"/>
      <c r="K16" s="3747" t="s">
        <v>568</v>
      </c>
      <c r="L16" s="3748"/>
      <c r="M16" s="3748"/>
      <c r="N16" s="3748"/>
      <c r="O16" s="3748"/>
      <c r="P16" s="3749"/>
    </row>
    <row r="17" spans="1:19" ht="15">
      <c r="A17" s="3039" t="s">
        <v>569</v>
      </c>
      <c r="B17" s="3097" t="s">
        <v>222</v>
      </c>
      <c r="C17" s="3098" t="s">
        <v>464</v>
      </c>
      <c r="D17" s="3078" t="s">
        <v>544</v>
      </c>
      <c r="E17" s="3099" t="s">
        <v>545</v>
      </c>
      <c r="F17" s="3100"/>
      <c r="G17" s="3101"/>
      <c r="H17" s="3102" t="s">
        <v>570</v>
      </c>
      <c r="I17" s="3136" t="s">
        <v>571</v>
      </c>
      <c r="J17" s="3072"/>
      <c r="K17" s="3750" t="s">
        <v>572</v>
      </c>
      <c r="L17" s="3751"/>
      <c r="M17" s="3752"/>
      <c r="N17" s="3750" t="s">
        <v>573</v>
      </c>
      <c r="O17" s="3751"/>
      <c r="P17" s="3752"/>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38224.36</v>
      </c>
      <c r="E19" s="3110">
        <f t="shared" ref="E19:E26" si="2">SUM(F19:G19)</f>
        <v>119243.57</v>
      </c>
      <c r="F19" s="3111">
        <f>'数据-基础表'!I13</f>
        <v>119243.57</v>
      </c>
      <c r="G19" s="3112"/>
      <c r="H19" s="3029">
        <f>ROUND($D$3*I19/$E$3,2)</f>
        <v>2489.12</v>
      </c>
      <c r="I19" s="3089">
        <f>IF($I$17="自定义",P19,M19)</f>
        <v>7764.99</v>
      </c>
      <c r="J19" s="3072"/>
      <c r="K19" s="3141">
        <f t="shared" ref="K19:K26" si="3">ROUND(E$28*E19/E$27,2)</f>
        <v>494.77</v>
      </c>
      <c r="L19" s="2473">
        <f t="shared" ref="L19:L26" si="4">ROUND(IF(COUNTIF(C19,"*住宅*")&gt;0,E$29*E19/E$32,0),2)</f>
        <v>7270.22</v>
      </c>
      <c r="M19" s="3142">
        <f>K19+L19</f>
        <v>7764.99</v>
      </c>
      <c r="N19" s="3143"/>
      <c r="O19" s="3144"/>
      <c r="P19" s="3145">
        <f>N19+O19</f>
        <v>0</v>
      </c>
      <c r="R19" s="2473">
        <f t="shared" ref="R19:S26" si="5">D19+H19</f>
        <v>40713.480000000003</v>
      </c>
      <c r="S19" s="3157">
        <f t="shared" si="5"/>
        <v>127008.56000000001</v>
      </c>
    </row>
    <row r="20" spans="1:19">
      <c r="A20" s="3113"/>
      <c r="B20" s="3088" t="s">
        <v>243</v>
      </c>
      <c r="C20" s="3109" t="s">
        <v>437</v>
      </c>
      <c r="D20" s="3082">
        <f t="shared" si="1"/>
        <v>14795.33</v>
      </c>
      <c r="E20" s="3110">
        <f t="shared" si="2"/>
        <v>46155.06</v>
      </c>
      <c r="F20" s="3111"/>
      <c r="G20" s="3112">
        <f>'数据-基础表'!K13</f>
        <v>46155.06</v>
      </c>
      <c r="H20" s="3029">
        <f t="shared" ref="H20:H26" si="6">ROUND($D$3*I20/$E$3,2)</f>
        <v>61.39</v>
      </c>
      <c r="I20" s="3089">
        <f t="shared" ref="I20:I26" si="7">IF($I$17="自定义",P20,M20)</f>
        <v>191.51</v>
      </c>
      <c r="J20" s="3072"/>
      <c r="K20" s="3141">
        <f t="shared" si="3"/>
        <v>191.51</v>
      </c>
      <c r="L20" s="2473">
        <f t="shared" si="4"/>
        <v>0</v>
      </c>
      <c r="M20" s="3142">
        <f t="shared" ref="M20:M26" si="8">K20+L20</f>
        <v>191.51</v>
      </c>
      <c r="N20" s="3143"/>
      <c r="O20" s="3144"/>
      <c r="P20" s="3145">
        <f t="shared" ref="P20:P26" si="9">N20+O20</f>
        <v>0</v>
      </c>
      <c r="R20" s="2473">
        <f t="shared" si="5"/>
        <v>14856.72</v>
      </c>
      <c r="S20" s="3157">
        <f t="shared" si="5"/>
        <v>46346.57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53019.69</v>
      </c>
      <c r="E27" s="3118">
        <f>IF(SUM(E19:E26)='数据-基础表'!BA5,SUM(E19:E26),IF(F27="地上面积有误","面积有误","地下面积有误"))</f>
        <v>165398.63</v>
      </c>
      <c r="F27" s="3110">
        <f>IF(SUM(F19:F26)=E8,SUM(F19:F26),"地上面积有误")</f>
        <v>119243.57</v>
      </c>
      <c r="G27" s="3083">
        <f>SUM(G19:G26)</f>
        <v>46155.06</v>
      </c>
      <c r="H27" s="3119">
        <f>SUM(H19:H26)</f>
        <v>2550.5099999999998</v>
      </c>
      <c r="I27" s="3150">
        <f>SUM(I19:I26)</f>
        <v>7956.5</v>
      </c>
      <c r="J27" s="3072"/>
      <c r="K27" s="3151">
        <f t="shared" ref="K27:P27" si="10">SUM(K19:K26)</f>
        <v>686.28</v>
      </c>
      <c r="L27" s="3152">
        <f t="shared" si="10"/>
        <v>7270.22</v>
      </c>
      <c r="M27" s="3153">
        <f t="shared" si="10"/>
        <v>7956.5</v>
      </c>
      <c r="N27" s="3151">
        <f t="shared" si="10"/>
        <v>0</v>
      </c>
      <c r="O27" s="3152">
        <f t="shared" si="10"/>
        <v>0</v>
      </c>
      <c r="P27" s="3154">
        <f t="shared" si="10"/>
        <v>0</v>
      </c>
      <c r="R27" s="3158">
        <f>IF(SUM(R19:R26)=$D$3,SUM(R19:R26),SUM(R19:R26)&amp;"误差"&amp;ROUND(SUM(R19:R26)-$D$3,2))</f>
        <v>55570.200000000004</v>
      </c>
      <c r="S27" s="2473">
        <f>IF(SUM(S19:S26)=$E$3,SUM(S19:S26),SUM(S19:S26)&amp;"误差"&amp;ROUND(SUM(S19:S26)-E3,2))</f>
        <v>173355.13</v>
      </c>
    </row>
    <row r="28" spans="1:19">
      <c r="A28" s="3113"/>
      <c r="B28" s="3088" t="s">
        <v>255</v>
      </c>
      <c r="C28" s="3049" t="s">
        <v>581</v>
      </c>
      <c r="D28" s="3082">
        <f>ROUND($D$3*E28/$E$3,2)</f>
        <v>219.99</v>
      </c>
      <c r="E28" s="3110">
        <f>SUM(F28:G28)</f>
        <v>686.28</v>
      </c>
      <c r="F28" s="2461">
        <f>'数据-基础表'!BQ5+'数据-基础表'!BS5</f>
        <v>0</v>
      </c>
      <c r="G28" s="3120">
        <f>'数据-基础表'!BR5+'数据-基础表'!BT5</f>
        <v>686.28</v>
      </c>
      <c r="H28" s="3074"/>
      <c r="I28" s="3074"/>
      <c r="J28" s="3074"/>
      <c r="K28" s="3074"/>
      <c r="L28" s="3074"/>
      <c r="M28" s="3074"/>
      <c r="N28" s="3074"/>
      <c r="O28" s="3074"/>
      <c r="P28" s="3074"/>
    </row>
    <row r="29" spans="1:19">
      <c r="A29" s="3113"/>
      <c r="B29" s="3088" t="s">
        <v>255</v>
      </c>
      <c r="C29" s="3121" t="s">
        <v>582</v>
      </c>
      <c r="D29" s="3082">
        <f>ROUND($D$3*E29/$E$3,2)</f>
        <v>2330.52</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2550.5100000000002</v>
      </c>
      <c r="E30" s="3110">
        <f>SUM(E28:E29)</f>
        <v>7956.4999999999991</v>
      </c>
      <c r="F30" s="3110">
        <f>SUM(F28:F29)</f>
        <v>2891.27</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55570.200000000004</v>
      </c>
      <c r="E31" s="3127">
        <f>E27+E30</f>
        <v>173355.13</v>
      </c>
      <c r="F31" s="3128">
        <f>F27+F30</f>
        <v>122134.84000000001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119243.57</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K1" zoomScale="90" zoomScaleNormal="90" workbookViewId="0">
      <selection activeCell="AD29" sqref="AD29"/>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A7" workbookViewId="0">
      <selection activeCell="N30" sqref="N30"/>
    </sheetView>
  </sheetViews>
  <sheetFormatPr defaultRowHeight="13.5"/>
  <cols>
    <col min="1" max="1" width="15.75" style="3997" customWidth="1"/>
    <col min="2" max="4" width="10.375" style="3997" bestFit="1" customWidth="1"/>
    <col min="5" max="12" width="9" style="3997"/>
    <col min="13" max="13" width="9.5" style="3997" bestFit="1" customWidth="1"/>
    <col min="14" max="16384" width="9" style="3997"/>
  </cols>
  <sheetData>
    <row r="1" spans="1:15" s="3989" customFormat="1" ht="16.5">
      <c r="A1" s="3988" t="s">
        <v>2710</v>
      </c>
      <c r="B1" s="3988" t="s">
        <v>2711</v>
      </c>
      <c r="C1" s="3988"/>
      <c r="D1" s="3988"/>
      <c r="E1" s="3988"/>
      <c r="F1" s="3988"/>
      <c r="G1" s="3988"/>
      <c r="H1" s="3988"/>
      <c r="I1" s="3988"/>
      <c r="J1" s="3988"/>
      <c r="K1" s="3988"/>
      <c r="L1" s="3988"/>
      <c r="M1" s="3988"/>
      <c r="N1" s="3988"/>
      <c r="O1" s="3988"/>
    </row>
    <row r="2" spans="1:15" s="3989" customFormat="1" ht="16.5">
      <c r="A2" s="3988"/>
      <c r="B2" s="3990" t="s">
        <v>2712</v>
      </c>
      <c r="C2" s="3991" t="s">
        <v>2713</v>
      </c>
      <c r="D2" s="3991"/>
      <c r="E2" s="3991"/>
      <c r="F2" s="3991"/>
      <c r="G2" s="3991"/>
      <c r="H2" s="3991"/>
      <c r="I2" s="3988" t="s">
        <v>2714</v>
      </c>
      <c r="J2" s="3988"/>
      <c r="K2" s="3988"/>
      <c r="L2" s="3988"/>
      <c r="M2" s="3988"/>
      <c r="N2" s="3988"/>
      <c r="O2" s="3988"/>
    </row>
    <row r="3" spans="1:15" s="3993" customFormat="1" ht="16.5">
      <c r="A3" s="3988"/>
      <c r="B3" s="3990"/>
      <c r="C3" s="3992" t="s">
        <v>900</v>
      </c>
      <c r="D3" s="3990" t="s">
        <v>2715</v>
      </c>
      <c r="E3" s="3992" t="s">
        <v>2716</v>
      </c>
      <c r="F3" s="3990" t="s">
        <v>2744</v>
      </c>
      <c r="G3" s="3990" t="s">
        <v>2717</v>
      </c>
      <c r="H3" s="3990" t="s">
        <v>2718</v>
      </c>
      <c r="I3" s="3990" t="s">
        <v>900</v>
      </c>
      <c r="J3" s="3990" t="s">
        <v>2719</v>
      </c>
      <c r="K3" s="3990" t="s">
        <v>2716</v>
      </c>
      <c r="L3" s="3990" t="s">
        <v>2744</v>
      </c>
      <c r="M3" s="3990" t="s">
        <v>2717</v>
      </c>
      <c r="N3" s="3990" t="s">
        <v>2720</v>
      </c>
      <c r="O3" s="3990" t="s">
        <v>2718</v>
      </c>
    </row>
    <row r="4" spans="1:15" s="3993" customFormat="1" ht="16.5">
      <c r="A4" s="3994" t="s">
        <v>2721</v>
      </c>
      <c r="B4" s="3995">
        <f>SUM(C4,I4)</f>
        <v>6471.13</v>
      </c>
      <c r="C4" s="3996">
        <f>SUM(D4:H4)</f>
        <v>6471.13</v>
      </c>
      <c r="D4" s="3995">
        <v>6471.13</v>
      </c>
      <c r="E4" s="3995"/>
      <c r="F4" s="3995"/>
      <c r="G4" s="3995"/>
      <c r="H4" s="3995"/>
      <c r="I4" s="3996">
        <f>SUM(J4:O4)</f>
        <v>0</v>
      </c>
      <c r="J4" s="3996"/>
      <c r="K4" s="3996"/>
      <c r="L4" s="3996"/>
      <c r="M4" s="3996"/>
      <c r="N4" s="3996"/>
      <c r="O4" s="3996"/>
    </row>
    <row r="5" spans="1:15" s="3993" customFormat="1" ht="16.5">
      <c r="A5" s="3994" t="s">
        <v>2722</v>
      </c>
      <c r="B5" s="3995">
        <f>SUM(C5,I5)</f>
        <v>6460.52</v>
      </c>
      <c r="C5" s="3996">
        <f>SUM(D5:H5)</f>
        <v>6460.52</v>
      </c>
      <c r="D5" s="3995">
        <v>6460.52</v>
      </c>
      <c r="E5" s="3995"/>
      <c r="F5" s="3995"/>
      <c r="G5" s="3995"/>
      <c r="H5" s="3995"/>
      <c r="I5" s="3996">
        <f>SUM(J5:O5)</f>
        <v>0</v>
      </c>
      <c r="J5" s="3996"/>
      <c r="K5" s="3996"/>
      <c r="L5" s="3996"/>
      <c r="M5" s="3996"/>
      <c r="N5" s="3996"/>
      <c r="O5" s="3996"/>
    </row>
    <row r="6" spans="1:15" s="3993" customFormat="1" ht="16.5">
      <c r="A6" s="3994" t="s">
        <v>2723</v>
      </c>
      <c r="B6" s="3995">
        <f>SUM(C6,I6)</f>
        <v>3233.84</v>
      </c>
      <c r="C6" s="3995">
        <f>SUM(D6:H6)</f>
        <v>3233.84</v>
      </c>
      <c r="D6" s="3995">
        <v>3233.84</v>
      </c>
      <c r="E6" s="3995"/>
      <c r="F6" s="3995"/>
      <c r="G6" s="3995"/>
      <c r="H6" s="3995"/>
      <c r="I6" s="3996">
        <f>SUM(J6:O6)</f>
        <v>0</v>
      </c>
      <c r="J6" s="3996"/>
      <c r="K6" s="3996"/>
      <c r="L6" s="3996"/>
      <c r="M6" s="3996"/>
      <c r="N6" s="3996"/>
      <c r="O6" s="3996"/>
    </row>
    <row r="7" spans="1:15" s="3993" customFormat="1" ht="16.5">
      <c r="A7" s="3994" t="s">
        <v>2724</v>
      </c>
      <c r="B7" s="3995">
        <f>SUM(C7,I7)</f>
        <v>6325.38</v>
      </c>
      <c r="C7" s="3996">
        <f>SUM(D7:H7)</f>
        <v>6325.38</v>
      </c>
      <c r="D7" s="3995">
        <v>6325.38</v>
      </c>
      <c r="E7" s="3995"/>
      <c r="F7" s="3995"/>
      <c r="G7" s="3995"/>
      <c r="H7" s="3995"/>
      <c r="I7" s="3996">
        <f>SUM(J7:O7)</f>
        <v>0</v>
      </c>
      <c r="J7" s="3996"/>
      <c r="K7" s="3996"/>
      <c r="L7" s="3996"/>
      <c r="M7" s="3996"/>
      <c r="N7" s="3996"/>
      <c r="O7" s="3996"/>
    </row>
    <row r="8" spans="1:15" s="3993" customFormat="1" ht="16.5">
      <c r="A8" s="3994" t="s">
        <v>2725</v>
      </c>
      <c r="B8" s="3995">
        <f>SUM(C8,I8)</f>
        <v>8324.77</v>
      </c>
      <c r="C8" s="3996">
        <f>SUM(D8:H8)</f>
        <v>8324.77</v>
      </c>
      <c r="D8" s="3995">
        <v>8324.77</v>
      </c>
      <c r="E8" s="3995"/>
      <c r="F8" s="3995"/>
      <c r="G8" s="3995"/>
      <c r="H8" s="3995"/>
      <c r="I8" s="3996">
        <f>SUM(J8:O8)</f>
        <v>0</v>
      </c>
      <c r="J8" s="3996"/>
      <c r="K8" s="3996"/>
      <c r="L8" s="3996"/>
      <c r="M8" s="3996"/>
      <c r="N8" s="3996"/>
      <c r="O8" s="3996"/>
    </row>
    <row r="9" spans="1:15" s="3993" customFormat="1" ht="16.5">
      <c r="A9" s="3994" t="s">
        <v>2726</v>
      </c>
      <c r="B9" s="3995">
        <f t="shared" ref="B9:B25" si="0">SUM(C9,I9)</f>
        <v>7450.14</v>
      </c>
      <c r="C9" s="3996">
        <f t="shared" ref="C9:C25" si="1">SUM(D9:H9)</f>
        <v>7450.14</v>
      </c>
      <c r="D9" s="3995">
        <v>7450.14</v>
      </c>
      <c r="E9" s="3995"/>
      <c r="F9" s="3995"/>
      <c r="G9" s="3995"/>
      <c r="H9" s="3995"/>
      <c r="I9" s="3996">
        <f>SUM(J9:O9)</f>
        <v>0</v>
      </c>
      <c r="J9" s="3996"/>
      <c r="K9" s="3996"/>
      <c r="L9" s="3996"/>
      <c r="M9" s="3996"/>
      <c r="N9" s="3996"/>
      <c r="O9" s="3996"/>
    </row>
    <row r="10" spans="1:15" s="3993" customFormat="1" ht="16.5">
      <c r="A10" s="3994" t="s">
        <v>2727</v>
      </c>
      <c r="B10" s="3995">
        <f t="shared" si="0"/>
        <v>7450.14</v>
      </c>
      <c r="C10" s="3996">
        <f t="shared" si="1"/>
        <v>7450.14</v>
      </c>
      <c r="D10" s="3995">
        <v>7450.14</v>
      </c>
      <c r="E10" s="3995"/>
      <c r="F10" s="3995"/>
      <c r="G10" s="3995"/>
      <c r="H10" s="3995"/>
      <c r="I10" s="3996">
        <f>SUM(J10:O10)</f>
        <v>0</v>
      </c>
      <c r="J10" s="3996"/>
      <c r="K10" s="3996"/>
      <c r="L10" s="3996"/>
      <c r="M10" s="3996"/>
      <c r="N10" s="3996"/>
      <c r="O10" s="3996"/>
    </row>
    <row r="11" spans="1:15" s="3993" customFormat="1" ht="16.5">
      <c r="A11" s="3994" t="s">
        <v>2728</v>
      </c>
      <c r="B11" s="3995">
        <f t="shared" si="0"/>
        <v>6934.72</v>
      </c>
      <c r="C11" s="3996">
        <f t="shared" si="1"/>
        <v>6934.72</v>
      </c>
      <c r="D11" s="3995">
        <v>6934.72</v>
      </c>
      <c r="E11" s="3995"/>
      <c r="F11" s="3995"/>
      <c r="G11" s="3995"/>
      <c r="H11" s="3995"/>
      <c r="I11" s="3996">
        <f>SUM(J11:O11)</f>
        <v>0</v>
      </c>
      <c r="J11" s="3996"/>
      <c r="K11" s="3996"/>
      <c r="L11" s="3996"/>
      <c r="M11" s="3996"/>
      <c r="N11" s="3996"/>
      <c r="O11" s="3996"/>
    </row>
    <row r="12" spans="1:15" s="3993" customFormat="1" ht="16.5">
      <c r="A12" s="3994" t="s">
        <v>2729</v>
      </c>
      <c r="B12" s="3995">
        <f t="shared" si="0"/>
        <v>6931.46</v>
      </c>
      <c r="C12" s="3996">
        <f t="shared" si="1"/>
        <v>6931.46</v>
      </c>
      <c r="D12" s="3995">
        <v>6931.46</v>
      </c>
      <c r="E12" s="3995"/>
      <c r="F12" s="3995"/>
      <c r="G12" s="3995"/>
      <c r="H12" s="3995"/>
      <c r="I12" s="3996">
        <f>SUM(J12:O12)</f>
        <v>0</v>
      </c>
      <c r="J12" s="3996"/>
      <c r="K12" s="3996"/>
      <c r="L12" s="3996"/>
      <c r="M12" s="3996"/>
      <c r="N12" s="3996"/>
      <c r="O12" s="3996"/>
    </row>
    <row r="13" spans="1:15" s="3993" customFormat="1" ht="16.5">
      <c r="A13" s="3994" t="s">
        <v>2730</v>
      </c>
      <c r="B13" s="3995">
        <f t="shared" si="0"/>
        <v>7436.84</v>
      </c>
      <c r="C13" s="3996">
        <f t="shared" si="1"/>
        <v>7436.84</v>
      </c>
      <c r="D13" s="3995">
        <v>7436.84</v>
      </c>
      <c r="E13" s="3995"/>
      <c r="F13" s="3995"/>
      <c r="G13" s="3995"/>
      <c r="H13" s="3995"/>
      <c r="I13" s="3996">
        <f>SUM(J13:O13)</f>
        <v>0</v>
      </c>
      <c r="J13" s="3996"/>
      <c r="K13" s="3996"/>
      <c r="L13" s="3996"/>
      <c r="M13" s="3996"/>
      <c r="N13" s="3996"/>
      <c r="O13" s="3996"/>
    </row>
    <row r="14" spans="1:15" s="3993" customFormat="1" ht="16.5">
      <c r="A14" s="3994" t="s">
        <v>2731</v>
      </c>
      <c r="B14" s="3995">
        <f t="shared" si="0"/>
        <v>7446.36</v>
      </c>
      <c r="C14" s="3996">
        <f t="shared" si="1"/>
        <v>7446.36</v>
      </c>
      <c r="D14" s="3995">
        <v>7446.36</v>
      </c>
      <c r="E14" s="3995"/>
      <c r="F14" s="3995"/>
      <c r="G14" s="3995"/>
      <c r="H14" s="3995"/>
      <c r="I14" s="3996">
        <f>SUM(J14:O14)</f>
        <v>0</v>
      </c>
      <c r="J14" s="3996"/>
      <c r="K14" s="3996"/>
      <c r="L14" s="3996"/>
      <c r="M14" s="3996"/>
      <c r="N14" s="3996"/>
      <c r="O14" s="3996"/>
    </row>
    <row r="15" spans="1:15" s="3993" customFormat="1" ht="16.5">
      <c r="A15" s="3994" t="s">
        <v>2732</v>
      </c>
      <c r="B15" s="3995">
        <f t="shared" si="0"/>
        <v>8293.49</v>
      </c>
      <c r="C15" s="3996">
        <f t="shared" si="1"/>
        <v>8293.49</v>
      </c>
      <c r="D15" s="3995">
        <v>8293.49</v>
      </c>
      <c r="E15" s="3995"/>
      <c r="F15" s="3995"/>
      <c r="G15" s="3995"/>
      <c r="H15" s="3995"/>
      <c r="I15" s="3996">
        <f>SUM(J15:O15)</f>
        <v>0</v>
      </c>
      <c r="J15" s="3996"/>
      <c r="K15" s="3996"/>
      <c r="L15" s="3996"/>
      <c r="M15" s="3996"/>
      <c r="N15" s="3996"/>
      <c r="O15" s="3996"/>
    </row>
    <row r="16" spans="1:15" s="3993" customFormat="1" ht="16.5">
      <c r="A16" s="3994" t="s">
        <v>2733</v>
      </c>
      <c r="B16" s="3995">
        <f t="shared" si="0"/>
        <v>5568.48</v>
      </c>
      <c r="C16" s="3996">
        <f t="shared" si="1"/>
        <v>5568.48</v>
      </c>
      <c r="D16" s="3995">
        <v>5568.48</v>
      </c>
      <c r="E16" s="3995"/>
      <c r="F16" s="3995"/>
      <c r="G16" s="3995"/>
      <c r="H16" s="3995"/>
      <c r="I16" s="3996">
        <f>SUM(J16:O16)</f>
        <v>0</v>
      </c>
      <c r="J16" s="3996"/>
      <c r="K16" s="3996"/>
      <c r="L16" s="3996"/>
      <c r="M16" s="3996"/>
      <c r="N16" s="3996"/>
      <c r="O16" s="3996"/>
    </row>
    <row r="17" spans="1:15" s="3993" customFormat="1" ht="16.5">
      <c r="A17" s="3994" t="s">
        <v>2734</v>
      </c>
      <c r="B17" s="3995">
        <f t="shared" si="0"/>
        <v>7450.14</v>
      </c>
      <c r="C17" s="3996">
        <f t="shared" si="1"/>
        <v>7450.14</v>
      </c>
      <c r="D17" s="3995">
        <v>7450.14</v>
      </c>
      <c r="E17" s="3995"/>
      <c r="F17" s="3995"/>
      <c r="G17" s="3995"/>
      <c r="H17" s="3995"/>
      <c r="I17" s="3996">
        <f>SUM(J17:O17)</f>
        <v>0</v>
      </c>
      <c r="J17" s="3996"/>
      <c r="K17" s="3996"/>
      <c r="L17" s="3996"/>
      <c r="M17" s="3996"/>
      <c r="N17" s="3996"/>
      <c r="O17" s="3996"/>
    </row>
    <row r="18" spans="1:15" s="3993" customFormat="1" ht="16.5">
      <c r="A18" s="3994" t="s">
        <v>2735</v>
      </c>
      <c r="B18" s="3995">
        <f t="shared" si="0"/>
        <v>4539.55</v>
      </c>
      <c r="C18" s="3996">
        <f t="shared" si="1"/>
        <v>4539.55</v>
      </c>
      <c r="D18" s="3995">
        <v>4539.55</v>
      </c>
      <c r="E18" s="3995"/>
      <c r="F18" s="3995"/>
      <c r="G18" s="3995"/>
      <c r="H18" s="3995"/>
      <c r="I18" s="3996">
        <f>SUM(J18:O18)</f>
        <v>0</v>
      </c>
      <c r="J18" s="3996"/>
      <c r="K18" s="3996"/>
      <c r="L18" s="3996"/>
      <c r="M18" s="3996"/>
      <c r="N18" s="3996"/>
      <c r="O18" s="3996"/>
    </row>
    <row r="19" spans="1:15" s="3993" customFormat="1" ht="16.5">
      <c r="A19" s="3994" t="s">
        <v>2736</v>
      </c>
      <c r="B19" s="3995">
        <f t="shared" si="0"/>
        <v>4657.6499999999996</v>
      </c>
      <c r="C19" s="3996">
        <f t="shared" si="1"/>
        <v>4657.6499999999996</v>
      </c>
      <c r="D19" s="3995">
        <v>4657.6499999999996</v>
      </c>
      <c r="E19" s="3995"/>
      <c r="F19" s="3995"/>
      <c r="G19" s="3995"/>
      <c r="H19" s="3995"/>
      <c r="I19" s="3996">
        <f>SUM(J19:O19)</f>
        <v>0</v>
      </c>
      <c r="J19" s="3996"/>
      <c r="K19" s="3996"/>
      <c r="L19" s="3996"/>
      <c r="M19" s="3996"/>
      <c r="N19" s="3996"/>
      <c r="O19" s="3996"/>
    </row>
    <row r="20" spans="1:15" s="3993" customFormat="1" ht="16.5">
      <c r="A20" s="3994" t="s">
        <v>2737</v>
      </c>
      <c r="B20" s="3995">
        <f t="shared" si="0"/>
        <v>7114.3</v>
      </c>
      <c r="C20" s="3996">
        <f t="shared" si="1"/>
        <v>7114.3</v>
      </c>
      <c r="D20" s="3995">
        <v>7114.3</v>
      </c>
      <c r="E20" s="3995"/>
      <c r="F20" s="3995"/>
      <c r="G20" s="3995"/>
      <c r="H20" s="3995"/>
      <c r="I20" s="3996">
        <f>SUM(J20:O20)</f>
        <v>0</v>
      </c>
      <c r="J20" s="3996"/>
      <c r="K20" s="3996"/>
      <c r="L20" s="3996"/>
      <c r="M20" s="3996"/>
      <c r="N20" s="3996"/>
      <c r="O20" s="3996"/>
    </row>
    <row r="21" spans="1:15" s="3993" customFormat="1" ht="16.5">
      <c r="A21" s="3994" t="s">
        <v>2738</v>
      </c>
      <c r="B21" s="3995">
        <f t="shared" si="0"/>
        <v>7154.66</v>
      </c>
      <c r="C21" s="3996">
        <f t="shared" si="1"/>
        <v>7154.66</v>
      </c>
      <c r="D21" s="3995">
        <v>7154.66</v>
      </c>
      <c r="E21" s="3995"/>
      <c r="F21" s="3995"/>
      <c r="G21" s="3995"/>
      <c r="H21" s="3995"/>
      <c r="I21" s="3996">
        <f>SUM(J21:O21)</f>
        <v>0</v>
      </c>
      <c r="J21" s="3996"/>
      <c r="K21" s="3996"/>
      <c r="L21" s="3996"/>
      <c r="M21" s="3996"/>
      <c r="N21" s="3996"/>
      <c r="O21" s="3996"/>
    </row>
    <row r="22" spans="1:15" s="3993" customFormat="1" ht="16.5">
      <c r="A22" s="3994" t="s">
        <v>2739</v>
      </c>
      <c r="B22" s="3995">
        <f t="shared" si="0"/>
        <v>150</v>
      </c>
      <c r="C22" s="3996">
        <f t="shared" si="1"/>
        <v>150</v>
      </c>
      <c r="D22" s="3995"/>
      <c r="E22" s="3995"/>
      <c r="F22" s="3995"/>
      <c r="G22" s="3995">
        <v>150</v>
      </c>
      <c r="H22" s="3995"/>
      <c r="I22" s="3996">
        <f>SUM(J22:O22)</f>
        <v>0</v>
      </c>
      <c r="J22" s="3996"/>
      <c r="K22" s="3996"/>
      <c r="L22" s="3996"/>
      <c r="M22" s="3996"/>
      <c r="N22" s="3996"/>
      <c r="O22" s="3996"/>
    </row>
    <row r="23" spans="1:15" s="3993" customFormat="1" ht="16.5">
      <c r="A23" s="3994" t="s">
        <v>2740</v>
      </c>
      <c r="B23" s="3995">
        <f t="shared" si="0"/>
        <v>1002</v>
      </c>
      <c r="C23" s="3996">
        <f t="shared" si="1"/>
        <v>501</v>
      </c>
      <c r="D23" s="3995"/>
      <c r="E23" s="3995"/>
      <c r="F23" s="3995"/>
      <c r="G23" s="3995">
        <v>501</v>
      </c>
      <c r="H23" s="3995"/>
      <c r="I23" s="3996">
        <f>SUM(J23:O23)</f>
        <v>501</v>
      </c>
      <c r="J23" s="3996"/>
      <c r="K23" s="3996"/>
      <c r="L23" s="3996"/>
      <c r="M23" s="3996">
        <v>501</v>
      </c>
      <c r="N23" s="3996"/>
      <c r="O23" s="3996"/>
    </row>
    <row r="24" spans="1:15" s="3993" customFormat="1" ht="16.5">
      <c r="A24" s="3994" t="s">
        <v>2741</v>
      </c>
      <c r="B24" s="3995">
        <f t="shared" si="0"/>
        <v>150</v>
      </c>
      <c r="C24" s="3996">
        <f t="shared" si="1"/>
        <v>150</v>
      </c>
      <c r="D24" s="3995"/>
      <c r="E24" s="3995"/>
      <c r="F24" s="3995"/>
      <c r="G24" s="3995">
        <v>150</v>
      </c>
      <c r="H24" s="3995"/>
      <c r="I24" s="3996">
        <f>SUM(J24:O24)</f>
        <v>0</v>
      </c>
      <c r="J24" s="3996"/>
      <c r="K24" s="3996"/>
      <c r="L24" s="3996"/>
      <c r="M24" s="3996"/>
      <c r="N24" s="3996"/>
      <c r="O24" s="3996"/>
    </row>
    <row r="25" spans="1:15" s="3993" customFormat="1" ht="16.5">
      <c r="A25" s="3994" t="s">
        <v>2742</v>
      </c>
      <c r="B25" s="3995">
        <f t="shared" si="0"/>
        <v>2090.27</v>
      </c>
      <c r="C25" s="3996">
        <f t="shared" si="1"/>
        <v>2090.27</v>
      </c>
      <c r="D25" s="3995"/>
      <c r="E25" s="3995"/>
      <c r="F25" s="3995">
        <f>100.43</f>
        <v>100.43</v>
      </c>
      <c r="G25" s="3995">
        <f>2090.27-F25</f>
        <v>1989.84</v>
      </c>
      <c r="H25" s="3995"/>
      <c r="I25" s="3996">
        <f>SUM(J25:O25)</f>
        <v>0</v>
      </c>
      <c r="J25" s="3996"/>
      <c r="K25" s="3996"/>
      <c r="L25" s="3996"/>
      <c r="M25" s="3996"/>
      <c r="N25" s="3996"/>
      <c r="O25" s="3996"/>
    </row>
    <row r="26" spans="1:15" s="3993" customFormat="1" ht="16.5">
      <c r="A26" s="3994" t="s">
        <v>2743</v>
      </c>
      <c r="B26" s="3995">
        <f>SUM(C26,I26)</f>
        <v>64191.619999999988</v>
      </c>
      <c r="C26" s="3996">
        <f>SUM(D26:H26)</f>
        <v>119.6</v>
      </c>
      <c r="D26" s="3995"/>
      <c r="E26" s="3995"/>
      <c r="F26" s="3995"/>
      <c r="G26" s="3995"/>
      <c r="H26" s="3995">
        <f>119.6</f>
        <v>119.6</v>
      </c>
      <c r="I26" s="3996">
        <f>SUM(J26:O26)</f>
        <v>64072.01999999999</v>
      </c>
      <c r="J26" s="3996"/>
      <c r="K26" s="3996">
        <f>686.28</f>
        <v>686.28</v>
      </c>
      <c r="L26" s="3996">
        <f>58.24</f>
        <v>58.24</v>
      </c>
      <c r="M26" s="3996">
        <f>914.24+2734.09+171.38</f>
        <v>3819.71</v>
      </c>
      <c r="N26" s="3996">
        <f>28096.75+18058.31</f>
        <v>46155.06</v>
      </c>
      <c r="O26" s="3996">
        <f>11497.73+1855</f>
        <v>13352.73</v>
      </c>
    </row>
    <row r="27" spans="1:15" s="3993" customFormat="1" ht="16.5">
      <c r="A27" s="3994" t="s">
        <v>2745</v>
      </c>
      <c r="B27" s="3995">
        <f>SUM(B4:B26)</f>
        <v>186827.46</v>
      </c>
      <c r="C27" s="3995">
        <f t="shared" ref="C27:O27" si="2">SUM(C4:C26)</f>
        <v>122254.44000000002</v>
      </c>
      <c r="D27" s="3995">
        <f>SUM(D4:D26)</f>
        <v>119243.57</v>
      </c>
      <c r="E27" s="3995">
        <f t="shared" si="2"/>
        <v>0</v>
      </c>
      <c r="F27" s="3995">
        <f t="shared" ref="F27:M27" si="3">SUM(F4:F26)</f>
        <v>100.43</v>
      </c>
      <c r="G27" s="3995">
        <f t="shared" si="3"/>
        <v>2790.84</v>
      </c>
      <c r="H27" s="3995">
        <f t="shared" si="3"/>
        <v>119.6</v>
      </c>
      <c r="I27" s="3995">
        <f t="shared" si="3"/>
        <v>64573.01999999999</v>
      </c>
      <c r="J27" s="3995">
        <f t="shared" si="3"/>
        <v>0</v>
      </c>
      <c r="K27" s="3995">
        <f t="shared" si="3"/>
        <v>686.28</v>
      </c>
      <c r="L27" s="3995">
        <f t="shared" si="3"/>
        <v>58.24</v>
      </c>
      <c r="M27" s="3995">
        <f t="shared" si="3"/>
        <v>4320.71</v>
      </c>
      <c r="N27" s="3995">
        <f t="shared" si="2"/>
        <v>46155.06</v>
      </c>
      <c r="O27" s="3995">
        <f t="shared" si="2"/>
        <v>13352.73</v>
      </c>
    </row>
    <row r="29" spans="1:15">
      <c r="N29" s="3997">
        <f>N27/38</f>
        <v>1214.606842105263</v>
      </c>
    </row>
  </sheetData>
  <mergeCells count="4">
    <mergeCell ref="A1:A3"/>
    <mergeCell ref="B1:O1"/>
    <mergeCell ref="C2:H2"/>
    <mergeCell ref="I2:O2"/>
  </mergeCells>
  <phoneticPr fontId="24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selection pane="bottomLeft"/>
      <selection pane="bottomRight" activeCell="AN18" sqref="AN18"/>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45316</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68.709999999999994</v>
      </c>
      <c r="G6" s="2905">
        <f t="shared" ref="G6:G13" si="0">IF(ISERROR(ROUND(POWER(1+H6,D6-F6)*(POWER(1+H6,F6)-1)/(POWER(1+H6,D6)-1),3)),0,ROUND(POWER(1+H6,D6-F6)*(POWER(1+H6,F6)-1)/(POWER(1+H6,D6)-1),3))</f>
        <v>0.996</v>
      </c>
      <c r="H6" s="2906">
        <v>0.04</v>
      </c>
      <c r="I6" s="2906">
        <v>4.4999999999999998E-2</v>
      </c>
      <c r="J6" s="2907">
        <v>7.0000000000000007E-2</v>
      </c>
      <c r="K6" s="2997">
        <f>SUMIF('数据-汇总表'!C$19:C$33,'数据-取费表'!A6,'数据-汇总表'!E$19:E$33)</f>
        <v>119243.57</v>
      </c>
      <c r="L6" s="2998">
        <v>5500</v>
      </c>
      <c r="M6" s="2999">
        <f t="shared" ref="M6:M14" si="1">ROUND(K6*L6/10000,0)</f>
        <v>65584</v>
      </c>
      <c r="N6" s="3000">
        <v>0</v>
      </c>
      <c r="O6" s="2999">
        <f>IF($N$5="成新度","——",ROUND(M6*N6,0))</f>
        <v>0</v>
      </c>
      <c r="P6" s="3001">
        <f>IF($N$5="成新度","——",M6-O6)</f>
        <v>65584</v>
      </c>
      <c r="Q6" s="3018">
        <v>0.15</v>
      </c>
      <c r="R6" s="2997">
        <f>SUMIF('数据-汇总表'!C$19:C$33,A6,'数据-汇总表'!R$19:R$33)</f>
        <v>40713.480000000003</v>
      </c>
      <c r="S6" s="3019">
        <f>IF('数据-汇总表'!$I$17="按面积比例",SUMIF('数据-汇总表'!C$19:C$33,A6,'数据-汇总表'!K$19:K$33),SUMIF('数据-汇总表'!C$19:C$33,A6,'数据-汇总表'!N$19:N$33))</f>
        <v>494.77</v>
      </c>
      <c r="T6" s="3020">
        <f>IF($T$4="按面积比例",IF(ISERROR(ROUND($M$14*S6/S$16,0)),"0",ROUND($M$14*S6/S$16,0)),"需自行计算录入")</f>
        <v>198</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0.93200000000000005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48.7</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14856.72</v>
      </c>
      <c r="S7" s="3019">
        <f>IF('数据-汇总表'!$I$17="按面积比例",SUMIF('数据-汇总表'!C$19:C$33,A7,'数据-汇总表'!K$19:K$33),SUMIF('数据-汇总表'!C$19:C$33,A7,'数据-汇总表'!N$19:N$33))</f>
        <v>191.51</v>
      </c>
      <c r="T7" s="3020">
        <f t="shared" ref="T7:T13" si="5">IF($T$4="按面积比例",IF(ISERROR(ROUND($M$14*S7/S$16,0)),"0",ROUND($M$14*S7/S$16,0)),"需自行计算录入")</f>
        <v>77</v>
      </c>
      <c r="U7" s="3021"/>
      <c r="V7" s="3022">
        <v>1.4999999999999999E-2</v>
      </c>
      <c r="W7" s="3022">
        <v>0.1</v>
      </c>
      <c r="X7" s="3023"/>
      <c r="Y7" s="3043">
        <v>1</v>
      </c>
      <c r="Z7" s="3044"/>
      <c r="AA7" s="2907"/>
      <c r="AB7" s="2907"/>
      <c r="AC7" s="3026"/>
      <c r="AD7" s="3045"/>
      <c r="AE7" s="3046">
        <f t="shared" ref="AE7:AE13" ca="1" si="6">IF(AN7="",0,SUMIF(INDIRECT("'"&amp;AN7&amp;"'"&amp;"!E:E"),$AE$5,INDIRECT("'"&amp;AN7&amp;"'"&amp;"!F:F")))</f>
        <v>48.7</v>
      </c>
      <c r="AF7" s="2458"/>
      <c r="AG7" s="3055">
        <f t="shared" ref="AG7:AG13" si="7">IF(AF7="",0,AE7-AF7)</f>
        <v>0</v>
      </c>
      <c r="AH7" s="2458">
        <v>1214</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686.28</v>
      </c>
      <c r="L14" s="3002">
        <v>4000</v>
      </c>
      <c r="M14" s="2999">
        <f t="shared" si="1"/>
        <v>275</v>
      </c>
      <c r="N14" s="3003">
        <v>0</v>
      </c>
      <c r="O14" s="2999">
        <f t="shared" si="3"/>
        <v>0</v>
      </c>
      <c r="P14" s="3001">
        <f t="shared" si="4"/>
        <v>275</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0.995</v>
      </c>
      <c r="H16" s="2918">
        <f>ROUND(SUMPRODUCT(H6:H13,K6:K13)/SUMPRODUCT((H6:H13&gt;0)*(K6:K13)),3)</f>
        <v>4.1000000000000002E-2</v>
      </c>
      <c r="I16" s="3006"/>
      <c r="J16" s="3006"/>
      <c r="K16" s="3007">
        <f>SUM(K6:K15)</f>
        <v>173355.13</v>
      </c>
      <c r="L16" s="3008">
        <f>ROUND(M16*10000/SUM(K6:K14),0)</f>
        <v>5077</v>
      </c>
      <c r="M16" s="3008">
        <f>SUM(M6:M14)</f>
        <v>84321</v>
      </c>
      <c r="N16" s="3009">
        <f>ROUND(SUMPRODUCT(M6:M14,N6:N14)/M16,3)</f>
        <v>0</v>
      </c>
      <c r="O16" s="3008">
        <f>SUM(O6:O14)</f>
        <v>0</v>
      </c>
      <c r="P16" s="3008">
        <f>SUM(P6:P14)</f>
        <v>84321</v>
      </c>
      <c r="Q16" s="3031">
        <f>ROUND(SUMPRODUCT(Q6:Q13,K6:K13)/SUMPRODUCT((Q6:Q13&gt;0)*(K6:K13)),2)</f>
        <v>0.12</v>
      </c>
      <c r="R16" s="3032">
        <f>SUM(R6:R13)</f>
        <v>55570.200000000004</v>
      </c>
      <c r="S16" s="3033">
        <f>SUM(S6:S13)</f>
        <v>686.28</v>
      </c>
      <c r="T16" s="3034">
        <f>IF(SUMIF(T6:T13,"&lt;9E307")=M14,SUMIF(T6:T13,"&lt;9E307"),"有误，请检查")</f>
        <v>275</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0.91800000000000004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1968</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59" t="s">
        <v>686</v>
      </c>
      <c r="B1" s="3760"/>
      <c r="C1" s="3760"/>
      <c r="D1" s="3760"/>
      <c r="E1" s="3760"/>
      <c r="F1" s="3760"/>
      <c r="G1" s="3760"/>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13" sqref="J13"/>
    </sheetView>
  </sheetViews>
  <sheetFormatPr defaultColWidth="14.625" defaultRowHeight="13.5"/>
  <cols>
    <col min="1" max="1" width="24.375" style="2788" customWidth="1"/>
    <col min="2" max="16384" width="14.625" style="2788"/>
  </cols>
  <sheetData>
    <row r="1" spans="1:10" ht="16.5">
      <c r="A1" s="2789" t="s">
        <v>707</v>
      </c>
      <c r="B1" s="2789">
        <f>SUM(B14:B23)</f>
        <v>173355.13</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45316</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152604</v>
      </c>
      <c r="C5" s="2789">
        <f ca="1">ROUND(B5*10000/$B$1,0)</f>
        <v>8803</v>
      </c>
      <c r="D5" s="2789">
        <f ca="1">ROUND(B5*10000/$B$2,0)</f>
        <v>27461</v>
      </c>
      <c r="E5" s="2790"/>
      <c r="F5" s="2790"/>
      <c r="G5" s="2791"/>
      <c r="H5" s="2791"/>
      <c r="I5" s="2791"/>
      <c r="J5" s="2791"/>
    </row>
    <row r="6" spans="1:10" ht="16.5">
      <c r="A6" s="2789" t="s">
        <v>714</v>
      </c>
      <c r="B6" s="2789">
        <f ca="1">SUM(G14:G23)</f>
        <v>150383</v>
      </c>
      <c r="C6" s="2789">
        <f ca="1">ROUND(B6*10000/$B$1,0)</f>
        <v>8675</v>
      </c>
      <c r="D6" s="2789">
        <f ca="1">ROUND(B6*10000/$B$2,0)</f>
        <v>27062</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173355.13</v>
      </c>
      <c r="C14" s="2797">
        <f>'数据-基础表'!A3</f>
        <v>55570.2</v>
      </c>
      <c r="D14" s="2797">
        <f ca="1">结果表!G19</f>
        <v>152604</v>
      </c>
      <c r="E14" s="2797">
        <f ca="1">ROUND(D14*10000/B14,0)</f>
        <v>8803</v>
      </c>
      <c r="F14" s="2797">
        <f ca="1">ROUND(D14*10000/C14,0)</f>
        <v>27461</v>
      </c>
      <c r="G14" s="2797">
        <f ca="1">结果表!G19-结果表!E37</f>
        <v>150383</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PageLayoutView="80" workbookViewId="0">
      <selection activeCell="G19" sqref="G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832" t="str">
        <f>项目基本情况!K2</f>
        <v>北京市出让国有建设用地使用权</v>
      </c>
      <c r="B2" s="3833"/>
      <c r="C2" s="3834"/>
      <c r="D2" s="3834"/>
      <c r="E2" s="3834"/>
      <c r="F2" s="3834"/>
      <c r="G2" s="3833"/>
      <c r="H2" s="3833"/>
      <c r="I2" s="3835"/>
      <c r="J2" s="2568"/>
      <c r="K2" s="188"/>
      <c r="L2" s="188"/>
      <c r="M2" s="188"/>
      <c r="N2" s="188"/>
      <c r="O2" s="188"/>
      <c r="P2" s="188"/>
      <c r="Q2" s="188"/>
      <c r="R2" s="188"/>
      <c r="S2" s="188"/>
      <c r="T2" s="188"/>
      <c r="U2" s="188"/>
      <c r="V2" s="188"/>
    </row>
    <row r="3" spans="1:22" ht="14.25">
      <c r="A3" s="3836" t="s">
        <v>737</v>
      </c>
      <c r="B3" s="3837"/>
      <c r="C3" s="3837"/>
      <c r="D3" s="3837"/>
      <c r="E3" s="3837"/>
      <c r="F3" s="3837"/>
      <c r="G3" s="3837"/>
      <c r="H3" s="3837"/>
      <c r="I3" s="3837"/>
      <c r="J3" s="2568"/>
      <c r="K3" s="188"/>
      <c r="L3" s="188"/>
      <c r="M3" s="188"/>
      <c r="N3" s="188"/>
      <c r="O3" s="188"/>
      <c r="P3" s="188"/>
      <c r="Q3" s="188"/>
      <c r="R3" s="188"/>
      <c r="S3" s="188"/>
      <c r="T3" s="188"/>
      <c r="U3" s="188"/>
      <c r="V3" s="188"/>
    </row>
    <row r="4" spans="1:22" ht="14.25">
      <c r="A4" s="2455" t="s">
        <v>738</v>
      </c>
      <c r="B4" s="2336" t="s">
        <v>739</v>
      </c>
      <c r="C4" s="2456" t="s">
        <v>740</v>
      </c>
      <c r="D4" s="2456" t="s">
        <v>741</v>
      </c>
      <c r="E4" s="3804" t="s">
        <v>742</v>
      </c>
      <c r="F4" s="3806"/>
      <c r="G4" s="3806"/>
      <c r="H4" s="3806"/>
      <c r="I4" s="3805"/>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41" t="s">
        <v>743</v>
      </c>
      <c r="B5" s="3829">
        <v>25</v>
      </c>
      <c r="C5" s="3777"/>
      <c r="D5" s="3780"/>
      <c r="E5" s="702" t="s">
        <v>744</v>
      </c>
      <c r="F5" s="2459"/>
      <c r="G5" s="2459"/>
      <c r="H5" s="2459"/>
      <c r="I5" s="2571"/>
      <c r="J5" s="2568"/>
      <c r="K5" s="188"/>
      <c r="L5" s="188"/>
      <c r="M5" s="188"/>
      <c r="N5" s="188"/>
      <c r="O5" s="188"/>
      <c r="P5" s="188"/>
      <c r="Q5" s="188"/>
      <c r="R5" s="188"/>
      <c r="S5" s="188"/>
      <c r="T5" s="188"/>
      <c r="U5" s="188"/>
      <c r="V5" s="188"/>
    </row>
    <row r="6" spans="1:22" ht="14.25">
      <c r="A6" s="3841"/>
      <c r="B6" s="3829"/>
      <c r="C6" s="3778"/>
      <c r="D6" s="3780"/>
      <c r="E6" s="702" t="s">
        <v>745</v>
      </c>
      <c r="F6" s="2459"/>
      <c r="G6" s="2459"/>
      <c r="H6" s="2459"/>
      <c r="I6" s="2571"/>
      <c r="J6" s="2568"/>
      <c r="K6" s="188"/>
      <c r="L6" s="188"/>
      <c r="M6" s="188"/>
      <c r="N6" s="188"/>
      <c r="O6" s="188"/>
      <c r="P6" s="188"/>
      <c r="Q6" s="188"/>
      <c r="R6" s="188"/>
      <c r="S6" s="188"/>
      <c r="T6" s="188"/>
      <c r="U6" s="188"/>
      <c r="V6" s="188"/>
    </row>
    <row r="7" spans="1:22" ht="14.25">
      <c r="A7" s="3841"/>
      <c r="B7" s="3829"/>
      <c r="C7" s="3779"/>
      <c r="D7" s="3780"/>
      <c r="E7" s="702" t="s">
        <v>746</v>
      </c>
      <c r="F7" s="2459"/>
      <c r="G7" s="2459"/>
      <c r="H7" s="2459"/>
      <c r="I7" s="2571"/>
      <c r="J7" s="2568"/>
      <c r="K7" s="188"/>
      <c r="L7" s="188"/>
      <c r="M7" s="188"/>
      <c r="N7" s="188"/>
      <c r="O7" s="188"/>
      <c r="P7" s="188"/>
      <c r="Q7" s="188"/>
      <c r="R7" s="188"/>
      <c r="S7" s="188"/>
      <c r="T7" s="188"/>
      <c r="U7" s="188"/>
      <c r="V7" s="188"/>
    </row>
    <row r="8" spans="1:22" ht="14.25">
      <c r="A8" s="3841" t="s">
        <v>747</v>
      </c>
      <c r="B8" s="3829">
        <v>15</v>
      </c>
      <c r="C8" s="3777"/>
      <c r="D8" s="3780"/>
      <c r="E8" s="702" t="s">
        <v>748</v>
      </c>
      <c r="F8" s="2459"/>
      <c r="G8" s="2459"/>
      <c r="H8" s="2459"/>
      <c r="I8" s="2571"/>
      <c r="J8" s="2568"/>
      <c r="K8" s="188"/>
      <c r="L8" s="188"/>
      <c r="M8" s="188"/>
      <c r="N8" s="188"/>
      <c r="O8" s="188"/>
      <c r="P8" s="188"/>
      <c r="Q8" s="188"/>
      <c r="R8" s="188"/>
      <c r="S8" s="188"/>
      <c r="T8" s="188"/>
      <c r="U8" s="188"/>
      <c r="V8" s="188"/>
    </row>
    <row r="9" spans="1:22" ht="14.25">
      <c r="A9" s="3841"/>
      <c r="B9" s="3829"/>
      <c r="C9" s="3779"/>
      <c r="D9" s="3780"/>
      <c r="E9" s="702" t="s">
        <v>749</v>
      </c>
      <c r="F9" s="2459"/>
      <c r="G9" s="2459"/>
      <c r="H9" s="2459"/>
      <c r="I9" s="2571"/>
      <c r="J9" s="2568"/>
      <c r="K9" s="188"/>
      <c r="L9" s="188"/>
      <c r="M9" s="188"/>
      <c r="N9" s="188"/>
      <c r="O9" s="188"/>
      <c r="P9" s="188"/>
      <c r="Q9" s="188"/>
      <c r="R9" s="188"/>
      <c r="S9" s="188"/>
      <c r="T9" s="188"/>
      <c r="U9" s="188"/>
      <c r="V9" s="188"/>
    </row>
    <row r="10" spans="1:22" ht="14.25">
      <c r="A10" s="3841" t="s">
        <v>750</v>
      </c>
      <c r="B10" s="3829">
        <v>15</v>
      </c>
      <c r="C10" s="3777"/>
      <c r="D10" s="3780"/>
      <c r="E10" s="702" t="s">
        <v>751</v>
      </c>
      <c r="F10" s="2459"/>
      <c r="G10" s="2459"/>
      <c r="H10" s="2459"/>
      <c r="I10" s="2571"/>
      <c r="J10" s="2568"/>
      <c r="K10" s="188"/>
      <c r="L10" s="188"/>
      <c r="M10" s="188"/>
      <c r="N10" s="188"/>
      <c r="O10" s="188"/>
      <c r="P10" s="188"/>
      <c r="Q10" s="188"/>
      <c r="R10" s="188"/>
      <c r="S10" s="188"/>
      <c r="T10" s="188"/>
      <c r="U10" s="188"/>
      <c r="V10" s="188"/>
    </row>
    <row r="11" spans="1:22" ht="14.25">
      <c r="A11" s="3841"/>
      <c r="B11" s="3829"/>
      <c r="C11" s="3779"/>
      <c r="D11" s="3780"/>
      <c r="E11" s="702" t="s">
        <v>752</v>
      </c>
      <c r="F11" s="2459"/>
      <c r="G11" s="2459"/>
      <c r="H11" s="2459"/>
      <c r="I11" s="2571"/>
      <c r="J11" s="2568"/>
      <c r="K11" s="188"/>
      <c r="L11" s="188"/>
      <c r="M11" s="188"/>
      <c r="N11" s="188"/>
      <c r="O11" s="188"/>
      <c r="P11" s="188"/>
      <c r="Q11" s="188"/>
      <c r="R11" s="188"/>
      <c r="S11" s="188"/>
      <c r="T11" s="188"/>
      <c r="U11" s="188"/>
      <c r="V11" s="188"/>
    </row>
    <row r="12" spans="1:22" ht="14.25">
      <c r="A12" s="3841" t="s">
        <v>753</v>
      </c>
      <c r="B12" s="3829">
        <v>15</v>
      </c>
      <c r="C12" s="3777"/>
      <c r="D12" s="3780"/>
      <c r="E12" s="702" t="s">
        <v>754</v>
      </c>
      <c r="F12" s="2459"/>
      <c r="G12" s="2459"/>
      <c r="H12" s="2459"/>
      <c r="I12" s="2571"/>
      <c r="J12" s="2568"/>
      <c r="K12" s="188"/>
      <c r="L12" s="188"/>
      <c r="M12" s="188"/>
      <c r="N12" s="188"/>
      <c r="O12" s="188"/>
      <c r="P12" s="188"/>
      <c r="Q12" s="188"/>
      <c r="R12" s="188"/>
      <c r="S12" s="188"/>
      <c r="T12" s="188"/>
      <c r="U12" s="188"/>
      <c r="V12" s="188"/>
    </row>
    <row r="13" spans="1:22" ht="14.25">
      <c r="A13" s="3841"/>
      <c r="B13" s="3829"/>
      <c r="C13" s="3779"/>
      <c r="D13" s="3780"/>
      <c r="E13" s="702" t="s">
        <v>755</v>
      </c>
      <c r="F13" s="2459"/>
      <c r="G13" s="2459"/>
      <c r="H13" s="2459"/>
      <c r="I13" s="2571"/>
      <c r="J13" s="2568"/>
      <c r="K13" s="188"/>
      <c r="L13" s="188"/>
      <c r="M13" s="188"/>
      <c r="N13" s="188"/>
      <c r="O13" s="188"/>
      <c r="P13" s="188"/>
      <c r="Q13" s="188"/>
      <c r="R13" s="188"/>
      <c r="S13" s="188"/>
      <c r="T13" s="188"/>
      <c r="U13" s="188"/>
      <c r="V13" s="188"/>
    </row>
    <row r="14" spans="1:22" ht="14.25">
      <c r="A14" s="3841" t="s">
        <v>756</v>
      </c>
      <c r="B14" s="3829">
        <v>30</v>
      </c>
      <c r="C14" s="3777">
        <v>5</v>
      </c>
      <c r="D14" s="3780">
        <v>5</v>
      </c>
      <c r="E14" s="702" t="s">
        <v>757</v>
      </c>
      <c r="F14" s="2459"/>
      <c r="G14" s="2459"/>
      <c r="H14" s="2459"/>
      <c r="I14" s="2571"/>
      <c r="J14" s="2568"/>
      <c r="K14" s="188"/>
      <c r="L14" s="188"/>
      <c r="M14" s="188"/>
      <c r="N14" s="188"/>
      <c r="O14" s="188"/>
      <c r="P14" s="188"/>
      <c r="Q14" s="188"/>
      <c r="R14" s="188"/>
      <c r="S14" s="188"/>
      <c r="T14" s="188"/>
      <c r="U14" s="188"/>
      <c r="V14" s="188"/>
    </row>
    <row r="15" spans="1:22" ht="14.25">
      <c r="A15" s="3841"/>
      <c r="B15" s="3829"/>
      <c r="C15" s="3778"/>
      <c r="D15" s="3780"/>
      <c r="E15" s="702" t="s">
        <v>758</v>
      </c>
      <c r="F15" s="2459"/>
      <c r="G15" s="2459"/>
      <c r="H15" s="2459"/>
      <c r="I15" s="2571"/>
      <c r="J15" s="2568"/>
      <c r="K15" s="188"/>
      <c r="L15" s="188"/>
      <c r="M15" s="188"/>
      <c r="N15" s="188"/>
      <c r="O15" s="188"/>
      <c r="P15" s="188"/>
      <c r="Q15" s="188"/>
      <c r="R15" s="188"/>
      <c r="S15" s="188"/>
      <c r="T15" s="188"/>
      <c r="U15" s="188"/>
      <c r="V15" s="188"/>
    </row>
    <row r="16" spans="1:22" ht="14.25">
      <c r="A16" s="3841"/>
      <c r="B16" s="3829"/>
      <c r="C16" s="3779"/>
      <c r="D16" s="3780"/>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838" t="s">
        <v>762</v>
      </c>
      <c r="F18" s="3839"/>
      <c r="G18" s="3839"/>
      <c r="H18" s="3839"/>
      <c r="I18" s="3839"/>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147850</v>
      </c>
      <c r="D19" s="2469">
        <f ca="1">SUMIF(INDIRECT("'"&amp;D4&amp;"'"&amp;"!A:A"),结果表!B19,INDIRECT("'"&amp;D4&amp;"'"&amp;"!B:B"))</f>
        <v>157357</v>
      </c>
      <c r="E19" s="2466" t="s">
        <v>765</v>
      </c>
      <c r="F19" s="2467" t="s">
        <v>764</v>
      </c>
      <c r="G19" s="2470">
        <f ca="1">ROUND(C19*$C$18+D19*$D$18,0)</f>
        <v>152604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8529</v>
      </c>
      <c r="D20" s="2475">
        <f ca="1">SUMIF(INDIRECT("'"&amp;D4&amp;"'"&amp;"!A:A"),结果表!B20,INDIRECT("'"&amp;D4&amp;"'"&amp;"!B:B"))</f>
        <v>9077</v>
      </c>
      <c r="E20" s="2472"/>
      <c r="F20" s="2473" t="s">
        <v>259</v>
      </c>
      <c r="G20" s="2476">
        <f ca="1">ROUND(C20*$C$18+D20*$D$18,0)</f>
        <v>8803</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26606</v>
      </c>
      <c r="D21" s="2479">
        <f ca="1">SUMIF(INDIRECT("'"&amp;D4&amp;"'"&amp;"!A:A"),结果表!B21,INDIRECT("'"&amp;D4&amp;"'"&amp;"!B:B"))</f>
        <v>28317</v>
      </c>
      <c r="E21" s="2472"/>
      <c r="F21" s="2477" t="s">
        <v>247</v>
      </c>
      <c r="G21" s="2480">
        <f ca="1">ROUND(C21*$C$18+D21*$D$18,0)</f>
        <v>27462</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6.4301657084883335E-2</v>
      </c>
      <c r="E22" s="1081"/>
      <c r="F22" s="2486"/>
      <c r="G22" s="2487">
        <f ca="1">ROUND(G19/('数据-汇总表'!D3/666.67),0)</f>
        <v>1831</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1"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42"/>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出让国有建设用地使用权价格：152604万元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大写金额：人民币壹拾伍亿贰仟陆佰零肆万元整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单位面积地价：27461元/平方米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楼面地价：8803元/平方米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抵押价格：150383万元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大写金额：人民币壹拾伍亿零叁佰捌拾叁万元整</v>
      </c>
      <c r="L30" s="2483"/>
      <c r="M30" s="2483"/>
      <c r="N30" s="2483"/>
      <c r="O30" s="2481"/>
      <c r="P30" s="188"/>
      <c r="V30" s="188"/>
    </row>
    <row r="31" spans="1:26" ht="24" customHeight="1">
      <c r="A31" s="3840" t="s">
        <v>778</v>
      </c>
      <c r="B31" s="3840"/>
      <c r="C31" s="3840"/>
      <c r="D31" s="3840"/>
      <c r="E31" s="3840"/>
      <c r="F31" s="3840"/>
      <c r="G31" s="3840"/>
      <c r="H31" s="3840"/>
      <c r="I31" s="3840"/>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152604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8803</v>
      </c>
      <c r="D33" s="2506" t="s">
        <v>784</v>
      </c>
      <c r="E33" s="3781"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27461</v>
      </c>
      <c r="D34" s="2512" t="s">
        <v>784</v>
      </c>
      <c r="E34" s="3782"/>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1831</v>
      </c>
      <c r="D35" s="2517" t="s">
        <v>789</v>
      </c>
      <c r="E35" s="3783"/>
      <c r="F35" s="2518" t="s">
        <v>790</v>
      </c>
      <c r="G35" s="2519">
        <f>D27</f>
        <v>2221</v>
      </c>
      <c r="H35" s="2520" t="s">
        <v>791</v>
      </c>
      <c r="I35" s="121"/>
      <c r="J35" s="188"/>
      <c r="K35" s="3761" t="s">
        <v>792</v>
      </c>
      <c r="L35" s="3761" t="s">
        <v>793</v>
      </c>
      <c r="M35" s="2586" t="s">
        <v>794</v>
      </c>
      <c r="N35" s="3761" t="s">
        <v>795</v>
      </c>
      <c r="O35" s="3761" t="s">
        <v>796</v>
      </c>
      <c r="P35" s="188"/>
      <c r="V35" s="188"/>
    </row>
    <row r="36" spans="1:26" ht="16.5" customHeight="1">
      <c r="A36" s="2521" t="s">
        <v>797</v>
      </c>
      <c r="B36" s="2522" t="s">
        <v>772</v>
      </c>
      <c r="C36" s="2523" t="s">
        <v>773</v>
      </c>
      <c r="D36" s="2523" t="s">
        <v>798</v>
      </c>
      <c r="E36" s="2524" t="s">
        <v>774</v>
      </c>
      <c r="F36" s="121"/>
      <c r="G36" s="121"/>
      <c r="H36" s="121"/>
      <c r="I36" s="121"/>
      <c r="J36" s="2587"/>
      <c r="K36" s="3762"/>
      <c r="L36" s="3762"/>
      <c r="M36" s="2588" t="s">
        <v>799</v>
      </c>
      <c r="N36" s="3762"/>
      <c r="O36" s="3762"/>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763"/>
      <c r="L37" s="3763"/>
      <c r="M37" s="2589"/>
      <c r="N37" s="3763"/>
      <c r="O37" s="3763"/>
      <c r="P37" s="188"/>
      <c r="V37" s="188"/>
    </row>
    <row r="38" spans="1:26" ht="16.5" customHeight="1">
      <c r="A38" s="2525" t="s">
        <v>801</v>
      </c>
      <c r="B38" s="2526"/>
      <c r="C38" s="2495"/>
      <c r="D38" s="2495"/>
      <c r="E38" s="2496"/>
      <c r="F38" s="121"/>
      <c r="G38" s="121"/>
      <c r="H38" s="121"/>
      <c r="I38" s="121"/>
      <c r="J38" s="2587"/>
      <c r="K38" s="2590">
        <f>'数据-汇总表'!D3</f>
        <v>55570.2</v>
      </c>
      <c r="L38" s="2591">
        <f>'数据-汇总表'!E3</f>
        <v>173355.13</v>
      </c>
      <c r="M38" s="2591">
        <f ca="1">C34</f>
        <v>27461</v>
      </c>
      <c r="N38" s="2591">
        <f ca="1">C33</f>
        <v>8803</v>
      </c>
      <c r="O38" s="2592">
        <f ca="1">C32</f>
        <v>152604</v>
      </c>
      <c r="P38" s="188"/>
      <c r="V38" s="188"/>
    </row>
    <row r="39" spans="1:26" ht="16.5" customHeight="1">
      <c r="A39" s="2528"/>
      <c r="B39" s="2529"/>
      <c r="C39" s="2499"/>
      <c r="D39" s="2499"/>
      <c r="E39" s="2500"/>
      <c r="F39" s="121"/>
      <c r="G39" s="121"/>
      <c r="H39" s="121"/>
      <c r="I39" s="121"/>
      <c r="J39" s="2587"/>
      <c r="K39" s="3767" t="str">
        <f>MID(A44,3,LEN(A44)-2)</f>
        <v>抵押价格</v>
      </c>
      <c r="L39" s="3768"/>
      <c r="M39" s="3768"/>
      <c r="N39" s="3769"/>
      <c r="O39" s="2593">
        <f ca="1">C44</f>
        <v>150383</v>
      </c>
      <c r="P39" s="188"/>
      <c r="V39" s="188"/>
    </row>
    <row r="40" spans="1:26" ht="18.75">
      <c r="A40" s="2530" t="s">
        <v>802</v>
      </c>
      <c r="B40" s="121"/>
      <c r="C40" s="121"/>
      <c r="D40" s="121"/>
      <c r="E40" s="121"/>
      <c r="F40" s="121"/>
      <c r="G40" s="121"/>
      <c r="H40" s="121"/>
      <c r="I40" s="121"/>
      <c r="J40" s="2587"/>
      <c r="K40" s="3767" t="str">
        <f>MID(A45,3,LEN(A45)-2)</f>
        <v/>
      </c>
      <c r="L40" s="3768"/>
      <c r="M40" s="3768"/>
      <c r="N40" s="3769"/>
      <c r="O40" s="2593" t="str">
        <f>C45</f>
        <v>——</v>
      </c>
      <c r="P40" s="188"/>
      <c r="V40" s="188"/>
    </row>
    <row r="41" spans="1:26" ht="15.75">
      <c r="A41" s="2531" t="s">
        <v>803</v>
      </c>
      <c r="B41" s="2532"/>
      <c r="C41" s="2533" t="s">
        <v>804</v>
      </c>
      <c r="D41" s="2534" t="s">
        <v>805</v>
      </c>
      <c r="E41" s="2534" t="s">
        <v>806</v>
      </c>
      <c r="F41" s="2535" t="s">
        <v>807</v>
      </c>
      <c r="G41" s="121"/>
      <c r="H41" s="121"/>
      <c r="I41" s="121"/>
      <c r="J41" s="2587"/>
      <c r="K41" s="3767" t="str">
        <f>MID(A46,3,LEN(A46)-2)</f>
        <v/>
      </c>
      <c r="L41" s="3768"/>
      <c r="M41" s="3768"/>
      <c r="N41" s="3769"/>
      <c r="O41" s="2593" t="str">
        <f>C46</f>
        <v>——</v>
      </c>
      <c r="P41" s="188"/>
      <c r="V41" s="188"/>
    </row>
    <row r="42" spans="1:26" ht="29.25">
      <c r="A42" s="3823" t="s">
        <v>808</v>
      </c>
      <c r="B42" s="3824"/>
      <c r="C42" s="2460">
        <f ca="1">C32</f>
        <v>152604</v>
      </c>
      <c r="D42" s="2536">
        <f ca="1">C33</f>
        <v>8803</v>
      </c>
      <c r="E42" s="2536">
        <f ca="1">C34</f>
        <v>27461</v>
      </c>
      <c r="F42" s="2537">
        <f ca="1">C35</f>
        <v>1831</v>
      </c>
      <c r="G42" s="121"/>
      <c r="H42" s="121"/>
      <c r="I42" s="2594"/>
      <c r="J42" s="2587"/>
      <c r="K42" s="2595" t="s">
        <v>809</v>
      </c>
      <c r="L42" s="2596" t="s">
        <v>810</v>
      </c>
      <c r="M42" s="2597" t="s">
        <v>811</v>
      </c>
      <c r="N42" s="2598" t="s">
        <v>812</v>
      </c>
      <c r="O42" s="2599" t="s">
        <v>813</v>
      </c>
      <c r="P42" s="188"/>
      <c r="V42" s="188"/>
    </row>
    <row r="43" spans="1:26" ht="30">
      <c r="A43" s="3830" t="s">
        <v>814</v>
      </c>
      <c r="B43" s="3831"/>
      <c r="C43" s="2460">
        <f>IF(H33="正常操作",G33+G34+G35,G34+G35)</f>
        <v>2221</v>
      </c>
      <c r="D43" s="2536" t="s">
        <v>138</v>
      </c>
      <c r="E43" s="2536" t="s">
        <v>138</v>
      </c>
      <c r="F43" s="2537" t="s">
        <v>138</v>
      </c>
      <c r="G43" s="2538" t="s">
        <v>138</v>
      </c>
      <c r="H43" s="121"/>
      <c r="I43" s="2594"/>
      <c r="J43" s="2587"/>
      <c r="K43" s="2600" t="str">
        <f>C4</f>
        <v>比较法-住宅、综合</v>
      </c>
      <c r="L43" s="2601">
        <f ca="1">IF(L42="估价结果/万元",C19,C20)</f>
        <v>147850</v>
      </c>
      <c r="M43" s="2602">
        <f>C18</f>
        <v>0.5</v>
      </c>
      <c r="N43" s="2603">
        <f ca="1">IF(N42="测算结果/万元",G19,G20)</f>
        <v>152604</v>
      </c>
      <c r="O43" s="2604">
        <f ca="1">IF(O42="最终结果/万元",C32,C33)</f>
        <v>152604</v>
      </c>
      <c r="P43" s="188"/>
      <c r="V43" s="188"/>
    </row>
    <row r="44" spans="1:26" ht="30">
      <c r="A44" s="3823" t="str">
        <f>IF(OR(项目基本情况!E8="抵押价格",项目基本情况!E8="已注销及未注销"),"3.抵押价格","——")</f>
        <v>3.抵押价格</v>
      </c>
      <c r="B44" s="3824"/>
      <c r="C44" s="2460">
        <f ca="1">IF(A44="——","——",C42-C43)</f>
        <v>150383</v>
      </c>
      <c r="D44" s="2536">
        <f ca="1">ROUND(C44*10000/'数据-汇总表'!E3,0)</f>
        <v>8675</v>
      </c>
      <c r="E44" s="2536">
        <f ca="1">ROUND(C44*10000/'数据-汇总表'!D3,0)</f>
        <v>27062</v>
      </c>
      <c r="F44" s="2537">
        <f ca="1">ROUND(C44/('数据-汇总表'!D3/666.67),0)</f>
        <v>1804</v>
      </c>
      <c r="G44" s="121"/>
      <c r="H44" s="121"/>
      <c r="I44" s="2594"/>
      <c r="J44" s="2587"/>
      <c r="K44" s="2605" t="str">
        <f>D4</f>
        <v>剩余法-待开发</v>
      </c>
      <c r="L44" s="2606">
        <f ca="1">IF(L42="估价结果/万元",D19,D20)</f>
        <v>157357</v>
      </c>
      <c r="M44" s="2607">
        <f>D18</f>
        <v>0.5</v>
      </c>
      <c r="N44" s="2608"/>
      <c r="O44" s="2609"/>
      <c r="P44" s="188"/>
      <c r="V44" s="188"/>
    </row>
    <row r="45" spans="1:26" ht="15">
      <c r="A45" s="3825" t="str">
        <f>IF(项目基本情况!E8="已注销及未注销","4.抵押担保权已注销时的抵押价格",IF(项目基本情况!E8="已注销","3.抵押担保权已注销时的抵押价格","——"))</f>
        <v>——</v>
      </c>
      <c r="B45" s="3826"/>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27" t="str">
        <f>IF(项目基本情况!E9="抵押净值",IF(A45="——","4.抵押净值","5.抵押净值"),"——")</f>
        <v>——</v>
      </c>
      <c r="B46" s="3828"/>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本次评估估价师知悉的法定优先受偿款为人民币2221万元整。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814" t="s">
        <v>823</v>
      </c>
      <c r="B63" s="3815"/>
      <c r="C63" s="3816"/>
      <c r="D63" s="730">
        <f ca="1">ROUND(C42*F63,0)</f>
        <v>152604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17" t="s">
        <v>826</v>
      </c>
      <c r="B64" s="3818"/>
      <c r="C64" s="3818"/>
      <c r="D64" s="3818"/>
      <c r="E64" s="3818"/>
      <c r="F64" s="3818"/>
      <c r="G64" s="3819"/>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20" t="s">
        <v>834</v>
      </c>
      <c r="B66" s="3803"/>
      <c r="C66" s="3803"/>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21" t="s">
        <v>836</v>
      </c>
      <c r="M66" s="3822"/>
      <c r="N66" s="2732"/>
      <c r="O66" s="2733"/>
      <c r="P66" s="2734"/>
      <c r="Q66" s="188"/>
      <c r="R66" s="188"/>
      <c r="S66" s="188"/>
      <c r="T66" s="188"/>
      <c r="U66" s="188"/>
      <c r="V66" s="188"/>
    </row>
    <row r="67" spans="1:22" ht="25.5" customHeight="1">
      <c r="A67" s="2627" t="s">
        <v>837</v>
      </c>
      <c r="B67" s="3795" t="s">
        <v>838</v>
      </c>
      <c r="C67" s="3795"/>
      <c r="D67" s="2628">
        <v>0</v>
      </c>
      <c r="E67" s="2629" t="s">
        <v>839</v>
      </c>
      <c r="F67" s="2630" t="s">
        <v>138</v>
      </c>
      <c r="G67" s="3784"/>
      <c r="H67" s="2632" t="s">
        <v>840</v>
      </c>
      <c r="I67" s="2735"/>
      <c r="J67" s="2736"/>
      <c r="K67" s="2737">
        <v>2</v>
      </c>
      <c r="L67" s="3811" t="s">
        <v>841</v>
      </c>
      <c r="M67" s="3811"/>
      <c r="N67" s="2738">
        <f>'数据-取费表'!B2</f>
        <v>45316</v>
      </c>
      <c r="O67" s="2738"/>
      <c r="P67" s="2738"/>
      <c r="Q67" s="188"/>
      <c r="R67" s="188"/>
      <c r="S67" s="188"/>
      <c r="T67" s="188"/>
      <c r="U67" s="188"/>
      <c r="V67" s="188"/>
    </row>
    <row r="68" spans="1:22" ht="25.5" customHeight="1">
      <c r="A68" s="2633"/>
      <c r="B68" s="3795" t="s">
        <v>842</v>
      </c>
      <c r="C68" s="3795"/>
      <c r="D68" s="2634"/>
      <c r="E68" s="2635"/>
      <c r="F68" s="2636"/>
      <c r="G68" s="3785"/>
      <c r="H68" s="2637" t="s">
        <v>843</v>
      </c>
      <c r="I68" s="2735"/>
      <c r="J68" s="2736"/>
      <c r="K68" s="2737">
        <v>3</v>
      </c>
      <c r="L68" s="3811" t="s">
        <v>844</v>
      </c>
      <c r="M68" s="3811"/>
      <c r="N68" s="2739">
        <f ca="1">C42</f>
        <v>152604</v>
      </c>
      <c r="O68" s="2739"/>
      <c r="P68" s="2739"/>
      <c r="Q68" s="188"/>
      <c r="R68" s="188"/>
      <c r="S68" s="188"/>
      <c r="T68" s="188"/>
      <c r="U68" s="188"/>
      <c r="V68" s="188"/>
    </row>
    <row r="69" spans="1:22" ht="23.45" customHeight="1">
      <c r="A69" s="2638"/>
      <c r="B69" s="3795" t="s">
        <v>845</v>
      </c>
      <c r="C69" s="3795"/>
      <c r="D69" s="2639"/>
      <c r="E69" s="2640"/>
      <c r="F69" s="2636"/>
      <c r="G69" s="3786"/>
      <c r="H69" s="2637" t="s">
        <v>846</v>
      </c>
      <c r="I69" s="2735"/>
      <c r="J69" s="2736"/>
      <c r="K69" s="2740">
        <v>4</v>
      </c>
      <c r="L69" s="3812" t="s">
        <v>847</v>
      </c>
      <c r="M69" s="3813"/>
      <c r="N69" s="2741">
        <f ca="1">C44</f>
        <v>150383</v>
      </c>
      <c r="O69" s="2741"/>
      <c r="P69" s="2741"/>
      <c r="Q69" s="188"/>
      <c r="R69" s="188"/>
      <c r="S69" s="188"/>
      <c r="T69" s="188"/>
      <c r="U69" s="188"/>
      <c r="V69" s="188"/>
    </row>
    <row r="70" spans="1:22" ht="24" customHeight="1">
      <c r="A70" s="2642" t="s">
        <v>848</v>
      </c>
      <c r="B70" s="3795" t="s">
        <v>849</v>
      </c>
      <c r="C70" s="3795"/>
      <c r="D70" s="2639">
        <f ca="1">ROUND(D63*'数据-取费表'!B41/(1+'数据-取费表'!C42),0)</f>
        <v>7994</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794" t="s">
        <v>852</v>
      </c>
      <c r="C71" s="3809"/>
      <c r="D71" s="2639">
        <f ca="1">ROUND(D63*'数据-取费表'!B41/(1+'数据-取费表'!C42),0)</f>
        <v>7994</v>
      </c>
      <c r="E71" s="130" t="s">
        <v>850</v>
      </c>
      <c r="F71" s="2643">
        <f>'数据-取费表'!B41</f>
        <v>5.5E-2</v>
      </c>
      <c r="G71" s="2644"/>
      <c r="H71" s="121"/>
      <c r="I71" s="2742"/>
      <c r="J71" s="2736"/>
      <c r="K71" s="2747" t="s">
        <v>853</v>
      </c>
      <c r="L71" s="3810" t="s">
        <v>828</v>
      </c>
      <c r="M71" s="3810"/>
      <c r="N71" s="2747" t="s">
        <v>854</v>
      </c>
      <c r="O71" s="2747" t="s">
        <v>855</v>
      </c>
      <c r="P71" s="2747" t="s">
        <v>831</v>
      </c>
      <c r="Q71" s="188"/>
      <c r="R71" s="188"/>
      <c r="S71" s="188"/>
      <c r="T71" s="188"/>
      <c r="U71" s="188"/>
      <c r="V71" s="188"/>
    </row>
    <row r="72" spans="1:22" ht="12" customHeight="1">
      <c r="A72" s="2642" t="s">
        <v>856</v>
      </c>
      <c r="B72" s="3794" t="s">
        <v>857</v>
      </c>
      <c r="C72" s="3809"/>
      <c r="D72" s="2639">
        <f ca="1">C86</f>
        <v>7994</v>
      </c>
      <c r="E72" s="2640" t="s">
        <v>858</v>
      </c>
      <c r="F72" s="2643">
        <f>'数据-取费表'!B41</f>
        <v>5.5E-2</v>
      </c>
      <c r="G72" s="2644"/>
      <c r="H72" s="2645"/>
      <c r="I72" s="2742"/>
      <c r="J72" s="2736"/>
      <c r="K72" s="2737">
        <v>1</v>
      </c>
      <c r="L72" s="3770" t="s">
        <v>859</v>
      </c>
      <c r="M72" s="3770"/>
      <c r="N72" s="2749" t="b">
        <f>D66</f>
        <v>0</v>
      </c>
      <c r="O72" s="2748" t="str">
        <f>E66</f>
        <v>销售额×税（费）率</v>
      </c>
      <c r="P72" s="2750">
        <f>F66</f>
        <v>5.5E-2</v>
      </c>
      <c r="Q72" s="188"/>
      <c r="R72" s="188"/>
      <c r="S72" s="188"/>
      <c r="T72" s="188"/>
      <c r="U72" s="188"/>
      <c r="V72" s="188"/>
    </row>
    <row r="73" spans="1:22" ht="24" customHeight="1">
      <c r="A73" s="3802" t="s">
        <v>860</v>
      </c>
      <c r="B73" s="3803"/>
      <c r="C73" s="3803"/>
      <c r="D73" s="2646">
        <f ca="1">IF(H73="个人住宅",0,ROUND(D63*I73,0))</f>
        <v>76</v>
      </c>
      <c r="E73" s="130" t="s">
        <v>861</v>
      </c>
      <c r="F73" s="2643" t="str">
        <f>IF(H73="正常",I73,"免征")</f>
        <v>免征</v>
      </c>
      <c r="G73" s="2644"/>
      <c r="H73" s="2626"/>
      <c r="I73" s="2643">
        <f>'数据-取费表'!B49</f>
        <v>5.0000000000000001E-4</v>
      </c>
      <c r="J73" s="2736"/>
      <c r="K73" s="2737">
        <v>2</v>
      </c>
      <c r="L73" s="3770" t="s">
        <v>862</v>
      </c>
      <c r="M73" s="3770"/>
      <c r="N73" s="2749">
        <f t="shared" ref="N73:P74" ca="1" si="0">D73</f>
        <v>76</v>
      </c>
      <c r="O73" s="2748" t="str">
        <f t="shared" si="0"/>
        <v>销售额×税（费）率</v>
      </c>
      <c r="P73" s="2750" t="str">
        <f t="shared" si="0"/>
        <v>免征</v>
      </c>
      <c r="Q73" s="188"/>
      <c r="R73" s="188"/>
      <c r="S73" s="188"/>
      <c r="T73" s="188"/>
      <c r="U73" s="188"/>
      <c r="V73" s="188"/>
    </row>
    <row r="74" spans="1:22" ht="24.75">
      <c r="A74" s="3802" t="s">
        <v>863</v>
      </c>
      <c r="B74" s="3803"/>
      <c r="C74" s="3803"/>
      <c r="D74" s="2646">
        <f ca="1">IF(H74="个人住宅",D75,D76)</f>
        <v>86512</v>
      </c>
      <c r="E74" s="130" t="s">
        <v>864</v>
      </c>
      <c r="F74" s="2643" t="str">
        <f>IF(H74="正常",F76,"免征")</f>
        <v>免征</v>
      </c>
      <c r="G74" s="2647" t="s">
        <v>835</v>
      </c>
      <c r="H74" s="2648"/>
      <c r="I74" s="2650"/>
      <c r="J74" s="2736"/>
      <c r="K74" s="2737">
        <v>3</v>
      </c>
      <c r="L74" s="3770" t="s">
        <v>865</v>
      </c>
      <c r="M74" s="3770"/>
      <c r="N74" s="2749">
        <f t="shared" ca="1" si="0"/>
        <v>86512</v>
      </c>
      <c r="O74" s="2748" t="str">
        <f t="shared" si="0"/>
        <v>增值额×税（费）率</v>
      </c>
      <c r="P74" s="2751" t="str">
        <f t="shared" si="0"/>
        <v>免征</v>
      </c>
      <c r="Q74" s="188"/>
      <c r="R74" s="188"/>
      <c r="S74" s="188"/>
      <c r="T74" s="188"/>
      <c r="U74" s="188"/>
      <c r="V74" s="188"/>
    </row>
    <row r="75" spans="1:22" ht="12.75">
      <c r="A75" s="2642" t="s">
        <v>837</v>
      </c>
      <c r="B75" s="3804" t="s">
        <v>866</v>
      </c>
      <c r="C75" s="3805"/>
      <c r="D75" s="2649">
        <v>0</v>
      </c>
      <c r="E75" s="2629" t="s">
        <v>839</v>
      </c>
      <c r="F75" s="84"/>
      <c r="G75" s="2644"/>
      <c r="H75" s="2650"/>
      <c r="I75" s="2650"/>
      <c r="J75" s="2736"/>
      <c r="K75" s="2737">
        <f>IF(H77="非个人房产","",4)</f>
        <v>4</v>
      </c>
      <c r="L75" s="3770" t="str">
        <f>IF(H77="非个人房产","——","个人所得税")</f>
        <v>个人所得税</v>
      </c>
      <c r="M75" s="3770"/>
      <c r="N75" s="2752">
        <f>D77</f>
        <v>0</v>
      </c>
      <c r="O75" s="2753" t="str">
        <f>E77</f>
        <v>差额计税</v>
      </c>
      <c r="P75" s="2754">
        <f>F77</f>
        <v>0.01</v>
      </c>
      <c r="Q75" s="188"/>
      <c r="R75" s="188"/>
      <c r="S75" s="188"/>
      <c r="T75" s="188"/>
      <c r="U75" s="188"/>
      <c r="V75" s="188"/>
    </row>
    <row r="76" spans="1:22" ht="24.75">
      <c r="A76" s="2642" t="s">
        <v>848</v>
      </c>
      <c r="B76" s="3804" t="s">
        <v>867</v>
      </c>
      <c r="C76" s="3806"/>
      <c r="D76" s="2646">
        <f ca="1">IF(H76="转让取得",C99,C115)</f>
        <v>86512</v>
      </c>
      <c r="E76" s="130" t="s">
        <v>864</v>
      </c>
      <c r="F76" s="127" t="s">
        <v>138</v>
      </c>
      <c r="G76" s="2644"/>
      <c r="H76" s="2648"/>
      <c r="I76" s="2650"/>
      <c r="J76" s="2736"/>
      <c r="K76" s="2737" t="str">
        <f>IF(项目基本情况!K6="上海银行",IF(K75="",4,K75+1),"")</f>
        <v/>
      </c>
      <c r="L76" s="3807" t="str">
        <f>IF(项目基本情况!K6="上海银行","其他处置费用","")</f>
        <v/>
      </c>
      <c r="M76" s="3808"/>
      <c r="N76" s="2749" t="str">
        <f>IF(项目基本情况!K6="上海银行",N89,"")</f>
        <v/>
      </c>
      <c r="O76" s="3771" t="str">
        <f>IF(项目基本情况!K6="上海银行","包含处置中涉及的律师、诉讼、拍卖、评估等费用","")</f>
        <v/>
      </c>
      <c r="P76" s="3772"/>
      <c r="Q76" s="188"/>
      <c r="R76" s="188"/>
      <c r="S76" s="188"/>
      <c r="T76" s="188"/>
      <c r="U76" s="188"/>
      <c r="V76" s="188"/>
    </row>
    <row r="77" spans="1:22" ht="24">
      <c r="A77" s="3797" t="s">
        <v>868</v>
      </c>
      <c r="B77" s="3798"/>
      <c r="C77" s="3798"/>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764">
        <f>IF(AND(K75="",K76=""),4,IF(项目基本情况!K6="上海银行",K76+1,K75+1))</f>
        <v>5</v>
      </c>
      <c r="L77" s="3770" t="s">
        <v>518</v>
      </c>
      <c r="M77" s="2757" t="s">
        <v>870</v>
      </c>
      <c r="N77" s="2758"/>
      <c r="O77" s="2759">
        <f ca="1">SUMIF(N72:N76,"&lt;9e307")</f>
        <v>86588</v>
      </c>
      <c r="P77" s="2760"/>
      <c r="Q77" s="2782">
        <f ca="1">O77/N69</f>
        <v>0.57578316698031029</v>
      </c>
      <c r="R77" s="188"/>
      <c r="S77" s="188"/>
      <c r="T77" s="188"/>
      <c r="U77" s="188"/>
      <c r="V77" s="188"/>
    </row>
    <row r="78" spans="1:22" ht="12" customHeight="1">
      <c r="A78" s="2656"/>
      <c r="B78" s="121"/>
      <c r="C78" s="121"/>
      <c r="D78" s="121"/>
      <c r="E78" s="2650"/>
      <c r="F78" s="2650"/>
      <c r="G78" s="2650"/>
      <c r="H78" s="2657"/>
      <c r="I78" s="121"/>
      <c r="J78" s="2736"/>
      <c r="K78" s="3764"/>
      <c r="L78" s="3770"/>
      <c r="M78" s="2757" t="s">
        <v>871</v>
      </c>
      <c r="N78" s="2758"/>
      <c r="O78" s="2759" t="str">
        <f ca="1">NUMBERSTRING(INT(O77*10000),2)&amp;"元整"</f>
        <v>捌亿陆仟伍佰捌拾捌万元整</v>
      </c>
      <c r="P78" s="2760"/>
      <c r="Q78" s="188"/>
      <c r="R78" s="188"/>
      <c r="S78" s="188"/>
      <c r="T78" s="188"/>
      <c r="U78" s="188"/>
      <c r="V78" s="188"/>
    </row>
    <row r="79" spans="1:22" ht="12.75">
      <c r="A79" s="3799" t="s">
        <v>872</v>
      </c>
      <c r="B79" s="3799"/>
      <c r="C79" s="3799"/>
      <c r="D79" s="3799"/>
      <c r="E79" s="3799"/>
      <c r="F79" s="2650"/>
      <c r="G79" s="2650"/>
      <c r="H79" s="2657"/>
      <c r="I79" s="121"/>
      <c r="J79" s="2736"/>
      <c r="K79" s="3765">
        <f>K77+1</f>
        <v>6</v>
      </c>
      <c r="L79" s="3770" t="s">
        <v>873</v>
      </c>
      <c r="M79" s="2757" t="s">
        <v>870</v>
      </c>
      <c r="N79" s="2758"/>
      <c r="O79" s="2759">
        <f ca="1">N69-O77</f>
        <v>63795</v>
      </c>
      <c r="P79" s="2760"/>
      <c r="Q79" s="188"/>
      <c r="R79" s="188"/>
      <c r="S79" s="188"/>
      <c r="T79" s="188"/>
      <c r="U79" s="188"/>
      <c r="V79" s="188"/>
    </row>
    <row r="80" spans="1:22" ht="25.5">
      <c r="A80" s="3789" t="s">
        <v>874</v>
      </c>
      <c r="B80" s="3790"/>
      <c r="C80" s="2658"/>
      <c r="D80" s="2658" t="s">
        <v>875</v>
      </c>
      <c r="E80" s="2659" t="s">
        <v>832</v>
      </c>
      <c r="F80" s="2650"/>
      <c r="G80" s="2650"/>
      <c r="H80" s="2657"/>
      <c r="I80" s="121"/>
      <c r="J80" s="188"/>
      <c r="K80" s="3766"/>
      <c r="L80" s="3770"/>
      <c r="M80" s="2757" t="s">
        <v>871</v>
      </c>
      <c r="N80" s="2758"/>
      <c r="O80" s="2759" t="str">
        <f ca="1">NUMBERSTRING(INT(O79*10000),2)&amp;"元整"</f>
        <v>陆亿叁仟柒佰玖拾伍万元整</v>
      </c>
      <c r="P80" s="2760"/>
      <c r="Q80" s="188"/>
      <c r="R80" s="188"/>
      <c r="S80" s="188"/>
      <c r="T80" s="188"/>
      <c r="U80" s="188"/>
      <c r="V80" s="188"/>
    </row>
    <row r="81" spans="1:26" ht="12.75">
      <c r="A81" s="2660" t="s">
        <v>876</v>
      </c>
      <c r="B81" s="2661" t="s">
        <v>877</v>
      </c>
      <c r="C81" s="2662">
        <f ca="1">ROUND((C82+C83)/(1+'数据-取费表'!C42),0)</f>
        <v>145337</v>
      </c>
      <c r="D81" s="2663"/>
      <c r="E81" s="2664"/>
      <c r="F81" s="2650"/>
      <c r="G81" s="2650"/>
      <c r="H81" s="2657"/>
      <c r="I81" s="121"/>
      <c r="J81" s="188"/>
      <c r="K81" s="2737">
        <f>K79+1</f>
        <v>7</v>
      </c>
      <c r="L81" s="3800" t="s">
        <v>878</v>
      </c>
      <c r="M81" s="3801"/>
      <c r="N81" s="2761"/>
      <c r="O81" s="2762">
        <f ca="1">ROUND(O79*10000/'数据-汇总表'!E3,0)</f>
        <v>3680</v>
      </c>
      <c r="P81" s="2763"/>
      <c r="Q81" s="188"/>
      <c r="R81" s="188"/>
      <c r="S81" s="188"/>
      <c r="T81" s="188"/>
      <c r="U81" s="188"/>
      <c r="V81" s="188"/>
    </row>
    <row r="82" spans="1:26" ht="12.75">
      <c r="A82" s="1071" t="s">
        <v>879</v>
      </c>
      <c r="B82" s="2665" t="s">
        <v>880</v>
      </c>
      <c r="C82" s="2666">
        <f ca="1">D63</f>
        <v>152604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793" t="s">
        <v>883</v>
      </c>
      <c r="L83" s="2764" t="s">
        <v>884</v>
      </c>
      <c r="M83" s="2765">
        <f ca="1">IF(N69&gt;10000,N69*0.5%,IF(AND(N69&gt;1000,N69&lt;=10000),N69*1%,IF(AND(N69&gt;100,N69&lt;=1000),N69*3%,IF(AND(N69&gt;10,N69&lt;=100),N69*5%,N69*8%))))</f>
        <v>751.91499999999996</v>
      </c>
      <c r="N83" s="127">
        <f ca="1">ROUND(M83,1)</f>
        <v>751.9</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793"/>
      <c r="L84" s="2764" t="s">
        <v>888</v>
      </c>
      <c r="M84" s="2765">
        <f ca="1">IF(N69&gt;2000,N69*0.5%,IF(AND(N69&gt;1000,N69&lt;=2000),N69*0.6%,IF(AND(N69&gt;500,N69&lt;=1000),N69*0.7%,IF(AND(N69&gt;200,N69&lt;=500),N69*0.8%,IF(AND(N69&gt;100,N69&lt;=200),N69*0.9%,IF(AND(N69&gt;50,N69&lt;=100),N69*1%,IF(AND(N69&gt;20,N69&lt;=50),N69*1.5%,IF(AND(N69&gt;10,N69&lt;=20),N69*2%,IF(AND(N69&gt;1,N69&lt;=10),N69*2.5%)))))))))</f>
        <v>751.91499999999996</v>
      </c>
      <c r="N84" s="127">
        <f ca="1">ROUND(M84,1)</f>
        <v>751.9</v>
      </c>
      <c r="O84" s="188" t="s">
        <v>889</v>
      </c>
      <c r="P84" s="188"/>
      <c r="Q84" s="188"/>
      <c r="R84" s="188"/>
      <c r="S84" s="188"/>
      <c r="T84" s="188"/>
      <c r="U84" s="188"/>
      <c r="V84" s="188"/>
    </row>
    <row r="85" spans="1:26" ht="12.75">
      <c r="A85" s="2660" t="s">
        <v>890</v>
      </c>
      <c r="B85" s="2669" t="s">
        <v>891</v>
      </c>
      <c r="C85" s="2673">
        <f ca="1">C81-C84</f>
        <v>145337</v>
      </c>
      <c r="D85" s="1999" t="s">
        <v>138</v>
      </c>
      <c r="E85" s="2667"/>
      <c r="F85" s="2650"/>
      <c r="G85" s="2650"/>
      <c r="H85" s="2657"/>
      <c r="I85" s="121"/>
      <c r="J85" s="188"/>
      <c r="K85" s="3793"/>
      <c r="L85" s="2764" t="s">
        <v>892</v>
      </c>
      <c r="M85" s="2765">
        <f ca="1">IF(N69&gt;1000,N69*0.1%,IF(AND(N69&gt;500,N69&lt;=1000),N69*0.5%,IF(AND(N69&gt;50,N69&lt;=500),N69*1%,IF(AND(N69&gt;1,N69&lt;=50),N69*1.5%))))</f>
        <v>150.38300000000001</v>
      </c>
      <c r="N85" s="127">
        <f ca="1">ROUND(M85,1)</f>
        <v>150.4</v>
      </c>
      <c r="O85" s="188" t="s">
        <v>889</v>
      </c>
      <c r="P85" s="188"/>
      <c r="Q85" s="188"/>
      <c r="R85" s="188"/>
      <c r="S85" s="188"/>
      <c r="T85" s="188"/>
      <c r="U85" s="188"/>
      <c r="V85" s="188"/>
    </row>
    <row r="86" spans="1:26" ht="12.75">
      <c r="A86" s="2674" t="s">
        <v>893</v>
      </c>
      <c r="B86" s="2675" t="s">
        <v>894</v>
      </c>
      <c r="C86" s="2676">
        <f ca="1">IF(C85&lt;=0,0,ROUND(C85*D86,0))</f>
        <v>7994</v>
      </c>
      <c r="D86" s="2677">
        <f>'数据-取费表'!B41</f>
        <v>5.5E-2</v>
      </c>
      <c r="E86" s="2678"/>
      <c r="F86" s="2650"/>
      <c r="G86" s="2650"/>
      <c r="H86" s="2657"/>
      <c r="I86" s="121"/>
      <c r="J86" s="188"/>
      <c r="K86" s="3793"/>
      <c r="L86" s="2764" t="s">
        <v>895</v>
      </c>
      <c r="M86" s="2765">
        <f ca="1">N69*0.5%</f>
        <v>751.91499999999996</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793"/>
      <c r="L87" s="2764" t="s">
        <v>897</v>
      </c>
      <c r="M87" s="2765">
        <f ca="1">IF(N69&gt;=10000,(8.25+(N69-10000)*0.01%),IF(AND(N69&gt;=8000,N69&lt;10000),(7.85+(N69-8000)*0.02%),IF(AND(N69&gt;=5000,N69&lt;8000),(6.65+(N69-5000)*0.04%),IF(AND(N69&gt;=2000,N69&lt;5000),(4.25+(PN69-2000)*0.08%),IF(AND(N69&gt;=1000,N69&lt;2000),(2.75+(N69-1000)*0.15%),IF(AND(N69&gt;=100,N69&lt;1000),(0.5+(N69-100)*0.25%),IF(AND(N69&gt;0,N69&lt;100),N69*0.5%)))))))</f>
        <v>22.2883</v>
      </c>
      <c r="N87" s="127">
        <f ca="1">ROUND(M87*0.9,1)</f>
        <v>20.100000000000001</v>
      </c>
      <c r="O87" s="2766"/>
      <c r="P87" s="188"/>
      <c r="Q87" s="188"/>
      <c r="R87" s="188"/>
      <c r="S87" s="188"/>
      <c r="T87" s="188"/>
      <c r="U87" s="188"/>
      <c r="V87" s="188"/>
      <c r="W87" s="1087"/>
      <c r="X87" s="1087"/>
      <c r="Y87" s="1087"/>
      <c r="Z87" s="1087"/>
    </row>
    <row r="88" spans="1:26" s="2449" customFormat="1" ht="14.25">
      <c r="A88" s="3787" t="s">
        <v>898</v>
      </c>
      <c r="B88" s="3788"/>
      <c r="C88" s="3788"/>
      <c r="D88" s="3788"/>
      <c r="E88" s="3788"/>
      <c r="F88" s="3788"/>
      <c r="G88" s="3788"/>
      <c r="H88" s="3788"/>
      <c r="I88" s="2767"/>
      <c r="J88" s="2768"/>
      <c r="K88" s="3793"/>
      <c r="L88" s="2764" t="s">
        <v>899</v>
      </c>
      <c r="M88" s="2765">
        <f ca="1">IF(N69&gt;10000,N69*0.5%,IF(AND(N69&gt;5000,N69&lt;=10000),N69*1%,IF(AND(N69&gt;1000,N69&lt;=5000),N69*2%,IF(AND(N69&gt;200,N69&lt;=1000),N69*3%,N69*5%))))</f>
        <v>751.91499999999996</v>
      </c>
      <c r="N88" s="127">
        <f ca="1">ROUND(M88,1)</f>
        <v>751.9</v>
      </c>
      <c r="O88" s="2766"/>
      <c r="P88" s="2769"/>
      <c r="Q88" s="2769"/>
      <c r="R88" s="2769"/>
      <c r="S88" s="2769"/>
      <c r="T88" s="2769"/>
      <c r="U88" s="2769"/>
      <c r="V88" s="2769"/>
      <c r="W88" s="2783"/>
      <c r="X88" s="2783"/>
      <c r="Y88" s="2783"/>
      <c r="Z88" s="2783"/>
    </row>
    <row r="89" spans="1:26" s="2449" customFormat="1" ht="14.25">
      <c r="A89" s="3789" t="s">
        <v>874</v>
      </c>
      <c r="B89" s="3790"/>
      <c r="C89" s="2658"/>
      <c r="D89" s="2658" t="s">
        <v>875</v>
      </c>
      <c r="E89" s="2684" t="s">
        <v>832</v>
      </c>
      <c r="F89" s="2685"/>
      <c r="G89" s="2685"/>
      <c r="H89" s="2686"/>
      <c r="I89" s="2770"/>
      <c r="J89" s="2771"/>
      <c r="K89" s="3793"/>
      <c r="L89" s="2764" t="s">
        <v>900</v>
      </c>
      <c r="M89" s="2772"/>
      <c r="N89" s="127">
        <f ca="1">ROUND(SUM(N83:N88),0)</f>
        <v>2427</v>
      </c>
      <c r="O89" s="2773">
        <f ca="1">N89/N69</f>
        <v>1.6138792283702279E-2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145337</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727</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794" t="s">
        <v>910</v>
      </c>
      <c r="F94" s="3795"/>
      <c r="G94" s="3795"/>
      <c r="H94" s="3796"/>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727</v>
      </c>
      <c r="D96" s="2699">
        <f>'数据-取费表'!B43</f>
        <v>5.0000000000000001E-3</v>
      </c>
      <c r="E96" s="3773" t="s">
        <v>915</v>
      </c>
      <c r="F96" s="3774"/>
      <c r="G96" s="3774"/>
      <c r="H96" s="3775"/>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144610</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198.9133425034388</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86512</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787" t="s">
        <v>920</v>
      </c>
      <c r="B101" s="3788"/>
      <c r="C101" s="3788"/>
      <c r="D101" s="3788"/>
      <c r="E101" s="3788"/>
      <c r="F101" s="3788"/>
      <c r="G101" s="3788"/>
      <c r="H101" s="3788"/>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789" t="s">
        <v>874</v>
      </c>
      <c r="B102" s="3790"/>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145337</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727</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791" t="s">
        <v>928</v>
      </c>
      <c r="H108" s="3792"/>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776" t="s">
        <v>932</v>
      </c>
      <c r="F109" s="3774"/>
      <c r="G109" s="3774"/>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776" t="s">
        <v>935</v>
      </c>
      <c r="F110" s="3774"/>
      <c r="G110" s="3774"/>
      <c r="H110" s="3775"/>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727</v>
      </c>
      <c r="D111" s="2699">
        <f>'数据-取费表'!B43</f>
        <v>5.0000000000000001E-3</v>
      </c>
      <c r="E111" s="3773" t="s">
        <v>915</v>
      </c>
      <c r="F111" s="3774"/>
      <c r="G111" s="3774"/>
      <c r="H111" s="3775"/>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776" t="s">
        <v>940</v>
      </c>
      <c r="F112" s="3774"/>
      <c r="G112" s="3774"/>
      <c r="H112" s="3775"/>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144610</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198.9133425034388</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86512</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72" t="str">
        <f>项目基本情况!B1</f>
        <v>北京市出让国有建设用地使用权抵押价格预评估</v>
      </c>
      <c r="C37" s="3672"/>
      <c r="D37" s="3672"/>
      <c r="E37" s="3672"/>
      <c r="F37" s="3672"/>
      <c r="G37" s="3672"/>
      <c r="H37" s="3672"/>
      <c r="I37" s="3672"/>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84321</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2530</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1968</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173355.13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93551</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3276</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11394</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43" t="s">
        <v>982</v>
      </c>
      <c r="B24" s="3844"/>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43" t="s">
        <v>983</v>
      </c>
      <c r="B25" s="3844"/>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43" t="s">
        <v>984</v>
      </c>
      <c r="B26" s="3844"/>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45" t="s">
        <v>985</v>
      </c>
      <c r="B27" s="3846"/>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147850</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8529</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26606</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1774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83" t="s">
        <v>994</v>
      </c>
      <c r="D6" s="3884"/>
      <c r="E6" s="3883" t="s">
        <v>995</v>
      </c>
      <c r="F6" s="3884"/>
      <c r="G6" s="3883" t="s">
        <v>996</v>
      </c>
      <c r="H6" s="3884"/>
      <c r="I6" s="3883" t="s">
        <v>997</v>
      </c>
      <c r="J6" s="3884"/>
      <c r="K6" s="388" t="s">
        <v>998</v>
      </c>
      <c r="L6" s="389"/>
      <c r="M6" s="385"/>
      <c r="N6" s="385"/>
      <c r="O6" s="390"/>
      <c r="P6" s="3860" t="s">
        <v>999</v>
      </c>
      <c r="Q6" s="3861"/>
      <c r="R6" s="3851" t="s">
        <v>995</v>
      </c>
      <c r="S6" s="3852"/>
      <c r="T6" s="3851" t="s">
        <v>996</v>
      </c>
      <c r="U6" s="3852"/>
      <c r="V6" s="3866" t="s">
        <v>997</v>
      </c>
      <c r="W6" s="3866"/>
      <c r="X6" s="460"/>
      <c r="Y6" s="3851" t="s">
        <v>999</v>
      </c>
      <c r="Z6" s="3852"/>
      <c r="AA6" s="3857" t="s">
        <v>995</v>
      </c>
      <c r="AB6" s="3858" t="s">
        <v>996</v>
      </c>
      <c r="AC6" s="3857" t="s">
        <v>997</v>
      </c>
    </row>
    <row r="7" spans="1:30" ht="46.5" customHeight="1">
      <c r="A7" s="225"/>
      <c r="B7" s="226"/>
      <c r="C7" s="3885" t="s">
        <v>1000</v>
      </c>
      <c r="D7" s="3886"/>
      <c r="E7" s="3885" t="str">
        <f>土地案例!A13</f>
        <v>北京市延庆区南辛堡村、民主村、百眼泉村棚户区改造项目YQ00-0309-0007地块R2二类居住用地</v>
      </c>
      <c r="F7" s="3886"/>
      <c r="G7" s="3885" t="str">
        <f>土地案例!A7</f>
        <v>北京市密云区水源路南侧MY00-0104-6016等地块R2二类居住用地</v>
      </c>
      <c r="H7" s="3886"/>
      <c r="I7" s="3885" t="str">
        <f>土地案例!A8</f>
        <v>北京市密云区檀营乡6005地块R2二类居住用地</v>
      </c>
      <c r="J7" s="3886"/>
      <c r="K7" s="388"/>
      <c r="L7" s="389"/>
      <c r="M7" s="385"/>
      <c r="N7" s="385"/>
      <c r="O7" s="390"/>
      <c r="P7" s="3862"/>
      <c r="Q7" s="3863"/>
      <c r="R7" s="3853"/>
      <c r="S7" s="3854"/>
      <c r="T7" s="3853"/>
      <c r="U7" s="3854"/>
      <c r="V7" s="3866"/>
      <c r="W7" s="3866"/>
      <c r="X7" s="460"/>
      <c r="Y7" s="3853"/>
      <c r="Z7" s="3854"/>
      <c r="AA7" s="3858"/>
      <c r="AB7" s="3858"/>
      <c r="AC7" s="3858"/>
    </row>
    <row r="8" spans="1:30" ht="20.25">
      <c r="A8" s="225"/>
      <c r="B8" s="226"/>
      <c r="C8" s="3878" t="s">
        <v>1001</v>
      </c>
      <c r="D8" s="3879"/>
      <c r="E8" s="3878" t="s">
        <v>1001</v>
      </c>
      <c r="F8" s="3879"/>
      <c r="G8" s="3880" t="s">
        <v>1001</v>
      </c>
      <c r="H8" s="3881"/>
      <c r="I8" s="3880" t="s">
        <v>1001</v>
      </c>
      <c r="J8" s="3881"/>
      <c r="K8" s="388" t="s">
        <v>1002</v>
      </c>
      <c r="L8" s="389"/>
      <c r="M8" s="385"/>
      <c r="N8" s="385"/>
      <c r="O8" s="390"/>
      <c r="P8" s="3864"/>
      <c r="Q8" s="3865"/>
      <c r="R8" s="3853"/>
      <c r="S8" s="3854"/>
      <c r="T8" s="3855"/>
      <c r="U8" s="3856"/>
      <c r="V8" s="3866"/>
      <c r="W8" s="3866"/>
      <c r="X8" s="460"/>
      <c r="Y8" s="3855"/>
      <c r="Z8" s="3856"/>
      <c r="AA8" s="3859"/>
      <c r="AB8" s="3859"/>
      <c r="AC8" s="3859"/>
    </row>
    <row r="9" spans="1:30" s="199" customFormat="1" ht="20.25">
      <c r="A9" s="229"/>
      <c r="B9" s="230" t="s">
        <v>1003</v>
      </c>
      <c r="C9" s="2330">
        <f>'数据-取费表'!B2</f>
        <v>45316</v>
      </c>
      <c r="D9" s="232">
        <v>100</v>
      </c>
      <c r="E9" s="233">
        <f>土地案例!AD13</f>
        <v>45147.000497685185</v>
      </c>
      <c r="F9" s="234">
        <f>SUMIF(71:71,YEAR(E9)&amp;"-"&amp;INT((MONTH(E9)+2)/3),72:72)</f>
        <v>99.4</v>
      </c>
      <c r="G9" s="235">
        <f>土地案例!M7</f>
        <v>44554.0004976852</v>
      </c>
      <c r="H9" s="232">
        <f>SUMIF(71:71,YEAR(G9)&amp;"-"&amp;INT((MONTH(G9)+2)/3),72:72)</f>
        <v>97.300000000000026</v>
      </c>
      <c r="I9" s="235">
        <f>土地案例!M8</f>
        <v>44341.0004976852</v>
      </c>
      <c r="J9" s="232">
        <f>SUMIF(71:71,YEAR(I9)&amp;"-"&amp;INT((MONTH(I9)+2)/3),72:72)</f>
        <v>96.700000000000031</v>
      </c>
      <c r="K9" s="391"/>
      <c r="L9" s="392"/>
      <c r="M9" s="385"/>
      <c r="N9" s="385"/>
      <c r="O9" s="393"/>
      <c r="P9" s="3872" t="s">
        <v>1004</v>
      </c>
      <c r="Q9" s="3882"/>
      <c r="R9" s="461" t="s">
        <v>1005</v>
      </c>
      <c r="S9" s="462">
        <f t="shared" ref="S9:S17" si="0">F9</f>
        <v>99.4</v>
      </c>
      <c r="T9" s="461" t="s">
        <v>1005</v>
      </c>
      <c r="U9" s="462">
        <f t="shared" ref="U9:U17" si="1">H9</f>
        <v>97.300000000000026</v>
      </c>
      <c r="V9" s="461" t="s">
        <v>1005</v>
      </c>
      <c r="W9" s="462">
        <f t="shared" ref="W9:W17" si="2">J9</f>
        <v>96.700000000000031</v>
      </c>
      <c r="X9" s="463"/>
      <c r="Y9" s="3872" t="s">
        <v>1004</v>
      </c>
      <c r="Z9" s="3873"/>
      <c r="AA9" s="480">
        <f>D9/F9</f>
        <v>1.0060362173038229</v>
      </c>
      <c r="AB9" s="480">
        <f>D9/H9</f>
        <v>1.0277492291880779</v>
      </c>
      <c r="AC9" s="480">
        <f>D9/J9</f>
        <v>1.0341261633919334</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72" t="s">
        <v>1009</v>
      </c>
      <c r="Q10" s="3873"/>
      <c r="R10" s="461" t="s">
        <v>1005</v>
      </c>
      <c r="S10" s="462">
        <f t="shared" si="0"/>
        <v>100</v>
      </c>
      <c r="T10" s="461" t="s">
        <v>1005</v>
      </c>
      <c r="U10" s="462">
        <f t="shared" si="1"/>
        <v>100</v>
      </c>
      <c r="V10" s="461" t="s">
        <v>1005</v>
      </c>
      <c r="W10" s="462">
        <f t="shared" si="2"/>
        <v>100</v>
      </c>
      <c r="X10" s="463"/>
      <c r="Y10" s="3872" t="s">
        <v>1009</v>
      </c>
      <c r="Z10" s="3873"/>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67" t="s">
        <v>1011</v>
      </c>
      <c r="Q11" s="464" t="str">
        <f t="shared" ref="Q11:Q17" si="6">B11</f>
        <v>用途</v>
      </c>
      <c r="R11" s="461" t="s">
        <v>1005</v>
      </c>
      <c r="S11" s="462">
        <f t="shared" si="0"/>
        <v>100</v>
      </c>
      <c r="T11" s="461" t="s">
        <v>1005</v>
      </c>
      <c r="U11" s="462">
        <f t="shared" si="1"/>
        <v>100</v>
      </c>
      <c r="V11" s="461" t="s">
        <v>1005</v>
      </c>
      <c r="W11" s="462">
        <f t="shared" si="2"/>
        <v>100</v>
      </c>
      <c r="X11" s="463"/>
      <c r="Y11" s="3829"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101</v>
      </c>
      <c r="G12" s="902"/>
      <c r="H12" s="246">
        <f>ROUND(100/'数据-取费表'!G16,0)</f>
        <v>101</v>
      </c>
      <c r="I12" s="902"/>
      <c r="J12" s="246">
        <f>ROUND(100/'数据-取费表'!G16,0)</f>
        <v>101</v>
      </c>
      <c r="K12" s="2288"/>
      <c r="L12" s="396"/>
      <c r="M12" s="385"/>
      <c r="N12" s="385"/>
      <c r="O12" s="398"/>
      <c r="P12" s="3867"/>
      <c r="Q12" s="464" t="str">
        <f t="shared" si="6"/>
        <v>土地使用年限（年）</v>
      </c>
      <c r="R12" s="461" t="s">
        <v>1005</v>
      </c>
      <c r="S12" s="462">
        <f t="shared" si="0"/>
        <v>101</v>
      </c>
      <c r="T12" s="461" t="s">
        <v>1005</v>
      </c>
      <c r="U12" s="462">
        <f t="shared" si="1"/>
        <v>101</v>
      </c>
      <c r="V12" s="461" t="s">
        <v>1005</v>
      </c>
      <c r="W12" s="462">
        <f t="shared" si="2"/>
        <v>101</v>
      </c>
      <c r="X12" s="463"/>
      <c r="Y12" s="3829"/>
      <c r="Z12" s="481" t="str">
        <f t="shared" si="7"/>
        <v>土地使用年限（年）</v>
      </c>
      <c r="AA12" s="480">
        <f t="shared" si="3"/>
        <v>0.99009900990099009</v>
      </c>
      <c r="AB12" s="480">
        <f t="shared" si="4"/>
        <v>0.99009900990099009</v>
      </c>
      <c r="AC12" s="480">
        <f t="shared" si="5"/>
        <v>0.99009900990099009</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67"/>
      <c r="Q13" s="464" t="str">
        <f t="shared" si="6"/>
        <v>容积率</v>
      </c>
      <c r="R13" s="461" t="s">
        <v>1005</v>
      </c>
      <c r="S13" s="462">
        <f t="shared" si="0"/>
        <v>101</v>
      </c>
      <c r="T13" s="461" t="s">
        <v>1005</v>
      </c>
      <c r="U13" s="462">
        <f t="shared" si="1"/>
        <v>100</v>
      </c>
      <c r="V13" s="461" t="s">
        <v>1005</v>
      </c>
      <c r="W13" s="462">
        <f t="shared" si="2"/>
        <v>100</v>
      </c>
      <c r="X13" s="463"/>
      <c r="Y13" s="3829"/>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67"/>
      <c r="Q14" s="464" t="str">
        <f t="shared" si="6"/>
        <v>配建</v>
      </c>
      <c r="R14" s="461" t="s">
        <v>1005</v>
      </c>
      <c r="S14" s="462">
        <f t="shared" si="0"/>
        <v>100</v>
      </c>
      <c r="T14" s="461" t="s">
        <v>1005</v>
      </c>
      <c r="U14" s="462">
        <f t="shared" si="1"/>
        <v>100</v>
      </c>
      <c r="V14" s="461" t="s">
        <v>1005</v>
      </c>
      <c r="W14" s="462">
        <f t="shared" si="2"/>
        <v>100</v>
      </c>
      <c r="X14" s="463"/>
      <c r="Y14" s="3829"/>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67"/>
      <c r="Q15" s="464" t="str">
        <f t="shared" si="6"/>
        <v>限价</v>
      </c>
      <c r="R15" s="461" t="s">
        <v>1005</v>
      </c>
      <c r="S15" s="462">
        <f t="shared" si="0"/>
        <v>100</v>
      </c>
      <c r="T15" s="461" t="s">
        <v>1005</v>
      </c>
      <c r="U15" s="462">
        <f t="shared" si="1"/>
        <v>100</v>
      </c>
      <c r="V15" s="461" t="s">
        <v>1005</v>
      </c>
      <c r="W15" s="462">
        <f t="shared" si="2"/>
        <v>105</v>
      </c>
      <c r="X15" s="463"/>
      <c r="Y15" s="3829"/>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67"/>
      <c r="Q16" s="464">
        <f t="shared" si="6"/>
        <v>111</v>
      </c>
      <c r="R16" s="461" t="s">
        <v>1005</v>
      </c>
      <c r="S16" s="462">
        <f t="shared" si="0"/>
        <v>100</v>
      </c>
      <c r="T16" s="461" t="s">
        <v>1005</v>
      </c>
      <c r="U16" s="462">
        <f t="shared" si="1"/>
        <v>100</v>
      </c>
      <c r="V16" s="461" t="s">
        <v>1005</v>
      </c>
      <c r="W16" s="462">
        <f t="shared" si="2"/>
        <v>100</v>
      </c>
      <c r="X16" s="463"/>
      <c r="Y16" s="3829"/>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4" t="s">
        <v>1017</v>
      </c>
      <c r="Q17" s="395" t="str">
        <f t="shared" si="6"/>
        <v>居住社区成熟度</v>
      </c>
      <c r="R17" s="465" t="s">
        <v>1005</v>
      </c>
      <c r="S17" s="466">
        <f t="shared" si="0"/>
        <v>102</v>
      </c>
      <c r="T17" s="465" t="s">
        <v>1005</v>
      </c>
      <c r="U17" s="466">
        <f t="shared" si="1"/>
        <v>102</v>
      </c>
      <c r="V17" s="465" t="s">
        <v>1005</v>
      </c>
      <c r="W17" s="466">
        <f t="shared" si="2"/>
        <v>102</v>
      </c>
      <c r="X17" s="460"/>
      <c r="Y17" s="3874"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5"/>
      <c r="Q18" s="395"/>
      <c r="R18" s="465"/>
      <c r="S18" s="466"/>
      <c r="T18" s="465"/>
      <c r="U18" s="466"/>
      <c r="V18" s="465"/>
      <c r="W18" s="466"/>
      <c r="X18" s="460"/>
      <c r="Y18" s="3875"/>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5"/>
      <c r="Q19" s="395" t="str">
        <f>B19</f>
        <v>商业繁华度</v>
      </c>
      <c r="R19" s="465" t="s">
        <v>1005</v>
      </c>
      <c r="S19" s="466">
        <f>F19</f>
        <v>100</v>
      </c>
      <c r="T19" s="465" t="s">
        <v>1005</v>
      </c>
      <c r="U19" s="466">
        <f>H19</f>
        <v>100</v>
      </c>
      <c r="V19" s="465" t="s">
        <v>1005</v>
      </c>
      <c r="W19" s="466">
        <f>J19</f>
        <v>100</v>
      </c>
      <c r="X19" s="460"/>
      <c r="Y19" s="3875"/>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5"/>
      <c r="Q20" s="395"/>
      <c r="R20" s="465"/>
      <c r="S20" s="466"/>
      <c r="T20" s="465"/>
      <c r="U20" s="466"/>
      <c r="V20" s="465"/>
      <c r="W20" s="466"/>
      <c r="X20" s="460"/>
      <c r="Y20" s="3875"/>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5"/>
      <c r="Q21" s="395" t="str">
        <f>B21</f>
        <v>办公集聚程度</v>
      </c>
      <c r="R21" s="465" t="s">
        <v>1005</v>
      </c>
      <c r="S21" s="466">
        <f>F21</f>
        <v>100</v>
      </c>
      <c r="T21" s="465" t="s">
        <v>1005</v>
      </c>
      <c r="U21" s="466">
        <f>H21</f>
        <v>100</v>
      </c>
      <c r="V21" s="465" t="s">
        <v>1005</v>
      </c>
      <c r="W21" s="466">
        <f>J21</f>
        <v>100</v>
      </c>
      <c r="X21" s="460"/>
      <c r="Y21" s="3875"/>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5"/>
      <c r="Q22" s="395"/>
      <c r="R22" s="465"/>
      <c r="S22" s="466"/>
      <c r="T22" s="465"/>
      <c r="U22" s="466"/>
      <c r="V22" s="465"/>
      <c r="W22" s="466"/>
      <c r="X22" s="460"/>
      <c r="Y22" s="3875"/>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5"/>
      <c r="Q23" s="395" t="str">
        <f>B23</f>
        <v>交通便捷度</v>
      </c>
      <c r="R23" s="465" t="s">
        <v>1005</v>
      </c>
      <c r="S23" s="466">
        <f>F23</f>
        <v>100</v>
      </c>
      <c r="T23" s="465" t="s">
        <v>1005</v>
      </c>
      <c r="U23" s="466">
        <f>H23</f>
        <v>100</v>
      </c>
      <c r="V23" s="465" t="s">
        <v>1005</v>
      </c>
      <c r="W23" s="466">
        <f>J23</f>
        <v>100</v>
      </c>
      <c r="X23" s="460"/>
      <c r="Y23" s="3875"/>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5"/>
      <c r="Q24" s="395"/>
      <c r="R24" s="465"/>
      <c r="S24" s="466"/>
      <c r="T24" s="465"/>
      <c r="U24" s="466"/>
      <c r="V24" s="465"/>
      <c r="W24" s="466"/>
      <c r="X24" s="460"/>
      <c r="Y24" s="3875"/>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5"/>
      <c r="Q25" s="395" t="str">
        <f t="shared" ref="Q25:Q40" si="8">B25</f>
        <v>区域土地利用方向</v>
      </c>
      <c r="R25" s="465" t="s">
        <v>1005</v>
      </c>
      <c r="S25" s="466">
        <f>F25</f>
        <v>100</v>
      </c>
      <c r="T25" s="465" t="s">
        <v>1005</v>
      </c>
      <c r="U25" s="466">
        <f>H25</f>
        <v>100</v>
      </c>
      <c r="V25" s="465" t="s">
        <v>1005</v>
      </c>
      <c r="W25" s="466">
        <f>J25</f>
        <v>100</v>
      </c>
      <c r="X25" s="460"/>
      <c r="Y25" s="3875"/>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5"/>
      <c r="Q26" s="395"/>
      <c r="R26" s="465"/>
      <c r="S26" s="466"/>
      <c r="T26" s="465"/>
      <c r="U26" s="466"/>
      <c r="V26" s="465"/>
      <c r="W26" s="466"/>
      <c r="X26" s="460"/>
      <c r="Y26" s="3875"/>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5"/>
      <c r="Q27" s="395" t="str">
        <f t="shared" si="8"/>
        <v>自然及人文环境状况</v>
      </c>
      <c r="R27" s="465" t="s">
        <v>1005</v>
      </c>
      <c r="S27" s="466">
        <f>F27</f>
        <v>102</v>
      </c>
      <c r="T27" s="465" t="s">
        <v>1005</v>
      </c>
      <c r="U27" s="466">
        <f>H27</f>
        <v>100</v>
      </c>
      <c r="V27" s="465" t="s">
        <v>1005</v>
      </c>
      <c r="W27" s="466">
        <f>J27</f>
        <v>100</v>
      </c>
      <c r="X27" s="460"/>
      <c r="Y27" s="3875"/>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5"/>
      <c r="Q28" s="395"/>
      <c r="R28" s="465"/>
      <c r="S28" s="466"/>
      <c r="T28" s="465"/>
      <c r="U28" s="466"/>
      <c r="V28" s="465"/>
      <c r="W28" s="466"/>
      <c r="X28" s="460"/>
      <c r="Y28" s="3875"/>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5"/>
      <c r="Q29" s="464" t="str">
        <f t="shared" si="8"/>
        <v>公共配套设施</v>
      </c>
      <c r="R29" s="461" t="s">
        <v>1005</v>
      </c>
      <c r="S29" s="462">
        <f>F29</f>
        <v>102</v>
      </c>
      <c r="T29" s="461" t="s">
        <v>1005</v>
      </c>
      <c r="U29" s="462">
        <f>H29</f>
        <v>102</v>
      </c>
      <c r="V29" s="461" t="s">
        <v>1005</v>
      </c>
      <c r="W29" s="462">
        <f>J29</f>
        <v>102</v>
      </c>
      <c r="X29" s="463"/>
      <c r="Y29" s="3875"/>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5"/>
      <c r="Q30" s="464"/>
      <c r="R30" s="461"/>
      <c r="S30" s="462"/>
      <c r="T30" s="461"/>
      <c r="U30" s="462"/>
      <c r="V30" s="461"/>
      <c r="W30" s="462"/>
      <c r="X30" s="463"/>
      <c r="Y30" s="3875"/>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5"/>
      <c r="Q31" s="464" t="str">
        <f>B31</f>
        <v>基础设施水平</v>
      </c>
      <c r="R31" s="461" t="s">
        <v>1005</v>
      </c>
      <c r="S31" s="462">
        <f>F31</f>
        <v>100</v>
      </c>
      <c r="T31" s="461" t="s">
        <v>1005</v>
      </c>
      <c r="U31" s="462">
        <f>H31</f>
        <v>100</v>
      </c>
      <c r="V31" s="461" t="s">
        <v>1005</v>
      </c>
      <c r="W31" s="462">
        <f>J31</f>
        <v>100</v>
      </c>
      <c r="X31" s="463"/>
      <c r="Y31" s="3875"/>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5"/>
      <c r="Q32" s="464"/>
      <c r="R32" s="461"/>
      <c r="S32" s="462"/>
      <c r="T32" s="461"/>
      <c r="U32" s="462"/>
      <c r="V32" s="461"/>
      <c r="W32" s="462"/>
      <c r="X32" s="463"/>
      <c r="Y32" s="3875"/>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5"/>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5"/>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5"/>
      <c r="Q34" s="395" t="str">
        <f t="shared" si="8"/>
        <v>毗邻道路的类型与等级</v>
      </c>
      <c r="R34" s="465" t="s">
        <v>1005</v>
      </c>
      <c r="S34" s="466">
        <f t="shared" si="9"/>
        <v>99</v>
      </c>
      <c r="T34" s="465" t="s">
        <v>1005</v>
      </c>
      <c r="U34" s="466">
        <f t="shared" si="10"/>
        <v>99</v>
      </c>
      <c r="V34" s="465" t="s">
        <v>1005</v>
      </c>
      <c r="W34" s="466">
        <f t="shared" si="11"/>
        <v>99</v>
      </c>
      <c r="X34" s="460"/>
      <c r="Y34" s="3875"/>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5"/>
      <c r="Q35" s="395"/>
      <c r="R35" s="465"/>
      <c r="S35" s="466"/>
      <c r="T35" s="465"/>
      <c r="U35" s="466"/>
      <c r="V35" s="465"/>
      <c r="W35" s="466"/>
      <c r="X35" s="460"/>
      <c r="Y35" s="3875"/>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5"/>
      <c r="Q36" s="395" t="str">
        <f t="shared" si="8"/>
        <v>土地级别</v>
      </c>
      <c r="R36" s="465" t="s">
        <v>1005</v>
      </c>
      <c r="S36" s="466">
        <f t="shared" si="9"/>
        <v>100</v>
      </c>
      <c r="T36" s="465" t="s">
        <v>1005</v>
      </c>
      <c r="U36" s="466">
        <f t="shared" si="10"/>
        <v>100</v>
      </c>
      <c r="V36" s="465" t="s">
        <v>1005</v>
      </c>
      <c r="W36" s="466">
        <f t="shared" si="11"/>
        <v>100</v>
      </c>
      <c r="X36" s="460"/>
      <c r="Y36" s="3875"/>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5"/>
      <c r="Q37" s="395">
        <f t="shared" si="8"/>
        <v>111</v>
      </c>
      <c r="R37" s="465" t="s">
        <v>1005</v>
      </c>
      <c r="S37" s="466">
        <f t="shared" si="9"/>
        <v>100</v>
      </c>
      <c r="T37" s="465" t="s">
        <v>1005</v>
      </c>
      <c r="U37" s="466">
        <f t="shared" si="10"/>
        <v>100</v>
      </c>
      <c r="V37" s="465" t="s">
        <v>1005</v>
      </c>
      <c r="W37" s="466">
        <f t="shared" si="11"/>
        <v>100</v>
      </c>
      <c r="X37" s="460"/>
      <c r="Y37" s="3875"/>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6" t="s">
        <v>1028</v>
      </c>
      <c r="Q38" s="395">
        <f t="shared" si="8"/>
        <v>111</v>
      </c>
      <c r="R38" s="465" t="s">
        <v>1005</v>
      </c>
      <c r="S38" s="466">
        <f t="shared" si="9"/>
        <v>100</v>
      </c>
      <c r="T38" s="465" t="s">
        <v>1005</v>
      </c>
      <c r="U38" s="466">
        <f t="shared" si="10"/>
        <v>100</v>
      </c>
      <c r="V38" s="465" t="s">
        <v>1005</v>
      </c>
      <c r="W38" s="466">
        <f t="shared" si="11"/>
        <v>100</v>
      </c>
      <c r="X38" s="460"/>
      <c r="Y38" s="3877"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7"/>
      <c r="Q39" s="395">
        <f t="shared" si="8"/>
        <v>111</v>
      </c>
      <c r="R39" s="468" t="s">
        <v>1005</v>
      </c>
      <c r="S39" s="469">
        <f t="shared" si="9"/>
        <v>100</v>
      </c>
      <c r="T39" s="468" t="s">
        <v>1005</v>
      </c>
      <c r="U39" s="469">
        <f t="shared" si="10"/>
        <v>100</v>
      </c>
      <c r="V39" s="468" t="s">
        <v>1005</v>
      </c>
      <c r="W39" s="469">
        <f t="shared" si="11"/>
        <v>100</v>
      </c>
      <c r="X39" s="470"/>
      <c r="Y39" s="3877"/>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7"/>
      <c r="Q40" s="395" t="str">
        <f t="shared" si="8"/>
        <v>宗地面积</v>
      </c>
      <c r="R40" s="465" t="s">
        <v>1005</v>
      </c>
      <c r="S40" s="466">
        <f t="shared" si="9"/>
        <v>98</v>
      </c>
      <c r="T40" s="465" t="s">
        <v>1005</v>
      </c>
      <c r="U40" s="466">
        <f t="shared" si="10"/>
        <v>98</v>
      </c>
      <c r="V40" s="465" t="s">
        <v>1005</v>
      </c>
      <c r="W40" s="466">
        <f t="shared" si="11"/>
        <v>100</v>
      </c>
      <c r="X40" s="460"/>
      <c r="Y40" s="3877"/>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7"/>
      <c r="Q41" s="395" t="str">
        <f t="shared" ref="Q41:Q47" si="13">B41</f>
        <v>宗地形状</v>
      </c>
      <c r="R41" s="465" t="s">
        <v>1005</v>
      </c>
      <c r="S41" s="466">
        <f t="shared" si="9"/>
        <v>100</v>
      </c>
      <c r="T41" s="465" t="s">
        <v>1005</v>
      </c>
      <c r="U41" s="466">
        <f t="shared" si="10"/>
        <v>100</v>
      </c>
      <c r="V41" s="465" t="s">
        <v>1005</v>
      </c>
      <c r="W41" s="466">
        <f t="shared" si="11"/>
        <v>100</v>
      </c>
      <c r="X41" s="460"/>
      <c r="Y41" s="3877"/>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77"/>
      <c r="Q42" s="395" t="str">
        <f t="shared" si="13"/>
        <v>临街宽度及深度</v>
      </c>
      <c r="R42" s="465" t="s">
        <v>1005</v>
      </c>
      <c r="S42" s="466">
        <f t="shared" si="9"/>
        <v>100</v>
      </c>
      <c r="T42" s="465" t="s">
        <v>1005</v>
      </c>
      <c r="U42" s="466">
        <f t="shared" si="10"/>
        <v>100</v>
      </c>
      <c r="V42" s="465" t="s">
        <v>1005</v>
      </c>
      <c r="W42" s="466">
        <f t="shared" si="11"/>
        <v>100</v>
      </c>
      <c r="X42" s="460"/>
      <c r="Y42" s="3877"/>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7"/>
      <c r="Q43" s="395" t="str">
        <f t="shared" si="13"/>
        <v>宗地开发程度</v>
      </c>
      <c r="R43" s="461" t="s">
        <v>1005</v>
      </c>
      <c r="S43" s="462">
        <f t="shared" si="9"/>
        <v>99</v>
      </c>
      <c r="T43" s="461" t="s">
        <v>1005</v>
      </c>
      <c r="U43" s="462">
        <f t="shared" si="10"/>
        <v>99</v>
      </c>
      <c r="V43" s="461" t="s">
        <v>1005</v>
      </c>
      <c r="W43" s="462">
        <f t="shared" si="11"/>
        <v>99</v>
      </c>
      <c r="X43" s="463"/>
      <c r="Y43" s="3877"/>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7" t="s">
        <v>1028</v>
      </c>
      <c r="Q44" s="395" t="str">
        <f t="shared" si="13"/>
        <v>工程地质条件</v>
      </c>
      <c r="R44" s="465" t="s">
        <v>1005</v>
      </c>
      <c r="S44" s="466">
        <f t="shared" si="9"/>
        <v>100</v>
      </c>
      <c r="T44" s="465" t="s">
        <v>1005</v>
      </c>
      <c r="U44" s="466">
        <f t="shared" si="10"/>
        <v>100</v>
      </c>
      <c r="V44" s="465" t="s">
        <v>1005</v>
      </c>
      <c r="W44" s="466">
        <f t="shared" si="11"/>
        <v>100</v>
      </c>
      <c r="X44" s="460"/>
      <c r="Y44" s="3877"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7"/>
      <c r="Q45" s="395">
        <f t="shared" si="13"/>
        <v>111</v>
      </c>
      <c r="R45" s="465" t="s">
        <v>1005</v>
      </c>
      <c r="S45" s="466">
        <f t="shared" si="9"/>
        <v>100</v>
      </c>
      <c r="T45" s="465" t="s">
        <v>1005</v>
      </c>
      <c r="U45" s="466">
        <f t="shared" si="10"/>
        <v>100</v>
      </c>
      <c r="V45" s="465" t="s">
        <v>1005</v>
      </c>
      <c r="W45" s="466">
        <f t="shared" si="11"/>
        <v>100</v>
      </c>
      <c r="X45" s="460"/>
      <c r="Y45" s="3877"/>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7"/>
      <c r="Q46" s="395">
        <f t="shared" si="13"/>
        <v>111</v>
      </c>
      <c r="R46" s="465" t="s">
        <v>1005</v>
      </c>
      <c r="S46" s="466">
        <f t="shared" si="9"/>
        <v>100</v>
      </c>
      <c r="T46" s="465" t="s">
        <v>1005</v>
      </c>
      <c r="U46" s="466">
        <f t="shared" si="10"/>
        <v>100</v>
      </c>
      <c r="V46" s="465" t="s">
        <v>1005</v>
      </c>
      <c r="W46" s="466">
        <f t="shared" si="11"/>
        <v>100</v>
      </c>
      <c r="X46" s="460"/>
      <c r="Y46" s="3877"/>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7"/>
      <c r="Q47" s="395">
        <f t="shared" si="13"/>
        <v>111</v>
      </c>
      <c r="R47" s="468" t="s">
        <v>1005</v>
      </c>
      <c r="S47" s="469">
        <f t="shared" si="9"/>
        <v>100</v>
      </c>
      <c r="T47" s="468" t="s">
        <v>1005</v>
      </c>
      <c r="U47" s="469">
        <f t="shared" si="10"/>
        <v>100</v>
      </c>
      <c r="V47" s="468" t="s">
        <v>1005</v>
      </c>
      <c r="W47" s="469">
        <f t="shared" si="11"/>
        <v>100</v>
      </c>
      <c r="X47" s="470"/>
      <c r="Y47" s="3877"/>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67" t="str">
        <f>A48</f>
        <v>成交单价</v>
      </c>
      <c r="Q48" s="3867"/>
      <c r="R48" s="3866">
        <f>E48</f>
        <v>12711</v>
      </c>
      <c r="S48" s="3866"/>
      <c r="T48" s="3866">
        <f>G48</f>
        <v>10339</v>
      </c>
      <c r="U48" s="3866"/>
      <c r="V48" s="3866">
        <f>I48</f>
        <v>14893</v>
      </c>
      <c r="W48" s="3866"/>
      <c r="X48" s="342"/>
      <c r="Y48" s="483"/>
      <c r="Z48" s="342"/>
      <c r="AA48" s="342"/>
      <c r="AB48" s="342"/>
      <c r="AC48" s="342"/>
    </row>
    <row r="49" spans="1:29" ht="20.25">
      <c r="A49" s="320" t="s">
        <v>1037</v>
      </c>
      <c r="B49" s="2250"/>
      <c r="C49" s="2251">
        <f>R50</f>
        <v>12263</v>
      </c>
      <c r="D49" s="323" t="s">
        <v>1038</v>
      </c>
      <c r="E49" s="2251">
        <f>R49</f>
        <v>12299</v>
      </c>
      <c r="F49" s="325">
        <v>0</v>
      </c>
      <c r="G49" s="2252">
        <f>T49</f>
        <v>10528</v>
      </c>
      <c r="H49" s="325">
        <v>0</v>
      </c>
      <c r="I49" s="2251">
        <f>V49</f>
        <v>13963</v>
      </c>
      <c r="J49" s="325">
        <v>0</v>
      </c>
      <c r="K49" s="2294">
        <f>F49+H49+J49</f>
        <v>0</v>
      </c>
      <c r="L49" s="410"/>
      <c r="M49" s="385"/>
      <c r="N49" s="385"/>
      <c r="O49" s="340"/>
      <c r="P49" s="3867" t="str">
        <f>A49</f>
        <v>比较价格（元/平方米）</v>
      </c>
      <c r="Q49" s="3867"/>
      <c r="R49" s="3868">
        <f>ROUND(PRODUCT(R48,AA9:AA47),0)</f>
        <v>12299</v>
      </c>
      <c r="S49" s="3868"/>
      <c r="T49" s="3868">
        <f>ROUND(PRODUCT(T48,AB9:AB47),0)</f>
        <v>10528</v>
      </c>
      <c r="U49" s="3868"/>
      <c r="V49" s="3868">
        <f>ROUND(PRODUCT(V48,AC9:AC47),0)</f>
        <v>13963</v>
      </c>
      <c r="W49" s="3868"/>
      <c r="X49" s="342"/>
      <c r="Y49" s="342"/>
      <c r="Z49" s="342"/>
      <c r="AA49" s="342"/>
      <c r="AB49" s="342"/>
      <c r="AC49" s="342"/>
    </row>
    <row r="50" spans="1:29" ht="20.25">
      <c r="A50" s="326" t="s">
        <v>1039</v>
      </c>
      <c r="B50" s="327"/>
      <c r="C50" s="2253">
        <f>R50</f>
        <v>12263</v>
      </c>
      <c r="D50" s="2253"/>
      <c r="E50" s="2253"/>
      <c r="F50" s="2253"/>
      <c r="G50" s="2253"/>
      <c r="H50" s="2253"/>
      <c r="I50" s="2253"/>
      <c r="J50" s="2253"/>
      <c r="K50" s="2295"/>
      <c r="L50" s="410"/>
      <c r="M50" s="385"/>
      <c r="N50" s="385"/>
      <c r="O50" s="340"/>
      <c r="P50" s="3869" t="str">
        <f>A50</f>
        <v>估价对象XX用房的比较价格（楼面单价，元/平方米）</v>
      </c>
      <c r="Q50" s="3870"/>
      <c r="R50" s="3871">
        <f>ROUND(IF(D49="简单平均",AVERAGE(R49:W49),R49*F49+T49*H49+V49*J49),0)</f>
        <v>12263</v>
      </c>
      <c r="S50" s="3871"/>
      <c r="T50" s="3871"/>
      <c r="U50" s="3871"/>
      <c r="V50" s="3871"/>
      <c r="W50" s="3871"/>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3.3498658427514538E-2</v>
      </c>
      <c r="F53" s="334" t="str">
        <f>IF(OR(E53&gt;=0.3,E53&lt;=-0.3),"超过30%","")</f>
        <v/>
      </c>
      <c r="G53" s="333">
        <f>IF(G48&lt;G49,G49/G48-1,G48/G49-1)</f>
        <v>1.8280297901150933E-2</v>
      </c>
      <c r="H53" s="334" t="str">
        <f>IF(OR(G53&gt;=0.3,G53&lt;=-0.3),"超过30%","")</f>
        <v/>
      </c>
      <c r="I53" s="333">
        <f>IF(I48&lt;I49,I49/I48-1,I48/I49-1)</f>
        <v>6.6604597865788095E-2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0.16821808510638303</v>
      </c>
      <c r="F54" s="334" t="str">
        <f>IF(OR(E54&gt;=0.2,E54&lt;=-0.2),"超过20%","")</f>
        <v/>
      </c>
      <c r="G54" s="333">
        <f>IF(G49&lt;I49,I49/G49-1,G49/I49-1)</f>
        <v>0.32627279635258355</v>
      </c>
      <c r="H54" s="334" t="str">
        <f>IF(OR(G54&gt;=0.2,G54&lt;=-0.2),"超过20%","")</f>
        <v>超过20%</v>
      </c>
      <c r="I54" s="333">
        <f>IF(I49&lt;E49,E49/I49-1,I49/E49-1)</f>
        <v>0.13529555248394187</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47" t="s">
        <v>1049</v>
      </c>
      <c r="H57" s="3848"/>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12263</v>
      </c>
      <c r="C58" s="2263">
        <v>1</v>
      </c>
      <c r="D58" s="2264">
        <v>1</v>
      </c>
      <c r="E58" s="2263">
        <f>'数据-汇总表'!E8+'数据-汇总表'!E9</f>
        <v>119343.97</v>
      </c>
      <c r="F58" s="2344">
        <f t="shared" ref="F58:F66" si="14">ROUND(B58*E58/10000,0)</f>
        <v>146352</v>
      </c>
      <c r="G58" s="3849"/>
      <c r="H58" s="3850"/>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1533</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613</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613</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613</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613</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307</v>
      </c>
      <c r="C64" s="1999">
        <f t="shared" si="15"/>
        <v>0.1</v>
      </c>
      <c r="D64" s="2268">
        <v>0.25</v>
      </c>
      <c r="E64" s="2275">
        <f>'数据-汇总表'!E13</f>
        <v>46155.06</v>
      </c>
      <c r="F64" s="2344">
        <f t="shared" si="14"/>
        <v>1417</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307</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307</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166058.27000000002</v>
      </c>
      <c r="F67" s="2282">
        <f>IF(B48="楼面地价",SUM(F58:F66),ROUND(C50*E67/10000,0))</f>
        <v>147850</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2024-1-1</v>
      </c>
      <c r="D69" s="2285">
        <f>EDATE(C69,-3)</f>
        <v>45200</v>
      </c>
      <c r="E69" s="2285">
        <f t="shared" ref="E69:N69" si="17">EDATE(D69,-3)</f>
        <v>45108</v>
      </c>
      <c r="F69" s="2285">
        <f t="shared" si="17"/>
        <v>45017</v>
      </c>
      <c r="G69" s="2285">
        <f t="shared" si="17"/>
        <v>44927</v>
      </c>
      <c r="H69" s="2285">
        <f t="shared" si="17"/>
        <v>44835</v>
      </c>
      <c r="I69" s="2285">
        <f t="shared" si="17"/>
        <v>44743</v>
      </c>
      <c r="J69" s="2285">
        <f t="shared" si="17"/>
        <v>44652</v>
      </c>
      <c r="K69" s="2285">
        <f t="shared" si="17"/>
        <v>44562</v>
      </c>
      <c r="L69" s="2285">
        <f t="shared" si="17"/>
        <v>44470</v>
      </c>
      <c r="M69" s="2285">
        <f t="shared" si="17"/>
        <v>44378</v>
      </c>
      <c r="N69" s="2285">
        <f t="shared" si="17"/>
        <v>44287</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2024-1</v>
      </c>
      <c r="D71" s="2306" t="str">
        <f>YEAR(D69)&amp;"-"&amp;ROUNDUP(MONTH(D69)/3,0)</f>
        <v>2023-4</v>
      </c>
      <c r="E71" s="2306" t="str">
        <f t="shared" ref="E71:N71" si="18">YEAR(E69)&amp;"-"&amp;ROUNDUP(MONTH(E69)/3,0)</f>
        <v>2023-3</v>
      </c>
      <c r="F71" s="2306" t="str">
        <f t="shared" si="18"/>
        <v>2023-2</v>
      </c>
      <c r="G71" s="2306" t="str">
        <f t="shared" si="18"/>
        <v>2023-1</v>
      </c>
      <c r="H71" s="2306" t="str">
        <f t="shared" si="18"/>
        <v>2022-4</v>
      </c>
      <c r="I71" s="2306" t="str">
        <f t="shared" si="18"/>
        <v>2022-3</v>
      </c>
      <c r="J71" s="2306" t="str">
        <f t="shared" si="18"/>
        <v>2022-2</v>
      </c>
      <c r="K71" s="2306" t="str">
        <f t="shared" si="18"/>
        <v>2022-1</v>
      </c>
      <c r="L71" s="2306" t="str">
        <f t="shared" si="18"/>
        <v>2021-4</v>
      </c>
      <c r="M71" s="2306" t="str">
        <f t="shared" si="18"/>
        <v>2021-3</v>
      </c>
      <c r="N71" s="2306" t="str">
        <f t="shared" si="18"/>
        <v>2021-2</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83" t="s">
        <v>994</v>
      </c>
      <c r="D6" s="3884"/>
      <c r="E6" s="3894" t="s">
        <v>995</v>
      </c>
      <c r="F6" s="3895"/>
      <c r="G6" s="3883" t="s">
        <v>996</v>
      </c>
      <c r="H6" s="3884"/>
      <c r="I6" s="3883" t="s">
        <v>997</v>
      </c>
      <c r="J6" s="3884"/>
      <c r="K6" s="388" t="s">
        <v>998</v>
      </c>
      <c r="L6" s="389"/>
      <c r="M6" s="390"/>
      <c r="N6" s="390"/>
      <c r="O6" s="390"/>
      <c r="P6" s="3860" t="s">
        <v>999</v>
      </c>
      <c r="Q6" s="3861"/>
      <c r="R6" s="3851" t="s">
        <v>995</v>
      </c>
      <c r="S6" s="3852"/>
      <c r="T6" s="3851" t="s">
        <v>996</v>
      </c>
      <c r="U6" s="3852"/>
      <c r="V6" s="3866" t="s">
        <v>997</v>
      </c>
      <c r="W6" s="3866"/>
      <c r="X6" s="460"/>
      <c r="Y6" s="3851" t="s">
        <v>999</v>
      </c>
      <c r="Z6" s="3852"/>
      <c r="AA6" s="3857" t="s">
        <v>995</v>
      </c>
      <c r="AB6" s="3858" t="s">
        <v>996</v>
      </c>
      <c r="AC6" s="3857" t="s">
        <v>997</v>
      </c>
    </row>
    <row r="7" spans="1:29" ht="15">
      <c r="A7" s="225"/>
      <c r="B7" s="226"/>
      <c r="C7" s="3885" t="s">
        <v>1000</v>
      </c>
      <c r="D7" s="3886"/>
      <c r="E7" s="3896" t="s">
        <v>1086</v>
      </c>
      <c r="F7" s="3897"/>
      <c r="G7" s="3885" t="s">
        <v>1087</v>
      </c>
      <c r="H7" s="3886"/>
      <c r="I7" s="3885" t="s">
        <v>1088</v>
      </c>
      <c r="J7" s="3886"/>
      <c r="K7" s="388"/>
      <c r="L7" s="389"/>
      <c r="M7" s="390"/>
      <c r="N7" s="390"/>
      <c r="O7" s="390"/>
      <c r="P7" s="3862"/>
      <c r="Q7" s="3863"/>
      <c r="R7" s="3853"/>
      <c r="S7" s="3854"/>
      <c r="T7" s="3853"/>
      <c r="U7" s="3854"/>
      <c r="V7" s="3866"/>
      <c r="W7" s="3866"/>
      <c r="X7" s="460"/>
      <c r="Y7" s="3853"/>
      <c r="Z7" s="3854"/>
      <c r="AA7" s="3858"/>
      <c r="AB7" s="3858"/>
      <c r="AC7" s="3858"/>
    </row>
    <row r="8" spans="1:29" ht="15">
      <c r="A8" s="227"/>
      <c r="B8" s="228"/>
      <c r="C8" s="3880" t="s">
        <v>1001</v>
      </c>
      <c r="D8" s="3881"/>
      <c r="E8" s="3892" t="s">
        <v>1001</v>
      </c>
      <c r="F8" s="3893"/>
      <c r="G8" s="3880" t="s">
        <v>1001</v>
      </c>
      <c r="H8" s="3881"/>
      <c r="I8" s="3880" t="s">
        <v>1001</v>
      </c>
      <c r="J8" s="3881"/>
      <c r="K8" s="388" t="s">
        <v>1002</v>
      </c>
      <c r="L8" s="389"/>
      <c r="M8" s="390"/>
      <c r="N8" s="390"/>
      <c r="O8" s="390"/>
      <c r="P8" s="3864"/>
      <c r="Q8" s="3865"/>
      <c r="R8" s="3853"/>
      <c r="S8" s="3854"/>
      <c r="T8" s="3855"/>
      <c r="U8" s="3856"/>
      <c r="V8" s="3866"/>
      <c r="W8" s="3866"/>
      <c r="X8" s="460"/>
      <c r="Y8" s="3855"/>
      <c r="Z8" s="3856"/>
      <c r="AA8" s="3859"/>
      <c r="AB8" s="3859"/>
      <c r="AC8" s="3859"/>
    </row>
    <row r="9" spans="1:29" s="199" customFormat="1" ht="15">
      <c r="A9" s="229"/>
      <c r="B9" s="230" t="s">
        <v>1003</v>
      </c>
      <c r="C9" s="231">
        <f>'数据-取费表'!B2</f>
        <v>45316</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72" t="s">
        <v>1004</v>
      </c>
      <c r="Q9" s="3882"/>
      <c r="R9" s="461" t="s">
        <v>1005</v>
      </c>
      <c r="S9" s="462">
        <f t="shared" ref="S9:S17" si="0">F9</f>
        <v>0</v>
      </c>
      <c r="T9" s="461" t="s">
        <v>1005</v>
      </c>
      <c r="U9" s="462">
        <f t="shared" ref="U9:U17" si="1">H9</f>
        <v>0</v>
      </c>
      <c r="V9" s="461" t="s">
        <v>1005</v>
      </c>
      <c r="W9" s="462">
        <f t="shared" ref="W9:W17" si="2">J9</f>
        <v>0</v>
      </c>
      <c r="X9" s="463"/>
      <c r="Y9" s="3872" t="s">
        <v>1004</v>
      </c>
      <c r="Z9" s="3873"/>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72" t="s">
        <v>1009</v>
      </c>
      <c r="Q10" s="3873"/>
      <c r="R10" s="461" t="s">
        <v>1005</v>
      </c>
      <c r="S10" s="462">
        <f t="shared" si="0"/>
        <v>0</v>
      </c>
      <c r="T10" s="461" t="s">
        <v>1005</v>
      </c>
      <c r="U10" s="462">
        <f t="shared" si="1"/>
        <v>0</v>
      </c>
      <c r="V10" s="461" t="s">
        <v>1005</v>
      </c>
      <c r="W10" s="462">
        <f t="shared" si="2"/>
        <v>0</v>
      </c>
      <c r="X10" s="463"/>
      <c r="Y10" s="3872" t="s">
        <v>1009</v>
      </c>
      <c r="Z10" s="3873"/>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67" t="s">
        <v>1011</v>
      </c>
      <c r="Q11" s="464" t="str">
        <f t="shared" ref="Q11:Q17" si="6">B11</f>
        <v>用途</v>
      </c>
      <c r="R11" s="461" t="s">
        <v>1005</v>
      </c>
      <c r="S11" s="462">
        <f t="shared" si="0"/>
        <v>100</v>
      </c>
      <c r="T11" s="461" t="s">
        <v>1005</v>
      </c>
      <c r="U11" s="462">
        <f t="shared" si="1"/>
        <v>100</v>
      </c>
      <c r="V11" s="461" t="s">
        <v>1005</v>
      </c>
      <c r="W11" s="462">
        <f t="shared" si="2"/>
        <v>100</v>
      </c>
      <c r="X11" s="463"/>
      <c r="Y11" s="3829"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101</v>
      </c>
      <c r="G12" s="250"/>
      <c r="H12" s="246">
        <f>ROUND(100/'数据-取费表'!G16,0)</f>
        <v>101</v>
      </c>
      <c r="I12" s="250"/>
      <c r="J12" s="246">
        <f>ROUND(100/'数据-取费表'!G16,0)</f>
        <v>101</v>
      </c>
      <c r="K12" s="2288"/>
      <c r="L12" s="396"/>
      <c r="M12" s="397"/>
      <c r="N12" s="397"/>
      <c r="O12" s="398"/>
      <c r="P12" s="3867"/>
      <c r="Q12" s="464" t="str">
        <f t="shared" si="6"/>
        <v>土地使用年限（年）</v>
      </c>
      <c r="R12" s="461" t="s">
        <v>1005</v>
      </c>
      <c r="S12" s="462">
        <f t="shared" si="0"/>
        <v>101</v>
      </c>
      <c r="T12" s="461" t="s">
        <v>1005</v>
      </c>
      <c r="U12" s="462">
        <f t="shared" si="1"/>
        <v>101</v>
      </c>
      <c r="V12" s="461" t="s">
        <v>1005</v>
      </c>
      <c r="W12" s="462">
        <f t="shared" si="2"/>
        <v>101</v>
      </c>
      <c r="X12" s="463"/>
      <c r="Y12" s="3829"/>
      <c r="Z12" s="481" t="str">
        <f t="shared" si="7"/>
        <v>土地使用年限（年）</v>
      </c>
      <c r="AA12" s="480">
        <f t="shared" si="3"/>
        <v>0.99009900990099009</v>
      </c>
      <c r="AB12" s="480">
        <f t="shared" si="4"/>
        <v>0.99009900990099009</v>
      </c>
      <c r="AC12" s="480">
        <f t="shared" si="5"/>
        <v>0.99009900990099009</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67"/>
      <c r="Q13" s="464" t="str">
        <f t="shared" si="6"/>
        <v>容积率</v>
      </c>
      <c r="R13" s="461" t="s">
        <v>1005</v>
      </c>
      <c r="S13" s="462" t="e">
        <f t="shared" si="0"/>
        <v>#N/A</v>
      </c>
      <c r="T13" s="461" t="s">
        <v>1005</v>
      </c>
      <c r="U13" s="462" t="e">
        <f t="shared" si="1"/>
        <v>#N/A</v>
      </c>
      <c r="V13" s="461" t="s">
        <v>1005</v>
      </c>
      <c r="W13" s="462" t="e">
        <f t="shared" si="2"/>
        <v>#N/A</v>
      </c>
      <c r="X13" s="463"/>
      <c r="Y13" s="382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67"/>
      <c r="Q14" s="464">
        <f t="shared" si="6"/>
        <v>111</v>
      </c>
      <c r="R14" s="461" t="s">
        <v>1005</v>
      </c>
      <c r="S14" s="462">
        <f t="shared" si="0"/>
        <v>100</v>
      </c>
      <c r="T14" s="461" t="s">
        <v>1005</v>
      </c>
      <c r="U14" s="462">
        <f t="shared" si="1"/>
        <v>100</v>
      </c>
      <c r="V14" s="461" t="s">
        <v>1005</v>
      </c>
      <c r="W14" s="462">
        <f t="shared" si="2"/>
        <v>100</v>
      </c>
      <c r="X14" s="463"/>
      <c r="Y14" s="382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67"/>
      <c r="Q15" s="464">
        <f t="shared" si="6"/>
        <v>111</v>
      </c>
      <c r="R15" s="461" t="s">
        <v>1005</v>
      </c>
      <c r="S15" s="462">
        <f t="shared" si="0"/>
        <v>100</v>
      </c>
      <c r="T15" s="461" t="s">
        <v>1005</v>
      </c>
      <c r="U15" s="462">
        <f t="shared" si="1"/>
        <v>100</v>
      </c>
      <c r="V15" s="461" t="s">
        <v>1005</v>
      </c>
      <c r="W15" s="462">
        <f t="shared" si="2"/>
        <v>100</v>
      </c>
      <c r="X15" s="463"/>
      <c r="Y15" s="382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67"/>
      <c r="Q16" s="464">
        <f t="shared" si="6"/>
        <v>111</v>
      </c>
      <c r="R16" s="461" t="s">
        <v>1005</v>
      </c>
      <c r="S16" s="462">
        <f t="shared" si="0"/>
        <v>100</v>
      </c>
      <c r="T16" s="461" t="s">
        <v>1005</v>
      </c>
      <c r="U16" s="462">
        <f t="shared" si="1"/>
        <v>100</v>
      </c>
      <c r="V16" s="461" t="s">
        <v>1005</v>
      </c>
      <c r="W16" s="462">
        <f t="shared" si="2"/>
        <v>100</v>
      </c>
      <c r="X16" s="463"/>
      <c r="Y16" s="3829"/>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4" t="s">
        <v>1017</v>
      </c>
      <c r="Q17" s="395" t="str">
        <f t="shared" si="6"/>
        <v>产业集聚程度</v>
      </c>
      <c r="R17" s="465" t="s">
        <v>1005</v>
      </c>
      <c r="S17" s="466">
        <f t="shared" si="0"/>
        <v>100</v>
      </c>
      <c r="T17" s="465" t="s">
        <v>1005</v>
      </c>
      <c r="U17" s="466">
        <f t="shared" si="1"/>
        <v>100</v>
      </c>
      <c r="V17" s="465" t="s">
        <v>1005</v>
      </c>
      <c r="W17" s="466">
        <f t="shared" si="2"/>
        <v>100</v>
      </c>
      <c r="X17" s="460"/>
      <c r="Y17" s="3874"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5"/>
      <c r="Q18" s="395"/>
      <c r="R18" s="465"/>
      <c r="S18" s="466"/>
      <c r="T18" s="465"/>
      <c r="U18" s="466"/>
      <c r="V18" s="465"/>
      <c r="W18" s="466"/>
      <c r="X18" s="460"/>
      <c r="Y18" s="3875"/>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5"/>
      <c r="Q19" s="395" t="str">
        <f>B19</f>
        <v>交通便捷度</v>
      </c>
      <c r="R19" s="465" t="s">
        <v>1005</v>
      </c>
      <c r="S19" s="466">
        <f>F19</f>
        <v>100</v>
      </c>
      <c r="T19" s="465" t="s">
        <v>1005</v>
      </c>
      <c r="U19" s="466">
        <f>H19</f>
        <v>100</v>
      </c>
      <c r="V19" s="465" t="s">
        <v>1005</v>
      </c>
      <c r="W19" s="466">
        <f>J19</f>
        <v>100</v>
      </c>
      <c r="X19" s="460"/>
      <c r="Y19" s="3875"/>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5"/>
      <c r="Q20" s="395"/>
      <c r="R20" s="465"/>
      <c r="S20" s="466"/>
      <c r="T20" s="465"/>
      <c r="U20" s="466"/>
      <c r="V20" s="465"/>
      <c r="W20" s="466"/>
      <c r="X20" s="460"/>
      <c r="Y20" s="3875"/>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5"/>
      <c r="Q21" s="395" t="str">
        <f t="shared" ref="Q21:Q36" si="8">B21</f>
        <v>区域土地利用方向</v>
      </c>
      <c r="R21" s="465" t="s">
        <v>1005</v>
      </c>
      <c r="S21" s="466">
        <f>F21</f>
        <v>100</v>
      </c>
      <c r="T21" s="465" t="s">
        <v>1005</v>
      </c>
      <c r="U21" s="466">
        <f>H21</f>
        <v>100</v>
      </c>
      <c r="V21" s="465" t="s">
        <v>1005</v>
      </c>
      <c r="W21" s="466">
        <f>J21</f>
        <v>100</v>
      </c>
      <c r="X21" s="460"/>
      <c r="Y21" s="3875"/>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5"/>
      <c r="Q22" s="395"/>
      <c r="R22" s="465"/>
      <c r="S22" s="466"/>
      <c r="T22" s="465"/>
      <c r="U22" s="466"/>
      <c r="V22" s="465"/>
      <c r="W22" s="466"/>
      <c r="X22" s="460"/>
      <c r="Y22" s="3875"/>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5"/>
      <c r="Q23" s="395" t="str">
        <f t="shared" si="8"/>
        <v>环境状况</v>
      </c>
      <c r="R23" s="465" t="s">
        <v>1005</v>
      </c>
      <c r="S23" s="466">
        <f>F23</f>
        <v>100</v>
      </c>
      <c r="T23" s="465" t="s">
        <v>1005</v>
      </c>
      <c r="U23" s="466">
        <f>H23</f>
        <v>100</v>
      </c>
      <c r="V23" s="465" t="s">
        <v>1005</v>
      </c>
      <c r="W23" s="466">
        <f>J23</f>
        <v>100</v>
      </c>
      <c r="X23" s="460"/>
      <c r="Y23" s="3875"/>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5"/>
      <c r="Q24" s="395"/>
      <c r="R24" s="465"/>
      <c r="S24" s="466"/>
      <c r="T24" s="465"/>
      <c r="U24" s="466"/>
      <c r="V24" s="465"/>
      <c r="W24" s="466"/>
      <c r="X24" s="460"/>
      <c r="Y24" s="3875"/>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5"/>
      <c r="Q25" s="464" t="str">
        <f t="shared" si="8"/>
        <v>公共配套设施</v>
      </c>
      <c r="R25" s="461" t="s">
        <v>1005</v>
      </c>
      <c r="S25" s="462">
        <f>F25</f>
        <v>100</v>
      </c>
      <c r="T25" s="461" t="s">
        <v>1005</v>
      </c>
      <c r="U25" s="462">
        <f>H25</f>
        <v>100</v>
      </c>
      <c r="V25" s="461" t="s">
        <v>1005</v>
      </c>
      <c r="W25" s="462">
        <f>J25</f>
        <v>100</v>
      </c>
      <c r="X25" s="463"/>
      <c r="Y25" s="3875"/>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5"/>
      <c r="Q26" s="464"/>
      <c r="R26" s="461"/>
      <c r="S26" s="462"/>
      <c r="T26" s="461"/>
      <c r="U26" s="462"/>
      <c r="V26" s="461"/>
      <c r="W26" s="462"/>
      <c r="X26" s="463"/>
      <c r="Y26" s="3875"/>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5"/>
      <c r="Q27" s="464" t="str">
        <f>B27</f>
        <v>基础设施水平</v>
      </c>
      <c r="R27" s="461" t="s">
        <v>1005</v>
      </c>
      <c r="S27" s="462">
        <f>F27</f>
        <v>100</v>
      </c>
      <c r="T27" s="461" t="s">
        <v>1005</v>
      </c>
      <c r="U27" s="462">
        <f>H27</f>
        <v>100</v>
      </c>
      <c r="V27" s="461" t="s">
        <v>1005</v>
      </c>
      <c r="W27" s="462">
        <f>J27</f>
        <v>100</v>
      </c>
      <c r="X27" s="463"/>
      <c r="Y27" s="3875"/>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5"/>
      <c r="Q28" s="464"/>
      <c r="R28" s="461"/>
      <c r="S28" s="462"/>
      <c r="T28" s="461"/>
      <c r="U28" s="462"/>
      <c r="V28" s="461"/>
      <c r="W28" s="462"/>
      <c r="X28" s="463"/>
      <c r="Y28" s="3875"/>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5"/>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5"/>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5"/>
      <c r="Q30" s="395" t="str">
        <f t="shared" si="8"/>
        <v>毗邻道路的类型与等级</v>
      </c>
      <c r="R30" s="465" t="s">
        <v>1005</v>
      </c>
      <c r="S30" s="466">
        <f t="shared" si="9"/>
        <v>100</v>
      </c>
      <c r="T30" s="465" t="s">
        <v>1005</v>
      </c>
      <c r="U30" s="466">
        <f t="shared" si="10"/>
        <v>100</v>
      </c>
      <c r="V30" s="465" t="s">
        <v>1005</v>
      </c>
      <c r="W30" s="466">
        <f t="shared" si="11"/>
        <v>100</v>
      </c>
      <c r="X30" s="460"/>
      <c r="Y30" s="3875"/>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5"/>
      <c r="Q31" s="395"/>
      <c r="R31" s="465"/>
      <c r="S31" s="466"/>
      <c r="T31" s="465"/>
      <c r="U31" s="466"/>
      <c r="V31" s="465"/>
      <c r="W31" s="466"/>
      <c r="X31" s="460"/>
      <c r="Y31" s="3875"/>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5"/>
      <c r="Q32" s="395" t="str">
        <f t="shared" si="8"/>
        <v>土地级别</v>
      </c>
      <c r="R32" s="465" t="s">
        <v>1005</v>
      </c>
      <c r="S32" s="466">
        <f t="shared" si="9"/>
        <v>100</v>
      </c>
      <c r="T32" s="465" t="s">
        <v>1005</v>
      </c>
      <c r="U32" s="466">
        <f t="shared" si="10"/>
        <v>100</v>
      </c>
      <c r="V32" s="465" t="s">
        <v>1005</v>
      </c>
      <c r="W32" s="466">
        <f t="shared" si="11"/>
        <v>100</v>
      </c>
      <c r="X32" s="460"/>
      <c r="Y32" s="3875"/>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5"/>
      <c r="Q33" s="395">
        <f t="shared" si="8"/>
        <v>111</v>
      </c>
      <c r="R33" s="465" t="s">
        <v>1005</v>
      </c>
      <c r="S33" s="466">
        <f t="shared" si="9"/>
        <v>100</v>
      </c>
      <c r="T33" s="465" t="s">
        <v>1005</v>
      </c>
      <c r="U33" s="466">
        <f t="shared" si="10"/>
        <v>100</v>
      </c>
      <c r="V33" s="465" t="s">
        <v>1005</v>
      </c>
      <c r="W33" s="466">
        <f t="shared" si="11"/>
        <v>100</v>
      </c>
      <c r="X33" s="460"/>
      <c r="Y33" s="3875"/>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6" t="s">
        <v>1028</v>
      </c>
      <c r="Q34" s="395">
        <f t="shared" si="8"/>
        <v>111</v>
      </c>
      <c r="R34" s="465" t="s">
        <v>1005</v>
      </c>
      <c r="S34" s="466">
        <f t="shared" si="9"/>
        <v>100</v>
      </c>
      <c r="T34" s="465" t="s">
        <v>1005</v>
      </c>
      <c r="U34" s="466">
        <f t="shared" si="10"/>
        <v>100</v>
      </c>
      <c r="V34" s="465" t="s">
        <v>1005</v>
      </c>
      <c r="W34" s="466">
        <f t="shared" si="11"/>
        <v>100</v>
      </c>
      <c r="X34" s="460"/>
      <c r="Y34" s="3877"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7"/>
      <c r="Q35" s="395">
        <f t="shared" si="8"/>
        <v>111</v>
      </c>
      <c r="R35" s="468" t="s">
        <v>1005</v>
      </c>
      <c r="S35" s="469">
        <f t="shared" si="9"/>
        <v>100</v>
      </c>
      <c r="T35" s="468" t="s">
        <v>1005</v>
      </c>
      <c r="U35" s="469">
        <f t="shared" si="10"/>
        <v>100</v>
      </c>
      <c r="V35" s="468" t="s">
        <v>1005</v>
      </c>
      <c r="W35" s="469">
        <f t="shared" si="11"/>
        <v>100</v>
      </c>
      <c r="X35" s="470"/>
      <c r="Y35" s="3877"/>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7"/>
      <c r="Q36" s="395" t="str">
        <f t="shared" si="8"/>
        <v>宗地面积</v>
      </c>
      <c r="R36" s="465" t="s">
        <v>1005</v>
      </c>
      <c r="S36" s="466" t="e">
        <f t="shared" si="9"/>
        <v>#N/A</v>
      </c>
      <c r="T36" s="465" t="s">
        <v>1005</v>
      </c>
      <c r="U36" s="466" t="e">
        <f t="shared" si="10"/>
        <v>#N/A</v>
      </c>
      <c r="V36" s="465" t="s">
        <v>1005</v>
      </c>
      <c r="W36" s="466" t="e">
        <f t="shared" si="11"/>
        <v>#N/A</v>
      </c>
      <c r="X36" s="460"/>
      <c r="Y36" s="3877"/>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7"/>
      <c r="Q37" s="395" t="str">
        <f t="shared" ref="Q37:Q42" si="13">B37</f>
        <v>宗地形状</v>
      </c>
      <c r="R37" s="465" t="s">
        <v>1005</v>
      </c>
      <c r="S37" s="466">
        <f t="shared" si="9"/>
        <v>100</v>
      </c>
      <c r="T37" s="465" t="s">
        <v>1005</v>
      </c>
      <c r="U37" s="466">
        <f t="shared" si="10"/>
        <v>100</v>
      </c>
      <c r="V37" s="465" t="s">
        <v>1005</v>
      </c>
      <c r="W37" s="466">
        <f t="shared" si="11"/>
        <v>100</v>
      </c>
      <c r="X37" s="460"/>
      <c r="Y37" s="3877"/>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7"/>
      <c r="Q38" s="395" t="str">
        <f t="shared" si="13"/>
        <v>宗地开发程度</v>
      </c>
      <c r="R38" s="461" t="s">
        <v>1005</v>
      </c>
      <c r="S38" s="462">
        <f t="shared" si="9"/>
        <v>100</v>
      </c>
      <c r="T38" s="461" t="s">
        <v>1005</v>
      </c>
      <c r="U38" s="462">
        <f t="shared" si="10"/>
        <v>100</v>
      </c>
      <c r="V38" s="461" t="s">
        <v>1005</v>
      </c>
      <c r="W38" s="462">
        <f t="shared" si="11"/>
        <v>100</v>
      </c>
      <c r="X38" s="463"/>
      <c r="Y38" s="3877"/>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7" t="s">
        <v>1028</v>
      </c>
      <c r="Q39" s="395" t="str">
        <f t="shared" si="13"/>
        <v>工程地质条件</v>
      </c>
      <c r="R39" s="465" t="s">
        <v>1005</v>
      </c>
      <c r="S39" s="466">
        <f t="shared" si="9"/>
        <v>100</v>
      </c>
      <c r="T39" s="465" t="s">
        <v>1005</v>
      </c>
      <c r="U39" s="466">
        <f t="shared" si="10"/>
        <v>100</v>
      </c>
      <c r="V39" s="465" t="s">
        <v>1005</v>
      </c>
      <c r="W39" s="466">
        <f t="shared" si="11"/>
        <v>100</v>
      </c>
      <c r="X39" s="460"/>
      <c r="Y39" s="3877"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7"/>
      <c r="Q40" s="395">
        <f t="shared" si="13"/>
        <v>111</v>
      </c>
      <c r="R40" s="465" t="s">
        <v>1005</v>
      </c>
      <c r="S40" s="466">
        <f t="shared" si="9"/>
        <v>100</v>
      </c>
      <c r="T40" s="465" t="s">
        <v>1005</v>
      </c>
      <c r="U40" s="466">
        <f t="shared" si="10"/>
        <v>100</v>
      </c>
      <c r="V40" s="465" t="s">
        <v>1005</v>
      </c>
      <c r="W40" s="466">
        <f t="shared" si="11"/>
        <v>100</v>
      </c>
      <c r="X40" s="460"/>
      <c r="Y40" s="3877"/>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7"/>
      <c r="Q41" s="395">
        <f t="shared" si="13"/>
        <v>111</v>
      </c>
      <c r="R41" s="465" t="s">
        <v>1005</v>
      </c>
      <c r="S41" s="466">
        <f t="shared" si="9"/>
        <v>100</v>
      </c>
      <c r="T41" s="465" t="s">
        <v>1005</v>
      </c>
      <c r="U41" s="466">
        <f t="shared" si="10"/>
        <v>100</v>
      </c>
      <c r="V41" s="465" t="s">
        <v>1005</v>
      </c>
      <c r="W41" s="466">
        <f t="shared" si="11"/>
        <v>100</v>
      </c>
      <c r="X41" s="460"/>
      <c r="Y41" s="3877"/>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7"/>
      <c r="Q42" s="395">
        <f t="shared" si="13"/>
        <v>111</v>
      </c>
      <c r="R42" s="468" t="s">
        <v>1005</v>
      </c>
      <c r="S42" s="469">
        <f t="shared" si="9"/>
        <v>100</v>
      </c>
      <c r="T42" s="468" t="s">
        <v>1005</v>
      </c>
      <c r="U42" s="469">
        <f t="shared" si="10"/>
        <v>100</v>
      </c>
      <c r="V42" s="468" t="s">
        <v>1005</v>
      </c>
      <c r="W42" s="469">
        <f t="shared" si="11"/>
        <v>100</v>
      </c>
      <c r="X42" s="470"/>
      <c r="Y42" s="3877"/>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67" t="str">
        <f>A43</f>
        <v>成交单价</v>
      </c>
      <c r="Q43" s="3867"/>
      <c r="R43" s="3866">
        <f>E43</f>
        <v>0</v>
      </c>
      <c r="S43" s="3866"/>
      <c r="T43" s="3866">
        <f>G43</f>
        <v>0</v>
      </c>
      <c r="U43" s="3866"/>
      <c r="V43" s="3866">
        <f>I43</f>
        <v>0</v>
      </c>
      <c r="W43" s="3866"/>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67" t="str">
        <f>A44</f>
        <v>比较价格（元/平方米）</v>
      </c>
      <c r="Q44" s="3867"/>
      <c r="R44" s="3868" t="e">
        <f>ROUND(PRODUCT(R43,AA9:AA42),0)</f>
        <v>#DIV/0!</v>
      </c>
      <c r="S44" s="3868"/>
      <c r="T44" s="3868" t="e">
        <f>ROUND(PRODUCT(T43,AB9:AB42),0)</f>
        <v>#DIV/0!</v>
      </c>
      <c r="U44" s="3868"/>
      <c r="V44" s="3868" t="e">
        <f>ROUND(PRODUCT(V43,AC9:AC42),0)</f>
        <v>#DIV/0!</v>
      </c>
      <c r="W44" s="3868"/>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69" t="str">
        <f>A45</f>
        <v>估价对象XX用房的比较价格（楼面单价，元/平方米）</v>
      </c>
      <c r="Q45" s="3870"/>
      <c r="R45" s="3891" t="e">
        <f>ROUND(IF(D44="简单平均",AVERAGE(R44:W44),R44*F44+T44*H44+V44*J44),0)</f>
        <v>#DIV/0!</v>
      </c>
      <c r="S45" s="3891"/>
      <c r="T45" s="3891"/>
      <c r="U45" s="3891"/>
      <c r="V45" s="3891"/>
      <c r="W45" s="389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887" t="s">
        <v>1049</v>
      </c>
      <c r="H52" s="3888"/>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119343.97</v>
      </c>
      <c r="F53" s="2265" t="e">
        <f t="shared" ref="F53:F61" si="14">ROUND(B53*E53/10000,0)</f>
        <v>#DIV/0!</v>
      </c>
      <c r="G53" s="3889"/>
      <c r="H53" s="3890"/>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55570.2</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2024-1-1</v>
      </c>
      <c r="D64" s="2285">
        <f>EDATE(C64,-3)</f>
        <v>45200</v>
      </c>
      <c r="E64" s="2285">
        <f t="shared" ref="E64:N64" si="17">EDATE(D64,-3)</f>
        <v>45108</v>
      </c>
      <c r="F64" s="2285">
        <f t="shared" si="17"/>
        <v>45017</v>
      </c>
      <c r="G64" s="2285">
        <f t="shared" si="17"/>
        <v>44927</v>
      </c>
      <c r="H64" s="2285">
        <f t="shared" si="17"/>
        <v>44835</v>
      </c>
      <c r="I64" s="2285">
        <f t="shared" si="17"/>
        <v>44743</v>
      </c>
      <c r="J64" s="2285">
        <f t="shared" si="17"/>
        <v>44652</v>
      </c>
      <c r="K64" s="2285">
        <f t="shared" si="17"/>
        <v>44562</v>
      </c>
      <c r="L64" s="2285">
        <f t="shared" si="17"/>
        <v>44470</v>
      </c>
      <c r="M64" s="2285">
        <f t="shared" si="17"/>
        <v>44378</v>
      </c>
      <c r="N64" s="2285">
        <f t="shared" si="17"/>
        <v>44287</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2024-1</v>
      </c>
      <c r="D66" s="2306" t="str">
        <f t="shared" ref="D66:N66" si="18">YEAR(D64)&amp;"-"&amp;ROUNDUP(MONTH(D64)/3,0)</f>
        <v>2023-4</v>
      </c>
      <c r="E66" s="2306" t="str">
        <f t="shared" si="18"/>
        <v>2023-3</v>
      </c>
      <c r="F66" s="2306" t="str">
        <f t="shared" si="18"/>
        <v>2023-2</v>
      </c>
      <c r="G66" s="2306" t="str">
        <f t="shared" si="18"/>
        <v>2023-1</v>
      </c>
      <c r="H66" s="2306" t="str">
        <f t="shared" si="18"/>
        <v>2022-4</v>
      </c>
      <c r="I66" s="2306" t="str">
        <f t="shared" si="18"/>
        <v>2022-3</v>
      </c>
      <c r="J66" s="2306" t="str">
        <f t="shared" si="18"/>
        <v>2022-2</v>
      </c>
      <c r="K66" s="2306" t="str">
        <f t="shared" si="18"/>
        <v>2022-1</v>
      </c>
      <c r="L66" s="2306" t="str">
        <f t="shared" si="18"/>
        <v>2021-4</v>
      </c>
      <c r="M66" s="2306" t="str">
        <f t="shared" si="18"/>
        <v>2021-3</v>
      </c>
      <c r="N66" s="2306" t="str">
        <f t="shared" si="18"/>
        <v>2021-2</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898" t="s">
        <v>1125</v>
      </c>
      <c r="X8" s="3899"/>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12"/>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12"/>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04" t="s">
        <v>938</v>
      </c>
      <c r="B20" s="1857" t="s">
        <v>1172</v>
      </c>
      <c r="C20" s="1904" t="e">
        <f>ROUND(IF(F21="与级别开发程度一致",0,(G21-E21)/C21),0)</f>
        <v>#DIV/0!</v>
      </c>
      <c r="D20" s="3900" t="s">
        <v>1173</v>
      </c>
      <c r="E20" s="3901"/>
      <c r="F20" s="3900" t="s">
        <v>1174</v>
      </c>
      <c r="G20" s="3901"/>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05"/>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45316</v>
      </c>
      <c r="H23" s="1925" t="s">
        <v>1179</v>
      </c>
      <c r="I23" s="2079" t="str">
        <f>IF(H23="季度增幅（自定义）",SUMIF(N25:N28,E2,O25:O28),"")</f>
        <v/>
      </c>
      <c r="J23" s="2080"/>
      <c r="K23" s="2051"/>
      <c r="L23" s="2081" t="s">
        <v>1180</v>
      </c>
      <c r="M23" s="2082">
        <f>ROUND(SUMIF(地价!B2:F2,E2,地价!B41:F41),0)</f>
        <v>0</v>
      </c>
      <c r="N23" s="2083" t="s">
        <v>1181</v>
      </c>
      <c r="O23" s="2084">
        <f>ROUNDDOWN(DATEDIF(E23,G23,"M")/3,0)</f>
        <v>12</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06"/>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06"/>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07"/>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07"/>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07"/>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07"/>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02" t="s">
        <v>1261</v>
      </c>
      <c r="B104" s="3902"/>
      <c r="C104" s="3902"/>
      <c r="D104" s="3902"/>
      <c r="E104" s="3902"/>
      <c r="F104" s="3902"/>
      <c r="G104" s="3902"/>
      <c r="H104" s="3902"/>
      <c r="I104" s="3902"/>
      <c r="J104" s="3902"/>
      <c r="K104" s="1817"/>
      <c r="L104" s="1817"/>
      <c r="M104" s="1817"/>
      <c r="N104" s="1817"/>
    </row>
    <row r="105" spans="1:36">
      <c r="A105" s="3908" t="s">
        <v>352</v>
      </c>
      <c r="B105" s="3908" t="s">
        <v>1262</v>
      </c>
      <c r="C105" s="2186" t="s">
        <v>1096</v>
      </c>
      <c r="D105" s="2187"/>
      <c r="E105" s="2187"/>
      <c r="F105" s="2187"/>
      <c r="G105" s="2187"/>
      <c r="H105" s="2187"/>
      <c r="I105" s="2187"/>
      <c r="J105" s="2214"/>
      <c r="K105" s="1781"/>
      <c r="L105" s="1781"/>
      <c r="M105" s="1781"/>
      <c r="N105" s="1781"/>
    </row>
    <row r="106" spans="1:36">
      <c r="A106" s="3908"/>
      <c r="B106" s="3908"/>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09"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10"/>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10"/>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10"/>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10"/>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10"/>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11"/>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03" t="s">
        <v>1265</v>
      </c>
      <c r="B114" s="3903"/>
      <c r="C114" s="3903"/>
      <c r="D114" s="3903"/>
      <c r="E114" s="3903"/>
      <c r="F114" s="3903"/>
      <c r="G114" s="3903"/>
      <c r="H114" s="3903"/>
      <c r="I114" s="3903"/>
      <c r="J114" s="3903"/>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17" t="s">
        <v>435</v>
      </c>
      <c r="B20" s="3923" t="s">
        <v>1285</v>
      </c>
      <c r="C20" s="1777" t="s">
        <v>1286</v>
      </c>
      <c r="D20" s="1778"/>
      <c r="E20" s="1779">
        <v>1</v>
      </c>
      <c r="F20" s="1780" t="s">
        <v>1287</v>
      </c>
      <c r="G20" s="1781"/>
      <c r="H20" s="1747"/>
      <c r="I20" s="1747"/>
    </row>
    <row r="21" spans="1:13" s="1746" customFormat="1">
      <c r="A21" s="3918"/>
      <c r="B21" s="3916"/>
      <c r="C21" s="1782" t="s">
        <v>1288</v>
      </c>
      <c r="D21" s="1783"/>
      <c r="E21" s="1784">
        <v>1</v>
      </c>
      <c r="F21" s="1780" t="s">
        <v>1289</v>
      </c>
      <c r="G21" s="1781"/>
      <c r="H21" s="1747"/>
      <c r="I21" s="1747"/>
    </row>
    <row r="22" spans="1:13" s="1746" customFormat="1">
      <c r="A22" s="3918"/>
      <c r="B22" s="3916"/>
      <c r="C22" s="1782" t="s">
        <v>1290</v>
      </c>
      <c r="D22" s="1783"/>
      <c r="E22" s="1784">
        <v>0.9</v>
      </c>
      <c r="F22" s="1780" t="s">
        <v>1291</v>
      </c>
      <c r="G22" s="1781"/>
      <c r="H22" s="1747"/>
      <c r="I22" s="1747"/>
    </row>
    <row r="23" spans="1:13" s="1746" customFormat="1">
      <c r="A23" s="3918"/>
      <c r="B23" s="3916"/>
      <c r="C23" s="1782" t="s">
        <v>1292</v>
      </c>
      <c r="D23" s="1783"/>
      <c r="E23" s="1784">
        <v>0.9</v>
      </c>
      <c r="F23" s="1780" t="s">
        <v>1293</v>
      </c>
      <c r="G23" s="1781"/>
      <c r="H23" s="1747"/>
      <c r="I23" s="1747"/>
    </row>
    <row r="24" spans="1:13" s="1746" customFormat="1">
      <c r="A24" s="3918"/>
      <c r="B24" s="3916"/>
      <c r="C24" s="1782" t="s">
        <v>1294</v>
      </c>
      <c r="D24" s="1783"/>
      <c r="E24" s="1784">
        <v>0.8</v>
      </c>
      <c r="F24" s="1780" t="s">
        <v>1295</v>
      </c>
      <c r="G24" s="1781"/>
      <c r="H24" s="1747"/>
      <c r="I24" s="1747"/>
    </row>
    <row r="25" spans="1:13" s="1746" customFormat="1">
      <c r="A25" s="3919"/>
      <c r="B25" s="3924"/>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20" t="s">
        <v>297</v>
      </c>
      <c r="B27" s="3923" t="s">
        <v>297</v>
      </c>
      <c r="C27" s="1777" t="s">
        <v>1300</v>
      </c>
      <c r="D27" s="1778"/>
      <c r="E27" s="1779">
        <v>1</v>
      </c>
      <c r="F27" s="1780" t="s">
        <v>1301</v>
      </c>
      <c r="G27" s="1781"/>
      <c r="H27" s="1747"/>
      <c r="I27" s="1747"/>
    </row>
    <row r="28" spans="1:13" s="1746" customFormat="1">
      <c r="A28" s="3921"/>
      <c r="B28" s="3916"/>
      <c r="C28" s="1782" t="s">
        <v>1302</v>
      </c>
      <c r="D28" s="1783"/>
      <c r="E28" s="1784">
        <v>1</v>
      </c>
      <c r="F28" s="1780" t="s">
        <v>1303</v>
      </c>
      <c r="G28" s="1781"/>
      <c r="H28" s="1747"/>
      <c r="I28" s="1747"/>
    </row>
    <row r="29" spans="1:13" s="1746" customFormat="1">
      <c r="A29" s="3921"/>
      <c r="B29" s="3916"/>
      <c r="C29" s="1782" t="s">
        <v>1304</v>
      </c>
      <c r="D29" s="1783"/>
      <c r="E29" s="1784">
        <v>0.8</v>
      </c>
      <c r="F29" s="1780" t="s">
        <v>1305</v>
      </c>
      <c r="G29" s="1781"/>
      <c r="H29" s="1747"/>
      <c r="I29" s="1747"/>
    </row>
    <row r="30" spans="1:13" s="1746" customFormat="1">
      <c r="A30" s="3921"/>
      <c r="B30" s="3916"/>
      <c r="C30" s="1782" t="s">
        <v>1306</v>
      </c>
      <c r="D30" s="1783"/>
      <c r="E30" s="1784">
        <v>0.8</v>
      </c>
      <c r="F30" s="1780" t="s">
        <v>1307</v>
      </c>
      <c r="G30" s="1781"/>
      <c r="H30" s="1747"/>
      <c r="I30" s="1747"/>
    </row>
    <row r="31" spans="1:13" s="1746" customFormat="1">
      <c r="A31" s="3921"/>
      <c r="B31" s="3916"/>
      <c r="C31" s="1782" t="s">
        <v>1308</v>
      </c>
      <c r="D31" s="1783"/>
      <c r="E31" s="1784">
        <v>0.8</v>
      </c>
      <c r="F31" s="1780" t="s">
        <v>1309</v>
      </c>
      <c r="G31" s="1781"/>
      <c r="H31" s="1747"/>
      <c r="I31" s="1747"/>
    </row>
    <row r="32" spans="1:13" s="1746" customFormat="1">
      <c r="A32" s="3921"/>
      <c r="B32" s="3916"/>
      <c r="C32" s="1782" t="s">
        <v>1310</v>
      </c>
      <c r="D32" s="1783"/>
      <c r="E32" s="1784">
        <v>0.7</v>
      </c>
      <c r="F32" s="1780" t="s">
        <v>1311</v>
      </c>
      <c r="G32" s="1781"/>
      <c r="H32" s="1747"/>
      <c r="I32" s="1747"/>
    </row>
    <row r="33" spans="1:9" s="1746" customFormat="1">
      <c r="A33" s="3921"/>
      <c r="B33" s="3916"/>
      <c r="C33" s="1782" t="s">
        <v>1312</v>
      </c>
      <c r="D33" s="1783"/>
      <c r="E33" s="1784">
        <v>0.8</v>
      </c>
      <c r="F33" s="1780" t="s">
        <v>1313</v>
      </c>
      <c r="G33" s="1781"/>
      <c r="H33" s="1747"/>
      <c r="I33" s="1747"/>
    </row>
    <row r="34" spans="1:9" s="1746" customFormat="1">
      <c r="A34" s="3921"/>
      <c r="B34" s="3916"/>
      <c r="C34" s="1782" t="s">
        <v>1314</v>
      </c>
      <c r="D34" s="1783"/>
      <c r="E34" s="1784">
        <v>0.6</v>
      </c>
      <c r="F34" s="1780" t="s">
        <v>1315</v>
      </c>
      <c r="G34" s="1781"/>
      <c r="H34" s="1747"/>
      <c r="I34" s="1747"/>
    </row>
    <row r="35" spans="1:9" s="1746" customFormat="1">
      <c r="A35" s="3921"/>
      <c r="B35" s="3916"/>
      <c r="C35" s="1782" t="s">
        <v>1316</v>
      </c>
      <c r="D35" s="1783"/>
      <c r="E35" s="1784">
        <v>0.2</v>
      </c>
      <c r="F35" s="1780" t="s">
        <v>1317</v>
      </c>
      <c r="G35" s="1781"/>
      <c r="H35" s="1747"/>
      <c r="I35" s="1747"/>
    </row>
    <row r="36" spans="1:9" s="1746" customFormat="1">
      <c r="A36" s="3921"/>
      <c r="B36" s="3916"/>
      <c r="C36" s="1782" t="s">
        <v>1318</v>
      </c>
      <c r="D36" s="1783"/>
      <c r="E36" s="1784">
        <v>0.2</v>
      </c>
      <c r="F36" s="1780" t="s">
        <v>1319</v>
      </c>
      <c r="G36" s="1781"/>
      <c r="H36" s="1747"/>
      <c r="I36" s="1747"/>
    </row>
    <row r="37" spans="1:9" s="1746" customFormat="1">
      <c r="A37" s="3921"/>
      <c r="B37" s="3914" t="s">
        <v>1320</v>
      </c>
      <c r="C37" s="1782" t="s">
        <v>1321</v>
      </c>
      <c r="D37" s="1783"/>
      <c r="E37" s="1784">
        <v>0.6</v>
      </c>
      <c r="F37" s="1780" t="s">
        <v>1322</v>
      </c>
      <c r="G37" s="1781"/>
      <c r="H37" s="1747"/>
      <c r="I37" s="1747"/>
    </row>
    <row r="38" spans="1:9" s="1746" customFormat="1">
      <c r="A38" s="3921"/>
      <c r="B38" s="3916"/>
      <c r="C38" s="1782" t="s">
        <v>1323</v>
      </c>
      <c r="D38" s="1783"/>
      <c r="E38" s="1784">
        <v>0.6</v>
      </c>
      <c r="F38" s="1780" t="s">
        <v>1324</v>
      </c>
      <c r="G38" s="1781"/>
      <c r="H38" s="1747"/>
      <c r="I38" s="1747"/>
    </row>
    <row r="39" spans="1:9" s="1746" customFormat="1">
      <c r="A39" s="3922"/>
      <c r="B39" s="3924"/>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17" t="s">
        <v>164</v>
      </c>
      <c r="B41" s="3923" t="s">
        <v>1329</v>
      </c>
      <c r="C41" s="1777" t="s">
        <v>1330</v>
      </c>
      <c r="D41" s="1778"/>
      <c r="E41" s="1779">
        <v>1</v>
      </c>
      <c r="F41" s="1780" t="s">
        <v>1331</v>
      </c>
      <c r="G41" s="1781"/>
      <c r="H41" s="1747"/>
      <c r="I41" s="1747"/>
    </row>
    <row r="42" spans="1:9" s="1746" customFormat="1">
      <c r="A42" s="3918"/>
      <c r="B42" s="3916"/>
      <c r="C42" s="1782" t="s">
        <v>1332</v>
      </c>
      <c r="D42" s="1783"/>
      <c r="E42" s="1784">
        <v>1</v>
      </c>
      <c r="F42" s="1780" t="s">
        <v>1333</v>
      </c>
      <c r="G42" s="1781"/>
      <c r="H42" s="1747"/>
      <c r="I42" s="1747"/>
    </row>
    <row r="43" spans="1:9" s="1746" customFormat="1">
      <c r="A43" s="3918"/>
      <c r="B43" s="3915"/>
      <c r="C43" s="1782" t="s">
        <v>1334</v>
      </c>
      <c r="D43" s="1783"/>
      <c r="E43" s="1784">
        <v>1.5</v>
      </c>
      <c r="F43" s="1780" t="s">
        <v>1335</v>
      </c>
      <c r="G43" s="1781"/>
      <c r="H43" s="1747"/>
      <c r="I43" s="1747"/>
    </row>
    <row r="44" spans="1:9" s="1746" customFormat="1">
      <c r="A44" s="3918"/>
      <c r="B44" s="1793" t="s">
        <v>297</v>
      </c>
      <c r="C44" s="1782" t="s">
        <v>1272</v>
      </c>
      <c r="D44" s="1783"/>
      <c r="E44" s="1784">
        <v>2</v>
      </c>
      <c r="F44" s="1780" t="s">
        <v>1336</v>
      </c>
      <c r="G44" s="1781"/>
      <c r="H44" s="1747"/>
      <c r="I44" s="1747"/>
    </row>
    <row r="45" spans="1:9" s="1746" customFormat="1">
      <c r="A45" s="3918"/>
      <c r="B45" s="3914" t="s">
        <v>1337</v>
      </c>
      <c r="C45" s="1782" t="s">
        <v>1338</v>
      </c>
      <c r="D45" s="1783"/>
      <c r="E45" s="1784">
        <v>1</v>
      </c>
      <c r="F45" s="1780" t="s">
        <v>1339</v>
      </c>
      <c r="G45" s="1781"/>
      <c r="H45" s="1747"/>
      <c r="I45" s="1747"/>
    </row>
    <row r="46" spans="1:9" s="1746" customFormat="1">
      <c r="A46" s="3918"/>
      <c r="B46" s="3916"/>
      <c r="C46" s="1782" t="s">
        <v>1340</v>
      </c>
      <c r="D46" s="1783"/>
      <c r="E46" s="1784">
        <v>1</v>
      </c>
      <c r="F46" s="1780" t="s">
        <v>1341</v>
      </c>
      <c r="G46" s="1781"/>
      <c r="H46" s="1747"/>
      <c r="I46" s="1747"/>
    </row>
    <row r="47" spans="1:9" s="1746" customFormat="1">
      <c r="A47" s="3918"/>
      <c r="B47" s="3916"/>
      <c r="C47" s="1782" t="s">
        <v>1342</v>
      </c>
      <c r="D47" s="1783"/>
      <c r="E47" s="1784">
        <v>1</v>
      </c>
      <c r="F47" s="1780" t="s">
        <v>1343</v>
      </c>
      <c r="G47" s="1781"/>
      <c r="H47" s="1747"/>
      <c r="I47" s="1747"/>
    </row>
    <row r="48" spans="1:9" s="1746" customFormat="1">
      <c r="A48" s="3918"/>
      <c r="B48" s="3916"/>
      <c r="C48" s="1782" t="s">
        <v>1344</v>
      </c>
      <c r="D48" s="1783"/>
      <c r="E48" s="1784">
        <v>1</v>
      </c>
      <c r="F48" s="1780" t="s">
        <v>1345</v>
      </c>
      <c r="G48" s="1781"/>
      <c r="H48" s="1747"/>
      <c r="I48" s="1747"/>
    </row>
    <row r="49" spans="1:9" s="1746" customFormat="1">
      <c r="A49" s="3918"/>
      <c r="B49" s="3916"/>
      <c r="C49" s="1782" t="s">
        <v>1346</v>
      </c>
      <c r="D49" s="1783"/>
      <c r="E49" s="1784">
        <v>1</v>
      </c>
      <c r="F49" s="1780" t="s">
        <v>1347</v>
      </c>
      <c r="G49" s="1781"/>
      <c r="H49" s="1747"/>
      <c r="I49" s="1747"/>
    </row>
    <row r="50" spans="1:9" s="1746" customFormat="1">
      <c r="A50" s="3918"/>
      <c r="B50" s="3916"/>
      <c r="C50" s="1782" t="s">
        <v>1348</v>
      </c>
      <c r="D50" s="1783"/>
      <c r="E50" s="1784">
        <v>1</v>
      </c>
      <c r="F50" s="1780" t="s">
        <v>1349</v>
      </c>
      <c r="G50" s="1781"/>
      <c r="H50" s="1747"/>
      <c r="I50" s="1747"/>
    </row>
    <row r="51" spans="1:9" s="1746" customFormat="1">
      <c r="A51" s="3919"/>
      <c r="B51" s="3924"/>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14" t="s">
        <v>1360</v>
      </c>
      <c r="C73" s="1764" t="s">
        <v>1361</v>
      </c>
      <c r="D73" s="1764" t="s">
        <v>1362</v>
      </c>
      <c r="E73" s="1815">
        <v>0.2</v>
      </c>
      <c r="F73" s="1793">
        <v>25</v>
      </c>
      <c r="H73" s="1747">
        <f>SUMIF(C71:C139,基准地价!C8,E71:E139)</f>
        <v>0</v>
      </c>
    </row>
    <row r="74" spans="1:8" s="1747" customFormat="1" ht="24">
      <c r="A74" s="1793">
        <v>2</v>
      </c>
      <c r="B74" s="3916"/>
      <c r="C74" s="1764" t="s">
        <v>1363</v>
      </c>
      <c r="D74" s="1764" t="s">
        <v>1364</v>
      </c>
      <c r="E74" s="1815">
        <v>0.2</v>
      </c>
      <c r="F74" s="1793">
        <v>25</v>
      </c>
    </row>
    <row r="75" spans="1:8" s="1747" customFormat="1" ht="24">
      <c r="A75" s="1793">
        <v>3</v>
      </c>
      <c r="B75" s="3916"/>
      <c r="C75" s="1764" t="s">
        <v>1365</v>
      </c>
      <c r="D75" s="1764" t="s">
        <v>1366</v>
      </c>
      <c r="E75" s="1815">
        <v>0.2</v>
      </c>
      <c r="F75" s="1793">
        <v>25</v>
      </c>
    </row>
    <row r="76" spans="1:8" s="1747" customFormat="1">
      <c r="A76" s="1793">
        <v>4</v>
      </c>
      <c r="B76" s="3916"/>
      <c r="C76" s="1764" t="s">
        <v>1367</v>
      </c>
      <c r="D76" s="1764" t="s">
        <v>1368</v>
      </c>
      <c r="E76" s="1815">
        <v>0.15</v>
      </c>
      <c r="F76" s="1793">
        <v>20</v>
      </c>
    </row>
    <row r="77" spans="1:8" s="1747" customFormat="1" ht="24">
      <c r="A77" s="1793">
        <v>5</v>
      </c>
      <c r="B77" s="3916"/>
      <c r="C77" s="1764" t="s">
        <v>1369</v>
      </c>
      <c r="D77" s="1764" t="s">
        <v>1370</v>
      </c>
      <c r="E77" s="1815">
        <v>0.15</v>
      </c>
      <c r="F77" s="1793">
        <v>20</v>
      </c>
    </row>
    <row r="78" spans="1:8" s="1747" customFormat="1" ht="24">
      <c r="A78" s="1793">
        <v>6</v>
      </c>
      <c r="B78" s="3916"/>
      <c r="C78" s="1764" t="s">
        <v>1371</v>
      </c>
      <c r="D78" s="1764" t="s">
        <v>1372</v>
      </c>
      <c r="E78" s="1815">
        <v>0.15</v>
      </c>
      <c r="F78" s="1793">
        <v>20</v>
      </c>
    </row>
    <row r="79" spans="1:8" s="1747" customFormat="1" ht="24">
      <c r="A79" s="1793">
        <v>7</v>
      </c>
      <c r="B79" s="3916"/>
      <c r="C79" s="1764" t="s">
        <v>1373</v>
      </c>
      <c r="D79" s="1764" t="s">
        <v>1374</v>
      </c>
      <c r="E79" s="1815">
        <v>0.15</v>
      </c>
      <c r="F79" s="1793">
        <v>20</v>
      </c>
    </row>
    <row r="80" spans="1:8" s="1747" customFormat="1" ht="24">
      <c r="A80" s="1793">
        <v>8</v>
      </c>
      <c r="B80" s="3916"/>
      <c r="C80" s="1764" t="s">
        <v>1375</v>
      </c>
      <c r="D80" s="1764" t="s">
        <v>1376</v>
      </c>
      <c r="E80" s="1815">
        <v>0.1</v>
      </c>
      <c r="F80" s="1793">
        <v>15</v>
      </c>
    </row>
    <row r="81" spans="1:6" s="1747" customFormat="1" ht="24">
      <c r="A81" s="1793">
        <v>9</v>
      </c>
      <c r="B81" s="3916"/>
      <c r="C81" s="1764" t="s">
        <v>1377</v>
      </c>
      <c r="D81" s="1764" t="s">
        <v>1378</v>
      </c>
      <c r="E81" s="1815">
        <v>0.1</v>
      </c>
      <c r="F81" s="1793">
        <v>15</v>
      </c>
    </row>
    <row r="82" spans="1:6" s="1747" customFormat="1" ht="24">
      <c r="A82" s="1793">
        <v>10</v>
      </c>
      <c r="B82" s="3916"/>
      <c r="C82" s="1764" t="s">
        <v>1379</v>
      </c>
      <c r="D82" s="1764" t="s">
        <v>1380</v>
      </c>
      <c r="E82" s="1815">
        <v>0.1</v>
      </c>
      <c r="F82" s="1793">
        <v>15</v>
      </c>
    </row>
    <row r="83" spans="1:6" s="1747" customFormat="1" ht="24">
      <c r="A83" s="1793">
        <v>11</v>
      </c>
      <c r="B83" s="3916"/>
      <c r="C83" s="1764" t="s">
        <v>1381</v>
      </c>
      <c r="D83" s="1764" t="s">
        <v>1382</v>
      </c>
      <c r="E83" s="1815">
        <v>0.1</v>
      </c>
      <c r="F83" s="1793">
        <v>15</v>
      </c>
    </row>
    <row r="84" spans="1:6" s="1747" customFormat="1" ht="24">
      <c r="A84" s="1793">
        <v>12</v>
      </c>
      <c r="B84" s="3916"/>
      <c r="C84" s="1764" t="s">
        <v>1383</v>
      </c>
      <c r="D84" s="1764" t="s">
        <v>1384</v>
      </c>
      <c r="E84" s="1815">
        <v>0.1</v>
      </c>
      <c r="F84" s="1793">
        <v>15</v>
      </c>
    </row>
    <row r="85" spans="1:6" s="1747" customFormat="1">
      <c r="A85" s="1793">
        <v>13</v>
      </c>
      <c r="B85" s="3916"/>
      <c r="C85" s="1764" t="s">
        <v>1385</v>
      </c>
      <c r="D85" s="1764" t="s">
        <v>1386</v>
      </c>
      <c r="E85" s="1815">
        <v>0.1</v>
      </c>
      <c r="F85" s="1793">
        <v>15</v>
      </c>
    </row>
    <row r="86" spans="1:6" s="1747" customFormat="1">
      <c r="A86" s="1793">
        <v>14</v>
      </c>
      <c r="B86" s="3916"/>
      <c r="C86" s="1764" t="s">
        <v>1387</v>
      </c>
      <c r="D86" s="1764" t="s">
        <v>1388</v>
      </c>
      <c r="E86" s="1815">
        <v>0.1</v>
      </c>
      <c r="F86" s="1793">
        <v>15</v>
      </c>
    </row>
    <row r="87" spans="1:6" s="1747" customFormat="1">
      <c r="A87" s="1793">
        <v>15</v>
      </c>
      <c r="B87" s="3916"/>
      <c r="C87" s="1764" t="s">
        <v>1389</v>
      </c>
      <c r="D87" s="1764" t="s">
        <v>1390</v>
      </c>
      <c r="E87" s="1815">
        <v>0.1</v>
      </c>
      <c r="F87" s="1793">
        <v>15</v>
      </c>
    </row>
    <row r="88" spans="1:6" s="1747" customFormat="1" ht="24">
      <c r="A88" s="1793">
        <v>16</v>
      </c>
      <c r="B88" s="3916"/>
      <c r="C88" s="1764" t="s">
        <v>1391</v>
      </c>
      <c r="D88" s="1764" t="s">
        <v>1392</v>
      </c>
      <c r="E88" s="1815">
        <v>0.1</v>
      </c>
      <c r="F88" s="1793">
        <v>15</v>
      </c>
    </row>
    <row r="89" spans="1:6" s="1747" customFormat="1" ht="24">
      <c r="A89" s="1793">
        <v>17</v>
      </c>
      <c r="B89" s="3915"/>
      <c r="C89" s="1764" t="s">
        <v>1393</v>
      </c>
      <c r="D89" s="1764" t="s">
        <v>1394</v>
      </c>
      <c r="E89" s="1815">
        <v>0.1</v>
      </c>
      <c r="F89" s="1793">
        <v>15</v>
      </c>
    </row>
    <row r="90" spans="1:6" s="1747" customFormat="1">
      <c r="A90" s="1793">
        <v>18</v>
      </c>
      <c r="B90" s="3914" t="s">
        <v>1395</v>
      </c>
      <c r="C90" s="1764" t="s">
        <v>1396</v>
      </c>
      <c r="D90" s="1764" t="s">
        <v>1397</v>
      </c>
      <c r="E90" s="1815">
        <v>0.2</v>
      </c>
      <c r="F90" s="1793">
        <v>25</v>
      </c>
    </row>
    <row r="91" spans="1:6" s="1747" customFormat="1" ht="24">
      <c r="A91" s="1793">
        <v>19</v>
      </c>
      <c r="B91" s="3916"/>
      <c r="C91" s="1764" t="s">
        <v>1398</v>
      </c>
      <c r="D91" s="1764" t="s">
        <v>1399</v>
      </c>
      <c r="E91" s="1815">
        <v>0.2</v>
      </c>
      <c r="F91" s="1793">
        <v>25</v>
      </c>
    </row>
    <row r="92" spans="1:6" s="1747" customFormat="1">
      <c r="A92" s="1793">
        <v>20</v>
      </c>
      <c r="B92" s="3916"/>
      <c r="C92" s="1764" t="s">
        <v>1400</v>
      </c>
      <c r="D92" s="1764" t="s">
        <v>1401</v>
      </c>
      <c r="E92" s="1815">
        <v>0.15</v>
      </c>
      <c r="F92" s="1793">
        <v>20</v>
      </c>
    </row>
    <row r="93" spans="1:6" s="1747" customFormat="1" ht="24">
      <c r="A93" s="1793">
        <v>21</v>
      </c>
      <c r="B93" s="3916"/>
      <c r="C93" s="1764" t="s">
        <v>1402</v>
      </c>
      <c r="D93" s="1764" t="s">
        <v>1403</v>
      </c>
      <c r="E93" s="1815">
        <v>0.15</v>
      </c>
      <c r="F93" s="1793">
        <v>20</v>
      </c>
    </row>
    <row r="94" spans="1:6" s="1747" customFormat="1" ht="24">
      <c r="A94" s="1793">
        <v>22</v>
      </c>
      <c r="B94" s="3916"/>
      <c r="C94" s="1764" t="s">
        <v>1404</v>
      </c>
      <c r="D94" s="1764" t="s">
        <v>1405</v>
      </c>
      <c r="E94" s="1815">
        <v>0.15</v>
      </c>
      <c r="F94" s="1793">
        <v>20</v>
      </c>
    </row>
    <row r="95" spans="1:6" s="1747" customFormat="1" ht="36">
      <c r="A95" s="1793">
        <v>23</v>
      </c>
      <c r="B95" s="3916"/>
      <c r="C95" s="1764" t="s">
        <v>1406</v>
      </c>
      <c r="D95" s="1764" t="s">
        <v>1407</v>
      </c>
      <c r="E95" s="1815">
        <v>0.15</v>
      </c>
      <c r="F95" s="1793">
        <v>20</v>
      </c>
    </row>
    <row r="96" spans="1:6" s="1747" customFormat="1">
      <c r="A96" s="1793">
        <v>24</v>
      </c>
      <c r="B96" s="3916"/>
      <c r="C96" s="1764" t="s">
        <v>1408</v>
      </c>
      <c r="D96" s="1764" t="s">
        <v>1409</v>
      </c>
      <c r="E96" s="1815">
        <v>0.1</v>
      </c>
      <c r="F96" s="1793">
        <v>15</v>
      </c>
    </row>
    <row r="97" spans="1:6" s="1747" customFormat="1" ht="24">
      <c r="A97" s="1793">
        <v>25</v>
      </c>
      <c r="B97" s="3916"/>
      <c r="C97" s="1764" t="s">
        <v>1410</v>
      </c>
      <c r="D97" s="1764" t="s">
        <v>1411</v>
      </c>
      <c r="E97" s="1815">
        <v>0.1</v>
      </c>
      <c r="F97" s="1793">
        <v>15</v>
      </c>
    </row>
    <row r="98" spans="1:6" s="1747" customFormat="1" ht="24">
      <c r="A98" s="1793">
        <v>26</v>
      </c>
      <c r="B98" s="3916"/>
      <c r="C98" s="1764" t="s">
        <v>1412</v>
      </c>
      <c r="D98" s="1764" t="s">
        <v>1413</v>
      </c>
      <c r="E98" s="1815">
        <v>0.1</v>
      </c>
      <c r="F98" s="1793">
        <v>15</v>
      </c>
    </row>
    <row r="99" spans="1:6" s="1747" customFormat="1" ht="24">
      <c r="A99" s="1793">
        <v>27</v>
      </c>
      <c r="B99" s="3916"/>
      <c r="C99" s="1764" t="s">
        <v>1414</v>
      </c>
      <c r="D99" s="1764" t="s">
        <v>1415</v>
      </c>
      <c r="E99" s="1815">
        <v>0.1</v>
      </c>
      <c r="F99" s="1793">
        <v>15</v>
      </c>
    </row>
    <row r="100" spans="1:6" s="1747" customFormat="1" ht="24">
      <c r="A100" s="1793">
        <v>28</v>
      </c>
      <c r="B100" s="3916"/>
      <c r="C100" s="1764" t="s">
        <v>1416</v>
      </c>
      <c r="D100" s="1764" t="s">
        <v>1417</v>
      </c>
      <c r="E100" s="1815">
        <v>0.1</v>
      </c>
      <c r="F100" s="1793">
        <v>15</v>
      </c>
    </row>
    <row r="101" spans="1:6" s="1747" customFormat="1" ht="24">
      <c r="A101" s="1793">
        <v>29</v>
      </c>
      <c r="B101" s="3916"/>
      <c r="C101" s="1764" t="s">
        <v>1418</v>
      </c>
      <c r="D101" s="1764" t="s">
        <v>1419</v>
      </c>
      <c r="E101" s="1815">
        <v>0.1</v>
      </c>
      <c r="F101" s="1793">
        <v>15</v>
      </c>
    </row>
    <row r="102" spans="1:6" s="1747" customFormat="1" ht="24">
      <c r="A102" s="1793">
        <v>30</v>
      </c>
      <c r="B102" s="3916"/>
      <c r="C102" s="1764" t="s">
        <v>1420</v>
      </c>
      <c r="D102" s="1764" t="s">
        <v>1421</v>
      </c>
      <c r="E102" s="1815">
        <v>0.1</v>
      </c>
      <c r="F102" s="1793">
        <v>15</v>
      </c>
    </row>
    <row r="103" spans="1:6" s="1747" customFormat="1" ht="24">
      <c r="A103" s="1793">
        <v>31</v>
      </c>
      <c r="B103" s="3916"/>
      <c r="C103" s="1764" t="s">
        <v>1422</v>
      </c>
      <c r="D103" s="1764" t="s">
        <v>1423</v>
      </c>
      <c r="E103" s="1815">
        <v>0.1</v>
      </c>
      <c r="F103" s="1793">
        <v>15</v>
      </c>
    </row>
    <row r="104" spans="1:6" s="1747" customFormat="1" ht="24">
      <c r="A104" s="1793">
        <v>32</v>
      </c>
      <c r="B104" s="3916"/>
      <c r="C104" s="1764" t="s">
        <v>1424</v>
      </c>
      <c r="D104" s="1764" t="s">
        <v>1425</v>
      </c>
      <c r="E104" s="1815">
        <v>0.1</v>
      </c>
      <c r="F104" s="1793">
        <v>15</v>
      </c>
    </row>
    <row r="105" spans="1:6" s="1747" customFormat="1" ht="24">
      <c r="A105" s="1793">
        <v>33</v>
      </c>
      <c r="B105" s="3916"/>
      <c r="C105" s="1764" t="s">
        <v>1426</v>
      </c>
      <c r="D105" s="1764" t="s">
        <v>1427</v>
      </c>
      <c r="E105" s="1815">
        <v>0.1</v>
      </c>
      <c r="F105" s="1793">
        <v>15</v>
      </c>
    </row>
    <row r="106" spans="1:6" s="1747" customFormat="1" ht="24">
      <c r="A106" s="1793">
        <v>34</v>
      </c>
      <c r="B106" s="3915"/>
      <c r="C106" s="1764" t="s">
        <v>1428</v>
      </c>
      <c r="D106" s="1764" t="s">
        <v>1429</v>
      </c>
      <c r="E106" s="1815">
        <v>0.1</v>
      </c>
      <c r="F106" s="1793">
        <v>15</v>
      </c>
    </row>
    <row r="107" spans="1:6" s="1747" customFormat="1" ht="24">
      <c r="A107" s="1793">
        <v>35</v>
      </c>
      <c r="B107" s="3914" t="s">
        <v>1430</v>
      </c>
      <c r="C107" s="1793" t="s">
        <v>1431</v>
      </c>
      <c r="D107" s="1764" t="s">
        <v>1432</v>
      </c>
      <c r="E107" s="1815">
        <v>0.15</v>
      </c>
      <c r="F107" s="1793">
        <v>20</v>
      </c>
    </row>
    <row r="108" spans="1:6" s="1747" customFormat="1" ht="24">
      <c r="A108" s="1793">
        <v>36</v>
      </c>
      <c r="B108" s="3916"/>
      <c r="C108" s="1793" t="s">
        <v>1433</v>
      </c>
      <c r="D108" s="1764" t="s">
        <v>1434</v>
      </c>
      <c r="E108" s="1815">
        <v>0.15</v>
      </c>
      <c r="F108" s="1793">
        <v>20</v>
      </c>
    </row>
    <row r="109" spans="1:6" s="1747" customFormat="1" ht="24">
      <c r="A109" s="1793">
        <v>37</v>
      </c>
      <c r="B109" s="3916"/>
      <c r="C109" s="1793" t="s">
        <v>1435</v>
      </c>
      <c r="D109" s="1764" t="s">
        <v>1436</v>
      </c>
      <c r="E109" s="1815">
        <v>0.15</v>
      </c>
      <c r="F109" s="1793">
        <v>20</v>
      </c>
    </row>
    <row r="110" spans="1:6" s="1747" customFormat="1">
      <c r="A110" s="1793">
        <v>38</v>
      </c>
      <c r="B110" s="3916"/>
      <c r="C110" s="1793" t="s">
        <v>1437</v>
      </c>
      <c r="D110" s="1764" t="s">
        <v>1438</v>
      </c>
      <c r="E110" s="1815">
        <v>0.1</v>
      </c>
      <c r="F110" s="1793">
        <v>15</v>
      </c>
    </row>
    <row r="111" spans="1:6" s="1747" customFormat="1" ht="24">
      <c r="A111" s="1793">
        <v>39</v>
      </c>
      <c r="B111" s="3916"/>
      <c r="C111" s="1793" t="s">
        <v>1439</v>
      </c>
      <c r="D111" s="1764" t="s">
        <v>1440</v>
      </c>
      <c r="E111" s="1815">
        <v>0.1</v>
      </c>
      <c r="F111" s="1793">
        <v>15</v>
      </c>
    </row>
    <row r="112" spans="1:6" s="1747" customFormat="1" ht="24">
      <c r="A112" s="1793">
        <v>40</v>
      </c>
      <c r="B112" s="3915"/>
      <c r="C112" s="1793" t="s">
        <v>1441</v>
      </c>
      <c r="D112" s="1764" t="s">
        <v>1442</v>
      </c>
      <c r="E112" s="1815">
        <v>0.1</v>
      </c>
      <c r="F112" s="1793">
        <v>15</v>
      </c>
    </row>
    <row r="113" spans="1:6" s="1747" customFormat="1" ht="24">
      <c r="A113" s="1793">
        <v>41</v>
      </c>
      <c r="B113" s="3913" t="s">
        <v>1443</v>
      </c>
      <c r="C113" s="1793" t="s">
        <v>1444</v>
      </c>
      <c r="D113" s="1764" t="s">
        <v>1445</v>
      </c>
      <c r="E113" s="1815">
        <v>0.1</v>
      </c>
      <c r="F113" s="1793">
        <v>15</v>
      </c>
    </row>
    <row r="114" spans="1:6" s="1747" customFormat="1">
      <c r="A114" s="1793">
        <v>42</v>
      </c>
      <c r="B114" s="3913"/>
      <c r="C114" s="1793" t="s">
        <v>1446</v>
      </c>
      <c r="D114" s="1764" t="s">
        <v>1447</v>
      </c>
      <c r="E114" s="1815">
        <v>0.1</v>
      </c>
      <c r="F114" s="1793">
        <v>15</v>
      </c>
    </row>
    <row r="115" spans="1:6" s="1747" customFormat="1" ht="24">
      <c r="A115" s="1793">
        <v>43</v>
      </c>
      <c r="B115" s="3913"/>
      <c r="C115" s="1793" t="s">
        <v>1448</v>
      </c>
      <c r="D115" s="1764" t="s">
        <v>1449</v>
      </c>
      <c r="E115" s="1815">
        <v>0.1</v>
      </c>
      <c r="F115" s="1793">
        <v>15</v>
      </c>
    </row>
    <row r="116" spans="1:6" s="1747" customFormat="1" ht="24">
      <c r="A116" s="1793">
        <v>44</v>
      </c>
      <c r="B116" s="3914" t="s">
        <v>1450</v>
      </c>
      <c r="C116" s="1793" t="s">
        <v>1451</v>
      </c>
      <c r="D116" s="1764" t="s">
        <v>1452</v>
      </c>
      <c r="E116" s="1815">
        <v>0.1</v>
      </c>
      <c r="F116" s="1793">
        <v>15</v>
      </c>
    </row>
    <row r="117" spans="1:6" s="1747" customFormat="1" ht="24">
      <c r="A117" s="1793">
        <v>45</v>
      </c>
      <c r="B117" s="3915"/>
      <c r="C117" s="1764" t="s">
        <v>1453</v>
      </c>
      <c r="D117" s="1764" t="s">
        <v>1454</v>
      </c>
      <c r="E117" s="1815">
        <v>0.1</v>
      </c>
      <c r="F117" s="1793">
        <v>15</v>
      </c>
    </row>
    <row r="118" spans="1:6" s="1747" customFormat="1" ht="24">
      <c r="A118" s="1793">
        <v>46</v>
      </c>
      <c r="B118" s="3914" t="s">
        <v>1455</v>
      </c>
      <c r="C118" s="1793" t="s">
        <v>1456</v>
      </c>
      <c r="D118" s="1764" t="s">
        <v>1457</v>
      </c>
      <c r="E118" s="1815">
        <v>0.1</v>
      </c>
      <c r="F118" s="1793">
        <v>15</v>
      </c>
    </row>
    <row r="119" spans="1:6" s="1747" customFormat="1" ht="24">
      <c r="A119" s="1793">
        <v>47</v>
      </c>
      <c r="B119" s="3915"/>
      <c r="C119" s="1793" t="s">
        <v>1458</v>
      </c>
      <c r="D119" s="1764" t="s">
        <v>1459</v>
      </c>
      <c r="E119" s="1815">
        <v>0.1</v>
      </c>
      <c r="F119" s="1793">
        <v>15</v>
      </c>
    </row>
    <row r="120" spans="1:6" s="1747" customFormat="1" ht="24">
      <c r="A120" s="1793">
        <v>48</v>
      </c>
      <c r="B120" s="3914" t="s">
        <v>1460</v>
      </c>
      <c r="C120" s="1793" t="s">
        <v>1461</v>
      </c>
      <c r="D120" s="1764" t="s">
        <v>1462</v>
      </c>
      <c r="E120" s="1815">
        <v>0.1</v>
      </c>
      <c r="F120" s="1793">
        <v>15</v>
      </c>
    </row>
    <row r="121" spans="1:6" s="1747" customFormat="1">
      <c r="A121" s="1793">
        <v>49</v>
      </c>
      <c r="B121" s="3915"/>
      <c r="C121" s="1793" t="s">
        <v>1463</v>
      </c>
      <c r="D121" s="1764" t="s">
        <v>1464</v>
      </c>
      <c r="E121" s="1815">
        <v>0.1</v>
      </c>
      <c r="F121" s="1793">
        <v>15</v>
      </c>
    </row>
    <row r="122" spans="1:6" s="1747" customFormat="1" ht="24">
      <c r="A122" s="1793">
        <v>50</v>
      </c>
      <c r="B122" s="3913" t="s">
        <v>1465</v>
      </c>
      <c r="C122" s="1793" t="s">
        <v>1466</v>
      </c>
      <c r="D122" s="1764" t="s">
        <v>1467</v>
      </c>
      <c r="E122" s="1815">
        <v>0.1</v>
      </c>
      <c r="F122" s="1793">
        <v>15</v>
      </c>
    </row>
    <row r="123" spans="1:6" s="1747" customFormat="1" ht="24">
      <c r="A123" s="1793">
        <v>51</v>
      </c>
      <c r="B123" s="3913"/>
      <c r="C123" s="1793" t="s">
        <v>1468</v>
      </c>
      <c r="D123" s="1764" t="s">
        <v>1469</v>
      </c>
      <c r="E123" s="1815">
        <v>0.1</v>
      </c>
      <c r="F123" s="1793">
        <v>15</v>
      </c>
    </row>
    <row r="124" spans="1:6" s="1747" customFormat="1" ht="24">
      <c r="A124" s="1793">
        <v>52</v>
      </c>
      <c r="B124" s="3913" t="s">
        <v>1470</v>
      </c>
      <c r="C124" s="1793" t="s">
        <v>1471</v>
      </c>
      <c r="D124" s="1764" t="s">
        <v>1472</v>
      </c>
      <c r="E124" s="1815">
        <v>0.1</v>
      </c>
      <c r="F124" s="1793">
        <v>15</v>
      </c>
    </row>
    <row r="125" spans="1:6" s="1747" customFormat="1" ht="24">
      <c r="A125" s="1793">
        <v>53</v>
      </c>
      <c r="B125" s="3913"/>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13" t="s">
        <v>1478</v>
      </c>
      <c r="C127" s="1793" t="s">
        <v>1479</v>
      </c>
      <c r="D127" s="1764" t="s">
        <v>1480</v>
      </c>
      <c r="E127" s="1815">
        <v>0.1</v>
      </c>
      <c r="F127" s="1793">
        <v>15</v>
      </c>
    </row>
    <row r="128" spans="1:6">
      <c r="A128" s="1793">
        <v>56</v>
      </c>
      <c r="B128" s="3913"/>
      <c r="C128" s="1793" t="s">
        <v>1481</v>
      </c>
      <c r="D128" s="1764" t="s">
        <v>1482</v>
      </c>
      <c r="E128" s="1815">
        <v>0.1</v>
      </c>
      <c r="F128" s="1793">
        <v>15</v>
      </c>
    </row>
    <row r="129" spans="1:14" ht="24">
      <c r="A129" s="1793">
        <v>57</v>
      </c>
      <c r="B129" s="3913"/>
      <c r="C129" s="1793" t="s">
        <v>1483</v>
      </c>
      <c r="D129" s="1764" t="s">
        <v>1484</v>
      </c>
      <c r="E129" s="1815">
        <v>0.1</v>
      </c>
      <c r="F129" s="1793">
        <v>15</v>
      </c>
    </row>
    <row r="130" spans="1:14" ht="24">
      <c r="A130" s="1793">
        <v>58</v>
      </c>
      <c r="B130" s="3913" t="s">
        <v>1485</v>
      </c>
      <c r="C130" s="1793" t="s">
        <v>1486</v>
      </c>
      <c r="D130" s="1764" t="s">
        <v>1487</v>
      </c>
      <c r="E130" s="1815">
        <v>0.1</v>
      </c>
      <c r="F130" s="1793">
        <v>15</v>
      </c>
    </row>
    <row r="131" spans="1:14" ht="24">
      <c r="A131" s="1793">
        <v>59</v>
      </c>
      <c r="B131" s="3913"/>
      <c r="C131" s="1793" t="s">
        <v>1488</v>
      </c>
      <c r="D131" s="1764" t="s">
        <v>1489</v>
      </c>
      <c r="E131" s="1815">
        <v>0.1</v>
      </c>
      <c r="F131" s="1793">
        <v>15</v>
      </c>
    </row>
    <row r="132" spans="1:14" ht="24">
      <c r="A132" s="1793">
        <v>60</v>
      </c>
      <c r="B132" s="3914" t="s">
        <v>1490</v>
      </c>
      <c r="C132" s="1793" t="s">
        <v>1491</v>
      </c>
      <c r="D132" s="1764" t="s">
        <v>1492</v>
      </c>
      <c r="E132" s="1815">
        <v>0.1</v>
      </c>
      <c r="F132" s="1793">
        <v>15</v>
      </c>
    </row>
    <row r="133" spans="1:14" ht="24">
      <c r="A133" s="1793">
        <v>61</v>
      </c>
      <c r="B133" s="3915"/>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13" t="s">
        <v>1498</v>
      </c>
      <c r="C135" s="1793" t="s">
        <v>1499</v>
      </c>
      <c r="D135" s="1764" t="s">
        <v>1500</v>
      </c>
      <c r="E135" s="1815">
        <v>0.1</v>
      </c>
      <c r="F135" s="1793">
        <v>15</v>
      </c>
    </row>
    <row r="136" spans="1:14">
      <c r="A136" s="1793">
        <v>64</v>
      </c>
      <c r="B136" s="3913"/>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25" t="s">
        <v>1506</v>
      </c>
      <c r="B1" s="3925"/>
      <c r="C1" s="3925"/>
      <c r="D1" s="3925"/>
      <c r="E1" s="3925"/>
      <c r="F1" s="3925"/>
      <c r="G1" s="3926"/>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27"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28"/>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9" t="s">
        <v>1890</v>
      </c>
      <c r="B1" s="3929"/>
      <c r="C1" s="3929"/>
      <c r="D1" s="3929"/>
      <c r="E1" s="3929"/>
      <c r="F1" s="3930"/>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31" t="s">
        <v>1900</v>
      </c>
      <c r="B1" s="3931"/>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2" t="s">
        <v>1901</v>
      </c>
      <c r="C1" s="3942"/>
      <c r="D1" s="3942"/>
      <c r="E1" s="3942"/>
      <c r="F1" s="3942"/>
      <c r="G1" s="3939" t="s">
        <v>1902</v>
      </c>
      <c r="H1" s="3939"/>
      <c r="I1" s="3939"/>
      <c r="J1" s="3939"/>
      <c r="K1" s="3939"/>
      <c r="L1" s="3939"/>
      <c r="N1" s="3939" t="s">
        <v>1903</v>
      </c>
      <c r="O1" s="3939"/>
      <c r="P1" s="3939"/>
      <c r="Q1" s="3939"/>
      <c r="S1" s="3939" t="s">
        <v>1904</v>
      </c>
      <c r="T1" s="3939"/>
      <c r="U1" s="3939"/>
      <c r="V1" s="3939"/>
      <c r="X1" s="3938" t="s">
        <v>1905</v>
      </c>
      <c r="Y1" s="3939"/>
      <c r="Z1" s="3939"/>
      <c r="AA1" s="3939"/>
      <c r="AB1" s="3939"/>
      <c r="AD1" s="3938" t="s">
        <v>1906</v>
      </c>
      <c r="AE1" s="3939"/>
      <c r="AF1" s="3939"/>
      <c r="AG1" s="3939"/>
      <c r="AH1" s="3939"/>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33">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33"/>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33"/>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40"/>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41">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33"/>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33"/>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40"/>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41">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33"/>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33"/>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34"/>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32">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33"/>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33"/>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34"/>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32">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33"/>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33"/>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34"/>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35">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36"/>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36"/>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37"/>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32">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33"/>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33"/>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34"/>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32">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33">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33">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34">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32">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33">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33">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34">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32">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33">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33">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34">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32">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33">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33">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34">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32">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33">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33">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34">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32">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33">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33">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34">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32">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33">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33">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34">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32">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33">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33">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34">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32">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33">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33">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34">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32">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33">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33">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34">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根据《国有土地使用证》[]，估价对象（分摊）出让国有建设用地使用权面积为55570.2平方米。根据《建设工程规划许可证》[]、《出让合同》[]，估价对象规划建筑面积为173355.13平方米。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45316</v>
      </c>
      <c r="B1" s="1427" t="s">
        <v>2004</v>
      </c>
      <c r="C1" s="1428"/>
      <c r="D1" s="1428"/>
      <c r="E1" s="1428"/>
      <c r="F1" s="1428"/>
      <c r="G1" s="1428"/>
      <c r="H1" s="1428"/>
      <c r="I1" s="1428"/>
      <c r="J1" s="1458"/>
      <c r="K1" s="1428" t="s">
        <v>1903</v>
      </c>
      <c r="L1" s="1428"/>
      <c r="M1" s="1428"/>
      <c r="N1" s="1428"/>
      <c r="O1" s="1428"/>
      <c r="P1" s="1428"/>
      <c r="Q1" s="1458"/>
      <c r="R1" s="3943" t="s">
        <v>1905</v>
      </c>
      <c r="S1" s="3944"/>
      <c r="T1" s="3944"/>
      <c r="U1" s="3944"/>
      <c r="V1" s="3944"/>
      <c r="W1" s="3944"/>
      <c r="X1" s="1458"/>
      <c r="Y1" s="3943" t="s">
        <v>1906</v>
      </c>
      <c r="Z1" s="3944"/>
      <c r="AA1" s="3944"/>
      <c r="AB1" s="3944"/>
      <c r="AC1" s="3944"/>
      <c r="AD1" s="3944"/>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43" t="s">
        <v>1905</v>
      </c>
      <c r="S23" s="3944"/>
      <c r="T23" s="3944"/>
      <c r="U23" s="3944"/>
      <c r="V23" s="3944"/>
      <c r="W23" s="3944"/>
      <c r="X23" s="1458"/>
      <c r="Y23" s="3943" t="s">
        <v>1906</v>
      </c>
      <c r="Z23" s="3944"/>
      <c r="AA23" s="3944"/>
      <c r="AB23" s="3944"/>
      <c r="AC23" s="3944"/>
      <c r="AD23" s="3944"/>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47" t="s">
        <v>2028</v>
      </c>
      <c r="C8" s="1368">
        <f ca="1">ROUND(F8*F10*F9*(1-F11)/10000,0)</f>
        <v>0</v>
      </c>
      <c r="D8" s="1369" t="s">
        <v>2029</v>
      </c>
      <c r="E8" s="1370" t="s">
        <v>2030</v>
      </c>
      <c r="F8" s="659">
        <f ca="1">INDIRECT("'数据-取费表'!u"&amp;$G$1)</f>
        <v>0</v>
      </c>
      <c r="G8" s="837"/>
      <c r="H8" s="660" t="s">
        <v>879</v>
      </c>
      <c r="I8" s="3947" t="s">
        <v>2028</v>
      </c>
      <c r="J8" s="656">
        <f ca="1">ROUND(M8*M10*M9*(1-M11)/10000,0)</f>
        <v>0</v>
      </c>
      <c r="K8" s="730" t="s">
        <v>2029</v>
      </c>
      <c r="L8" s="658" t="s">
        <v>2030</v>
      </c>
      <c r="M8" s="659">
        <f ca="1">INDIRECT("'数据-取费表'!z"&amp;$G$1)</f>
        <v>0</v>
      </c>
    </row>
    <row r="9" spans="1:25" ht="18" customHeight="1">
      <c r="A9" s="661"/>
      <c r="B9" s="3948"/>
      <c r="C9" s="1371"/>
      <c r="D9" s="1372"/>
      <c r="E9" s="1370" t="s">
        <v>2031</v>
      </c>
      <c r="F9" s="659">
        <f ca="1">IF(INDIRECT("'数据-取费表'!ah"&amp;$G$1)="",INDIRECT("'数据-取费表'!k"&amp;$G$1),INDIRECT("'数据-取费表'!ah"&amp;$G$1))</f>
        <v>0</v>
      </c>
      <c r="G9" s="837"/>
      <c r="H9" s="664"/>
      <c r="I9" s="3948"/>
      <c r="J9" s="662"/>
      <c r="K9" s="663"/>
      <c r="L9" s="658" t="s">
        <v>2031</v>
      </c>
      <c r="M9" s="659">
        <f ca="1">F9</f>
        <v>0</v>
      </c>
    </row>
    <row r="10" spans="1:25" ht="18" customHeight="1">
      <c r="A10" s="665"/>
      <c r="B10" s="3949"/>
      <c r="C10" s="1371"/>
      <c r="D10" s="1372"/>
      <c r="E10" s="1370" t="s">
        <v>2032</v>
      </c>
      <c r="F10" s="659">
        <f ca="1">INDIRECT("'数据-取费表'!ai"&amp;$G$1)</f>
        <v>0</v>
      </c>
      <c r="G10" s="837"/>
      <c r="H10" s="664"/>
      <c r="I10" s="3949"/>
      <c r="J10" s="662"/>
      <c r="K10" s="663"/>
      <c r="L10" s="658" t="s">
        <v>2032</v>
      </c>
      <c r="M10" s="659">
        <f ca="1">INDIRECT("'数据-取费表'!ai"&amp;$G$1)</f>
        <v>0</v>
      </c>
    </row>
    <row r="11" spans="1:25" ht="18" customHeight="1">
      <c r="A11" s="666"/>
      <c r="B11" s="3950"/>
      <c r="C11" s="1371"/>
      <c r="D11" s="1372"/>
      <c r="E11" s="1370" t="s">
        <v>2033</v>
      </c>
      <c r="F11" s="667">
        <f ca="1">INDIRECT("'数据-取费表'!w"&amp;$G$1)</f>
        <v>0</v>
      </c>
      <c r="G11" s="837"/>
      <c r="H11" s="668"/>
      <c r="I11" s="3949"/>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51"/>
      <c r="J36" s="815"/>
      <c r="K36" s="814"/>
      <c r="L36" s="815"/>
      <c r="M36" s="815"/>
    </row>
    <row r="37" spans="1:18" ht="18" customHeight="1">
      <c r="A37" s="733"/>
      <c r="B37" s="734"/>
      <c r="C37" s="735"/>
      <c r="D37" s="736"/>
      <c r="E37" s="658" t="s">
        <v>2071</v>
      </c>
      <c r="F37" s="659">
        <f ca="1">INDIRECT("'数据-取费表'!r"&amp;$G$1)</f>
        <v>0</v>
      </c>
      <c r="G37" s="648"/>
      <c r="H37" s="722"/>
      <c r="I37" s="3951"/>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45"/>
      <c r="L54" s="3946"/>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4" t="s">
        <v>2199</v>
      </c>
      <c r="K2" s="3965"/>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58" t="s">
        <v>2209</v>
      </c>
      <c r="K3" s="3959"/>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58" t="s">
        <v>2210</v>
      </c>
      <c r="K4" s="3959"/>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8" t="s">
        <v>2213</v>
      </c>
      <c r="B6" s="3969"/>
      <c r="C6" s="3970"/>
      <c r="D6" s="1203"/>
      <c r="E6" s="1204"/>
      <c r="F6" s="1205"/>
      <c r="G6" s="1206"/>
      <c r="H6" s="1195"/>
      <c r="I6" s="1291"/>
      <c r="J6" s="3952">
        <v>1</v>
      </c>
      <c r="K6" s="3955"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52"/>
      <c r="K7" s="3956"/>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66" t="s">
        <v>2227</v>
      </c>
      <c r="C8" s="3967"/>
      <c r="D8" s="1217" t="s">
        <v>2228</v>
      </c>
      <c r="E8" s="1218" t="s">
        <v>2229</v>
      </c>
      <c r="F8" s="1219" t="s">
        <v>2230</v>
      </c>
      <c r="G8" s="1220"/>
      <c r="H8" s="1195"/>
      <c r="I8" s="1291"/>
      <c r="J8" s="3952"/>
      <c r="K8" s="3956"/>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66" t="s">
        <v>2233</v>
      </c>
      <c r="C9" s="3967"/>
      <c r="D9" s="1217">
        <f>ROUND(D6*E9,0)</f>
        <v>0</v>
      </c>
      <c r="E9" s="1221"/>
      <c r="F9" s="1222" t="s">
        <v>2234</v>
      </c>
      <c r="G9" s="1206"/>
      <c r="H9" s="1195"/>
      <c r="I9" s="1291"/>
      <c r="J9" s="3952"/>
      <c r="K9" s="3956"/>
      <c r="L9" s="1301" t="s">
        <v>2235</v>
      </c>
      <c r="M9" s="1302"/>
      <c r="N9" s="1199"/>
      <c r="O9" s="1303"/>
      <c r="P9" s="1303"/>
      <c r="Q9" s="1232">
        <v>365</v>
      </c>
      <c r="R9" s="1337">
        <f t="shared" si="0"/>
        <v>0</v>
      </c>
      <c r="S9" s="1330"/>
      <c r="T9" s="1330"/>
      <c r="U9" s="1330"/>
      <c r="V9" s="1291"/>
    </row>
    <row r="10" spans="1:22" s="1177" customFormat="1" ht="13.15" customHeight="1">
      <c r="A10" s="1214">
        <v>2</v>
      </c>
      <c r="B10" s="3966" t="s">
        <v>2236</v>
      </c>
      <c r="C10" s="3967"/>
      <c r="D10" s="1217">
        <f>ROUND(D6*E10,0)</f>
        <v>0</v>
      </c>
      <c r="E10" s="1221"/>
      <c r="F10" s="1222" t="s">
        <v>2237</v>
      </c>
      <c r="G10" s="1206"/>
      <c r="H10" s="1195"/>
      <c r="I10" s="1291"/>
      <c r="J10" s="3952"/>
      <c r="K10" s="3956"/>
      <c r="L10" s="1301" t="s">
        <v>2238</v>
      </c>
      <c r="M10" s="1302"/>
      <c r="N10" s="1199"/>
      <c r="O10" s="1303"/>
      <c r="P10" s="1303"/>
      <c r="Q10" s="1232">
        <v>365</v>
      </c>
      <c r="R10" s="1337">
        <f t="shared" si="0"/>
        <v>0</v>
      </c>
      <c r="S10" s="1330"/>
      <c r="T10" s="1330"/>
      <c r="U10" s="1330"/>
      <c r="V10" s="1291"/>
    </row>
    <row r="11" spans="1:22" s="1177" customFormat="1" ht="13.15" customHeight="1">
      <c r="A11" s="1214">
        <v>3</v>
      </c>
      <c r="B11" s="3966" t="s">
        <v>2239</v>
      </c>
      <c r="C11" s="3967"/>
      <c r="D11" s="1217">
        <f>D12+D14+D15+D16</f>
        <v>0</v>
      </c>
      <c r="E11" s="1223" t="e">
        <f>D11/D6</f>
        <v>#DIV/0!</v>
      </c>
      <c r="F11" s="1219"/>
      <c r="G11" s="1220"/>
      <c r="H11" s="1195"/>
      <c r="I11" s="1291"/>
      <c r="J11" s="3952"/>
      <c r="K11" s="3956"/>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60" t="s">
        <v>2242</v>
      </c>
      <c r="C12" s="3961"/>
      <c r="D12" s="1227">
        <f>ROUND(D13*1.2%*(1-30%),0)</f>
        <v>0</v>
      </c>
      <c r="E12" s="1228">
        <v>1.2E-2</v>
      </c>
      <c r="F12" s="1219" t="s">
        <v>2243</v>
      </c>
      <c r="G12" s="1220"/>
      <c r="H12" s="1195"/>
      <c r="I12" s="1291"/>
      <c r="J12" s="3952"/>
      <c r="K12" s="3956"/>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52"/>
      <c r="K13" s="3956"/>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60" t="s">
        <v>2248</v>
      </c>
      <c r="C14" s="3961"/>
      <c r="D14" s="1227">
        <f>ROUND(E14*B5/10000,0)</f>
        <v>0</v>
      </c>
      <c r="E14" s="1232"/>
      <c r="F14" s="1219" t="s">
        <v>2249</v>
      </c>
      <c r="G14" s="1220"/>
      <c r="H14" s="1195"/>
      <c r="I14" s="1291"/>
      <c r="J14" s="3952"/>
      <c r="K14" s="3957"/>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60" t="s">
        <v>2252</v>
      </c>
      <c r="C15" s="3961"/>
      <c r="D15" s="1227">
        <f>ROUND(D6*E15,0)</f>
        <v>0</v>
      </c>
      <c r="E15" s="1228">
        <v>5.5E-2</v>
      </c>
      <c r="F15" s="1219" t="s">
        <v>2253</v>
      </c>
      <c r="G15" s="1206"/>
      <c r="H15" s="1195"/>
      <c r="I15" s="1291"/>
      <c r="J15" s="3952">
        <v>2</v>
      </c>
      <c r="K15" s="3955"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60" t="s">
        <v>2260</v>
      </c>
      <c r="C16" s="3961"/>
      <c r="D16" s="1233">
        <f>D6*E16</f>
        <v>0</v>
      </c>
      <c r="E16" s="1234"/>
      <c r="F16" s="1222" t="s">
        <v>2261</v>
      </c>
      <c r="G16" s="1206"/>
      <c r="H16" s="1195"/>
      <c r="I16" s="1291"/>
      <c r="J16" s="3952"/>
      <c r="K16" s="3956"/>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62" t="s">
        <v>2263</v>
      </c>
      <c r="C17" s="3963"/>
      <c r="D17" s="1236">
        <f>ROUND(D6*E17,0)</f>
        <v>0</v>
      </c>
      <c r="E17" s="1237"/>
      <c r="F17" s="1238" t="s">
        <v>2264</v>
      </c>
      <c r="G17" s="1206"/>
      <c r="H17" s="1195"/>
      <c r="I17" s="1291"/>
      <c r="J17" s="3952"/>
      <c r="K17" s="3956"/>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52"/>
      <c r="K18" s="3956"/>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52"/>
      <c r="K19" s="3957"/>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52">
        <v>3</v>
      </c>
      <c r="K20" s="3955"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52"/>
      <c r="K21" s="3956"/>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52"/>
      <c r="K22" s="3956"/>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52"/>
      <c r="K23" s="3956"/>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52"/>
      <c r="K24" s="3957"/>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53">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54"/>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4" t="s">
        <v>2199</v>
      </c>
      <c r="K32" s="3965"/>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58" t="s">
        <v>2209</v>
      </c>
      <c r="K33" s="3959"/>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58" t="s">
        <v>2210</v>
      </c>
      <c r="K34" s="3959"/>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52">
        <v>1</v>
      </c>
      <c r="K36" s="3955"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52"/>
      <c r="K37" s="3956"/>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52"/>
      <c r="K38" s="3956"/>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52"/>
      <c r="K39" s="3956"/>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52"/>
      <c r="K40" s="3957"/>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53">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54"/>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1789</v>
      </c>
      <c r="D12" s="1143">
        <f>'数据-汇总表'!E5</f>
        <v>119243.57</v>
      </c>
      <c r="E12" s="1143">
        <f>'数据-取费表'!B27</f>
        <v>150</v>
      </c>
      <c r="F12" s="1152"/>
      <c r="G12" s="1148"/>
    </row>
    <row r="13" spans="1:25" s="1117" customFormat="1" ht="13.5" customHeight="1">
      <c r="A13" s="1154" t="s">
        <v>2323</v>
      </c>
      <c r="B13" s="1155" t="s">
        <v>2324</v>
      </c>
      <c r="C13" s="1156">
        <f>ROUND(D13*E13/10000,0)</f>
        <v>1028</v>
      </c>
      <c r="D13" s="1143">
        <f>'数据-汇总表'!E6</f>
        <v>54111.56</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0.91800000000000004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G42" sqref="G42"/>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157357</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9077</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28317</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1888</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329193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3523</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119243.57</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312931</v>
      </c>
      <c r="D10" s="1015">
        <f>'不动产比较法-车位'!B2</f>
        <v>16262</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84321</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2530</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1968</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173355.13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93551</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173355.13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1789</v>
      </c>
      <c r="D21" s="1026">
        <f ca="1">IF(B1="",'数据-汇总表'!E5,IF(INDIRECT("'数据-取费表'!c"&amp;$K$1)="住宅",INDIRECT("'数据-取费表'!k"&amp;$K$1),0))</f>
        <v>119243.57</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1028</v>
      </c>
      <c r="D22" s="1026">
        <f ca="1">IF(B1="",'数据-汇总表'!E6,IF(INDIRECT("'数据-取费表'!c"&amp;$K$1)="住宅",INDIRECT("'数据-取费表'!s"&amp;$K$1),INDIRECT("'数据-取费表'!k"&amp;$K$1)+INDIRECT("'数据-取费表'!s"&amp;$K$1)))</f>
        <v>54111.56</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4938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17243</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124085</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124085</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157357</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312931</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119243.57</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83" t="s">
        <v>994</v>
      </c>
      <c r="D4" s="3884"/>
      <c r="E4" s="3894" t="s">
        <v>995</v>
      </c>
      <c r="F4" s="3895"/>
      <c r="G4" s="3883" t="s">
        <v>996</v>
      </c>
      <c r="H4" s="3884"/>
      <c r="I4" s="3883" t="s">
        <v>997</v>
      </c>
      <c r="J4" s="3884"/>
      <c r="K4" s="910" t="s">
        <v>998</v>
      </c>
      <c r="L4" s="389"/>
      <c r="M4" s="390"/>
      <c r="N4" s="390"/>
      <c r="O4" s="390"/>
      <c r="P4" s="3860" t="s">
        <v>999</v>
      </c>
      <c r="Q4" s="3861"/>
      <c r="R4" s="3851" t="s">
        <v>995</v>
      </c>
      <c r="S4" s="3852"/>
      <c r="T4" s="3851" t="s">
        <v>996</v>
      </c>
      <c r="U4" s="3852"/>
      <c r="V4" s="3866" t="s">
        <v>997</v>
      </c>
      <c r="W4" s="3866"/>
      <c r="X4" s="460"/>
      <c r="Y4" s="3851" t="s">
        <v>999</v>
      </c>
      <c r="Z4" s="3852"/>
      <c r="AA4" s="3857" t="s">
        <v>995</v>
      </c>
      <c r="AB4" s="3857" t="s">
        <v>996</v>
      </c>
      <c r="AC4" s="3857" t="s">
        <v>997</v>
      </c>
    </row>
    <row r="5" spans="1:29" ht="15">
      <c r="A5" s="225"/>
      <c r="B5" s="226"/>
      <c r="C5" s="3885" t="s">
        <v>1000</v>
      </c>
      <c r="D5" s="3886"/>
      <c r="E5" s="3974" t="s">
        <v>2702</v>
      </c>
      <c r="F5" s="3897"/>
      <c r="G5" s="3975" t="s">
        <v>2701</v>
      </c>
      <c r="H5" s="3886"/>
      <c r="I5" s="3975" t="s">
        <v>992</v>
      </c>
      <c r="J5" s="3886"/>
      <c r="K5" s="911"/>
      <c r="L5" s="389"/>
      <c r="M5" s="390"/>
      <c r="N5" s="390"/>
      <c r="O5" s="390"/>
      <c r="P5" s="3862"/>
      <c r="Q5" s="3863"/>
      <c r="R5" s="3853"/>
      <c r="S5" s="3854"/>
      <c r="T5" s="3853"/>
      <c r="U5" s="3854"/>
      <c r="V5" s="3866"/>
      <c r="W5" s="3866"/>
      <c r="X5" s="460"/>
      <c r="Y5" s="3853"/>
      <c r="Z5" s="3854"/>
      <c r="AA5" s="3858"/>
      <c r="AB5" s="3858"/>
      <c r="AC5" s="3858"/>
    </row>
    <row r="6" spans="1:29" ht="15">
      <c r="A6" s="227"/>
      <c r="B6" s="228"/>
      <c r="C6" s="3880" t="s">
        <v>1001</v>
      </c>
      <c r="D6" s="3881"/>
      <c r="E6" s="3892" t="s">
        <v>1001</v>
      </c>
      <c r="F6" s="3893"/>
      <c r="G6" s="3880" t="s">
        <v>1001</v>
      </c>
      <c r="H6" s="3881"/>
      <c r="I6" s="3880" t="s">
        <v>1001</v>
      </c>
      <c r="J6" s="3881"/>
      <c r="K6" s="911" t="s">
        <v>1002</v>
      </c>
      <c r="L6" s="389"/>
      <c r="M6" s="390"/>
      <c r="N6" s="390"/>
      <c r="O6" s="390"/>
      <c r="P6" s="3864"/>
      <c r="Q6" s="3865"/>
      <c r="R6" s="3853"/>
      <c r="S6" s="3854"/>
      <c r="T6" s="3855"/>
      <c r="U6" s="3856"/>
      <c r="V6" s="3866"/>
      <c r="W6" s="3866"/>
      <c r="X6" s="460"/>
      <c r="Y6" s="3855"/>
      <c r="Z6" s="3856"/>
      <c r="AA6" s="3859"/>
      <c r="AB6" s="3859"/>
      <c r="AC6" s="3859"/>
    </row>
    <row r="7" spans="1:29" s="199" customFormat="1" ht="15">
      <c r="A7" s="229"/>
      <c r="B7" s="230" t="s">
        <v>1003</v>
      </c>
      <c r="C7" s="231">
        <f>'数据-取费表'!B2</f>
        <v>45316</v>
      </c>
      <c r="D7" s="232">
        <v>100</v>
      </c>
      <c r="E7" s="233">
        <f>C7</f>
        <v>45316</v>
      </c>
      <c r="F7" s="234">
        <f>SUMIF(58:58,YEAR(E7)&amp;"-"&amp;MONTH(E7),59:59)</f>
        <v>100</v>
      </c>
      <c r="G7" s="235">
        <f>C7</f>
        <v>45316</v>
      </c>
      <c r="H7" s="232">
        <f>SUMIF(58:58,YEAR(G7)&amp;"-"&amp;MONTH(G7),59:59)</f>
        <v>100</v>
      </c>
      <c r="I7" s="235">
        <f>C7</f>
        <v>45316</v>
      </c>
      <c r="J7" s="232">
        <f>SUMIF(58:58,YEAR(I7)&amp;"-"&amp;MONTH(I7),59:59)</f>
        <v>100</v>
      </c>
      <c r="K7" s="912"/>
      <c r="L7" s="392"/>
      <c r="M7" s="393"/>
      <c r="N7" s="393"/>
      <c r="O7" s="393"/>
      <c r="P7" s="3872" t="s">
        <v>1004</v>
      </c>
      <c r="Q7" s="3882"/>
      <c r="R7" s="461" t="s">
        <v>1005</v>
      </c>
      <c r="S7" s="462">
        <f t="shared" ref="S7:S15" si="0">F7</f>
        <v>100</v>
      </c>
      <c r="T7" s="461" t="s">
        <v>1005</v>
      </c>
      <c r="U7" s="462">
        <f t="shared" ref="U7:U15" si="1">H7</f>
        <v>100</v>
      </c>
      <c r="V7" s="461" t="s">
        <v>1005</v>
      </c>
      <c r="W7" s="462">
        <f t="shared" ref="W7:W15" si="2">J7</f>
        <v>100</v>
      </c>
      <c r="X7" s="463"/>
      <c r="Y7" s="3872" t="s">
        <v>1004</v>
      </c>
      <c r="Z7" s="3873"/>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72" t="s">
        <v>1009</v>
      </c>
      <c r="Q8" s="3873"/>
      <c r="R8" s="461" t="s">
        <v>1005</v>
      </c>
      <c r="S8" s="462">
        <f t="shared" si="0"/>
        <v>100</v>
      </c>
      <c r="T8" s="461" t="s">
        <v>1005</v>
      </c>
      <c r="U8" s="462">
        <f t="shared" si="1"/>
        <v>100</v>
      </c>
      <c r="V8" s="461" t="s">
        <v>1005</v>
      </c>
      <c r="W8" s="462">
        <f t="shared" si="2"/>
        <v>100</v>
      </c>
      <c r="X8" s="463"/>
      <c r="Y8" s="3872" t="s">
        <v>1009</v>
      </c>
      <c r="Z8" s="3873"/>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67" t="s">
        <v>1011</v>
      </c>
      <c r="Q9" s="464" t="str">
        <f t="shared" ref="Q9:Q15" si="6">B9</f>
        <v>用途</v>
      </c>
      <c r="R9" s="461" t="s">
        <v>1005</v>
      </c>
      <c r="S9" s="462">
        <f t="shared" si="0"/>
        <v>100</v>
      </c>
      <c r="T9" s="461" t="s">
        <v>1005</v>
      </c>
      <c r="U9" s="462">
        <f t="shared" si="1"/>
        <v>100</v>
      </c>
      <c r="V9" s="461" t="s">
        <v>1005</v>
      </c>
      <c r="W9" s="462">
        <f t="shared" si="2"/>
        <v>100</v>
      </c>
      <c r="X9" s="463"/>
      <c r="Y9" s="382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67"/>
      <c r="Q11" s="464" t="str">
        <f t="shared" si="6"/>
        <v>容积率</v>
      </c>
      <c r="R11" s="461" t="s">
        <v>1005</v>
      </c>
      <c r="S11" s="462">
        <f t="shared" si="0"/>
        <v>100</v>
      </c>
      <c r="T11" s="461" t="s">
        <v>1005</v>
      </c>
      <c r="U11" s="462">
        <f t="shared" si="1"/>
        <v>100</v>
      </c>
      <c r="V11" s="461" t="s">
        <v>1005</v>
      </c>
      <c r="W11" s="462">
        <f t="shared" si="2"/>
        <v>100</v>
      </c>
      <c r="X11" s="463"/>
      <c r="Y11" s="3829"/>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67"/>
      <c r="Q14" s="464">
        <f t="shared" si="6"/>
        <v>111</v>
      </c>
      <c r="R14" s="461" t="s">
        <v>1005</v>
      </c>
      <c r="S14" s="462">
        <f t="shared" si="0"/>
        <v>100</v>
      </c>
      <c r="T14" s="461" t="s">
        <v>1005</v>
      </c>
      <c r="U14" s="462">
        <f t="shared" si="1"/>
        <v>100</v>
      </c>
      <c r="V14" s="461" t="s">
        <v>1005</v>
      </c>
      <c r="W14" s="462">
        <f t="shared" si="2"/>
        <v>100</v>
      </c>
      <c r="X14" s="463"/>
      <c r="Y14" s="3829"/>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4" t="s">
        <v>1017</v>
      </c>
      <c r="Q15" s="395" t="str">
        <f t="shared" si="6"/>
        <v>居住社区成熟度</v>
      </c>
      <c r="R15" s="465" t="s">
        <v>1005</v>
      </c>
      <c r="S15" s="466">
        <f t="shared" si="0"/>
        <v>102</v>
      </c>
      <c r="T15" s="465" t="s">
        <v>1005</v>
      </c>
      <c r="U15" s="466">
        <f t="shared" si="1"/>
        <v>102</v>
      </c>
      <c r="V15" s="465" t="s">
        <v>1005</v>
      </c>
      <c r="W15" s="466">
        <f t="shared" si="2"/>
        <v>102</v>
      </c>
      <c r="X15" s="460"/>
      <c r="Y15" s="3874"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5"/>
      <c r="Q16" s="395"/>
      <c r="R16" s="465"/>
      <c r="S16" s="466"/>
      <c r="T16" s="465"/>
      <c r="U16" s="466"/>
      <c r="V16" s="465"/>
      <c r="W16" s="466"/>
      <c r="X16" s="460"/>
      <c r="Y16" s="3875"/>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5"/>
      <c r="Q17" s="395" t="str">
        <f>B17</f>
        <v>交通便捷度</v>
      </c>
      <c r="R17" s="465" t="s">
        <v>1005</v>
      </c>
      <c r="S17" s="466">
        <f>F17</f>
        <v>100</v>
      </c>
      <c r="T17" s="465" t="s">
        <v>1005</v>
      </c>
      <c r="U17" s="466">
        <f>H17</f>
        <v>100</v>
      </c>
      <c r="V17" s="465" t="s">
        <v>1005</v>
      </c>
      <c r="W17" s="466">
        <f>J17</f>
        <v>100</v>
      </c>
      <c r="X17" s="460"/>
      <c r="Y17" s="3875"/>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5"/>
      <c r="Q18" s="395"/>
      <c r="R18" s="465"/>
      <c r="S18" s="466"/>
      <c r="T18" s="465"/>
      <c r="U18" s="466"/>
      <c r="V18" s="465"/>
      <c r="W18" s="466"/>
      <c r="X18" s="460"/>
      <c r="Y18" s="3875"/>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5"/>
      <c r="Q19" s="395" t="str">
        <f>B19</f>
        <v>公共配套设施</v>
      </c>
      <c r="R19" s="465" t="s">
        <v>1005</v>
      </c>
      <c r="S19" s="466">
        <f>F19</f>
        <v>102</v>
      </c>
      <c r="T19" s="465" t="s">
        <v>1005</v>
      </c>
      <c r="U19" s="466">
        <f>H19</f>
        <v>102</v>
      </c>
      <c r="V19" s="465" t="s">
        <v>1005</v>
      </c>
      <c r="W19" s="466">
        <f>J19</f>
        <v>102</v>
      </c>
      <c r="X19" s="460"/>
      <c r="Y19" s="3875"/>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5"/>
      <c r="Q20" s="395"/>
      <c r="R20" s="465"/>
      <c r="S20" s="466"/>
      <c r="T20" s="465"/>
      <c r="U20" s="466"/>
      <c r="V20" s="465"/>
      <c r="W20" s="466"/>
      <c r="X20" s="460"/>
      <c r="Y20" s="3875"/>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5"/>
      <c r="Q21" s="395" t="str">
        <f>B21</f>
        <v>基础设施水平</v>
      </c>
      <c r="R21" s="465" t="s">
        <v>1005</v>
      </c>
      <c r="S21" s="466">
        <f>F21</f>
        <v>100</v>
      </c>
      <c r="T21" s="465" t="s">
        <v>1005</v>
      </c>
      <c r="U21" s="466">
        <f>H21</f>
        <v>100</v>
      </c>
      <c r="V21" s="465" t="s">
        <v>1005</v>
      </c>
      <c r="W21" s="466">
        <f>J21</f>
        <v>100</v>
      </c>
      <c r="X21" s="460"/>
      <c r="Y21" s="3875"/>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5"/>
      <c r="Q22" s="395"/>
      <c r="R22" s="465"/>
      <c r="S22" s="466"/>
      <c r="T22" s="465"/>
      <c r="U22" s="466"/>
      <c r="V22" s="465"/>
      <c r="W22" s="466"/>
      <c r="X22" s="460"/>
      <c r="Y22" s="3875"/>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5"/>
      <c r="Q23" s="395" t="str">
        <f>B23</f>
        <v>自然及人文环境</v>
      </c>
      <c r="R23" s="465" t="s">
        <v>1005</v>
      </c>
      <c r="S23" s="466">
        <f>F23</f>
        <v>100</v>
      </c>
      <c r="T23" s="465" t="s">
        <v>1005</v>
      </c>
      <c r="U23" s="466">
        <f>H23</f>
        <v>100</v>
      </c>
      <c r="V23" s="465" t="s">
        <v>1005</v>
      </c>
      <c r="W23" s="466">
        <f>J23</f>
        <v>100</v>
      </c>
      <c r="X23" s="460"/>
      <c r="Y23" s="3875"/>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5"/>
      <c r="Q24" s="395"/>
      <c r="R24" s="465"/>
      <c r="S24" s="466"/>
      <c r="T24" s="465"/>
      <c r="U24" s="466"/>
      <c r="V24" s="465"/>
      <c r="W24" s="466"/>
      <c r="X24" s="460"/>
      <c r="Y24" s="3875"/>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5"/>
      <c r="Q25" s="395" t="str">
        <f t="shared" ref="Q25:Q46" si="8">B25</f>
        <v>楼层-1</v>
      </c>
      <c r="R25" s="465" t="s">
        <v>1005</v>
      </c>
      <c r="S25" s="466">
        <f>F25</f>
        <v>100</v>
      </c>
      <c r="T25" s="465" t="s">
        <v>1005</v>
      </c>
      <c r="U25" s="466">
        <f>H25</f>
        <v>100</v>
      </c>
      <c r="V25" s="465" t="s">
        <v>1005</v>
      </c>
      <c r="W25" s="466">
        <f>J25</f>
        <v>100</v>
      </c>
      <c r="X25" s="460"/>
      <c r="Y25" s="3875"/>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5"/>
      <c r="Q26" s="395" t="str">
        <f t="shared" si="8"/>
        <v>朝向</v>
      </c>
      <c r="R26" s="465" t="s">
        <v>1005</v>
      </c>
      <c r="S26" s="466">
        <f>F26</f>
        <v>100</v>
      </c>
      <c r="T26" s="465" t="s">
        <v>1005</v>
      </c>
      <c r="U26" s="466">
        <f>H26</f>
        <v>100</v>
      </c>
      <c r="V26" s="465" t="s">
        <v>1005</v>
      </c>
      <c r="W26" s="466">
        <f>J26</f>
        <v>100</v>
      </c>
      <c r="X26" s="460"/>
      <c r="Y26" s="3875"/>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5"/>
      <c r="Q27" s="464" t="str">
        <f t="shared" si="8"/>
        <v>道路级别</v>
      </c>
      <c r="R27" s="461" t="s">
        <v>1005</v>
      </c>
      <c r="S27" s="462">
        <f>F27</f>
        <v>100</v>
      </c>
      <c r="T27" s="461" t="s">
        <v>1005</v>
      </c>
      <c r="U27" s="462">
        <f>H27</f>
        <v>100</v>
      </c>
      <c r="V27" s="461" t="s">
        <v>1005</v>
      </c>
      <c r="W27" s="462">
        <f>J27</f>
        <v>100</v>
      </c>
      <c r="X27" s="463"/>
      <c r="Y27" s="3875"/>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5"/>
      <c r="Q28" s="395">
        <f t="shared" si="8"/>
        <v>111</v>
      </c>
      <c r="R28" s="465" t="s">
        <v>1005</v>
      </c>
      <c r="S28" s="466">
        <f t="shared" ref="S28:S46" si="9">F28</f>
        <v>100</v>
      </c>
      <c r="T28" s="465" t="s">
        <v>1005</v>
      </c>
      <c r="U28" s="466">
        <f t="shared" ref="U28:U46" si="10">H28</f>
        <v>100</v>
      </c>
      <c r="V28" s="465" t="s">
        <v>1005</v>
      </c>
      <c r="W28" s="466">
        <f t="shared" ref="W28:W46" si="11">J28</f>
        <v>100</v>
      </c>
      <c r="X28" s="460"/>
      <c r="Y28" s="3875"/>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5"/>
      <c r="Q29" s="395">
        <f t="shared" si="8"/>
        <v>111</v>
      </c>
      <c r="R29" s="465" t="s">
        <v>1005</v>
      </c>
      <c r="S29" s="466">
        <f t="shared" si="9"/>
        <v>100</v>
      </c>
      <c r="T29" s="465" t="s">
        <v>1005</v>
      </c>
      <c r="U29" s="466">
        <f t="shared" si="10"/>
        <v>100</v>
      </c>
      <c r="V29" s="465" t="s">
        <v>1005</v>
      </c>
      <c r="W29" s="466">
        <f t="shared" si="11"/>
        <v>100</v>
      </c>
      <c r="X29" s="460"/>
      <c r="Y29" s="3875"/>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5"/>
      <c r="Q30" s="395">
        <f t="shared" si="8"/>
        <v>111</v>
      </c>
      <c r="R30" s="465" t="s">
        <v>1005</v>
      </c>
      <c r="S30" s="466">
        <f t="shared" si="9"/>
        <v>100</v>
      </c>
      <c r="T30" s="465" t="s">
        <v>1005</v>
      </c>
      <c r="U30" s="466">
        <f t="shared" si="10"/>
        <v>100</v>
      </c>
      <c r="V30" s="465" t="s">
        <v>1005</v>
      </c>
      <c r="W30" s="466">
        <f t="shared" si="11"/>
        <v>100</v>
      </c>
      <c r="X30" s="460"/>
      <c r="Y30" s="3875"/>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5"/>
      <c r="Q31" s="395">
        <f t="shared" si="8"/>
        <v>111</v>
      </c>
      <c r="R31" s="465" t="s">
        <v>1005</v>
      </c>
      <c r="S31" s="466">
        <f t="shared" si="9"/>
        <v>100</v>
      </c>
      <c r="T31" s="465" t="s">
        <v>1005</v>
      </c>
      <c r="U31" s="466">
        <f t="shared" si="10"/>
        <v>100</v>
      </c>
      <c r="V31" s="465" t="s">
        <v>1005</v>
      </c>
      <c r="W31" s="466">
        <f t="shared" si="11"/>
        <v>100</v>
      </c>
      <c r="X31" s="460"/>
      <c r="Y31" s="3875"/>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76" t="s">
        <v>1028</v>
      </c>
      <c r="Q32" s="395" t="str">
        <f t="shared" si="8"/>
        <v>建筑类型</v>
      </c>
      <c r="R32" s="465" t="s">
        <v>1005</v>
      </c>
      <c r="S32" s="466">
        <f t="shared" si="9"/>
        <v>100</v>
      </c>
      <c r="T32" s="465" t="s">
        <v>1005</v>
      </c>
      <c r="U32" s="466">
        <f t="shared" si="10"/>
        <v>100</v>
      </c>
      <c r="V32" s="465" t="s">
        <v>1005</v>
      </c>
      <c r="W32" s="466">
        <f t="shared" si="11"/>
        <v>100</v>
      </c>
      <c r="X32" s="460"/>
      <c r="Y32" s="3877" t="s">
        <v>1028</v>
      </c>
      <c r="Z32" s="459" t="str">
        <f t="shared" si="12"/>
        <v>建筑类型</v>
      </c>
      <c r="AA32" s="471">
        <f t="shared" si="3"/>
        <v>1</v>
      </c>
      <c r="AB32" s="471">
        <f t="shared" si="4"/>
        <v>1</v>
      </c>
      <c r="AC32" s="471">
        <f t="shared" si="5"/>
        <v>1</v>
      </c>
    </row>
    <row r="33" spans="1:29" s="201" customFormat="1" ht="15">
      <c r="A33" s="297"/>
      <c r="B33" s="298" t="s">
        <v>2474</v>
      </c>
      <c r="C33" s="251">
        <f>'数据-基础表'!B3</f>
        <v>173355.13</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7"/>
      <c r="Q33" s="467" t="str">
        <f t="shared" si="8"/>
        <v>项目建筑规模</v>
      </c>
      <c r="R33" s="468" t="s">
        <v>1005</v>
      </c>
      <c r="S33" s="469">
        <f t="shared" si="9"/>
        <v>98</v>
      </c>
      <c r="T33" s="468" t="s">
        <v>1005</v>
      </c>
      <c r="U33" s="469">
        <f t="shared" si="10"/>
        <v>102</v>
      </c>
      <c r="V33" s="468" t="s">
        <v>1005</v>
      </c>
      <c r="W33" s="469">
        <f t="shared" si="11"/>
        <v>98</v>
      </c>
      <c r="X33" s="470"/>
      <c r="Y33" s="3877"/>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7"/>
      <c r="Q34" s="395" t="str">
        <f t="shared" si="8"/>
        <v>建筑结构</v>
      </c>
      <c r="R34" s="465" t="s">
        <v>1005</v>
      </c>
      <c r="S34" s="466">
        <f t="shared" si="9"/>
        <v>100</v>
      </c>
      <c r="T34" s="465" t="s">
        <v>1005</v>
      </c>
      <c r="U34" s="466">
        <f t="shared" si="10"/>
        <v>100</v>
      </c>
      <c r="V34" s="465" t="s">
        <v>1005</v>
      </c>
      <c r="W34" s="466">
        <f t="shared" si="11"/>
        <v>100</v>
      </c>
      <c r="X34" s="460"/>
      <c r="Y34" s="3877"/>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77"/>
      <c r="Q35" s="395" t="str">
        <f t="shared" si="8"/>
        <v>建筑品质</v>
      </c>
      <c r="R35" s="465" t="s">
        <v>1005</v>
      </c>
      <c r="S35" s="466">
        <f t="shared" si="9"/>
        <v>100</v>
      </c>
      <c r="T35" s="465" t="s">
        <v>1005</v>
      </c>
      <c r="U35" s="466">
        <f t="shared" si="10"/>
        <v>100</v>
      </c>
      <c r="V35" s="465" t="s">
        <v>1005</v>
      </c>
      <c r="W35" s="466">
        <f t="shared" si="11"/>
        <v>100</v>
      </c>
      <c r="X35" s="460"/>
      <c r="Y35" s="3877"/>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77"/>
      <c r="Q36" s="395" t="str">
        <f t="shared" si="8"/>
        <v>公共部分装修</v>
      </c>
      <c r="R36" s="465" t="s">
        <v>1005</v>
      </c>
      <c r="S36" s="466">
        <f t="shared" si="9"/>
        <v>100</v>
      </c>
      <c r="T36" s="465" t="s">
        <v>1005</v>
      </c>
      <c r="U36" s="466">
        <f t="shared" si="10"/>
        <v>100</v>
      </c>
      <c r="V36" s="465" t="s">
        <v>1005</v>
      </c>
      <c r="W36" s="466">
        <f t="shared" si="11"/>
        <v>100</v>
      </c>
      <c r="X36" s="460"/>
      <c r="Y36" s="3877"/>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7"/>
      <c r="Q37" s="464" t="str">
        <f t="shared" si="8"/>
        <v>成新度</v>
      </c>
      <c r="R37" s="461" t="s">
        <v>1005</v>
      </c>
      <c r="S37" s="462">
        <f t="shared" si="9"/>
        <v>100</v>
      </c>
      <c r="T37" s="461" t="s">
        <v>1005</v>
      </c>
      <c r="U37" s="462">
        <f t="shared" si="10"/>
        <v>100</v>
      </c>
      <c r="V37" s="461" t="s">
        <v>1005</v>
      </c>
      <c r="W37" s="462">
        <f t="shared" si="11"/>
        <v>100</v>
      </c>
      <c r="X37" s="463"/>
      <c r="Y37" s="3877"/>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77" t="s">
        <v>1028</v>
      </c>
      <c r="Q38" s="395" t="str">
        <f t="shared" si="8"/>
        <v>物业管理</v>
      </c>
      <c r="R38" s="465" t="s">
        <v>1005</v>
      </c>
      <c r="S38" s="466">
        <f t="shared" si="9"/>
        <v>100</v>
      </c>
      <c r="T38" s="465" t="s">
        <v>1005</v>
      </c>
      <c r="U38" s="466">
        <f t="shared" si="10"/>
        <v>100</v>
      </c>
      <c r="V38" s="465" t="s">
        <v>1005</v>
      </c>
      <c r="W38" s="466">
        <f t="shared" si="11"/>
        <v>100</v>
      </c>
      <c r="X38" s="460"/>
      <c r="Y38" s="3877"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7"/>
      <c r="Q39" s="395" t="str">
        <f t="shared" si="8"/>
        <v>市政基础设施</v>
      </c>
      <c r="R39" s="465" t="s">
        <v>1005</v>
      </c>
      <c r="S39" s="466">
        <f t="shared" si="9"/>
        <v>100</v>
      </c>
      <c r="T39" s="465" t="s">
        <v>1005</v>
      </c>
      <c r="U39" s="466">
        <f t="shared" si="10"/>
        <v>100</v>
      </c>
      <c r="V39" s="465" t="s">
        <v>1005</v>
      </c>
      <c r="W39" s="466">
        <f t="shared" si="11"/>
        <v>100</v>
      </c>
      <c r="X39" s="460"/>
      <c r="Y39" s="3877"/>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7"/>
      <c r="Q40" s="395" t="str">
        <f t="shared" si="8"/>
        <v>房型</v>
      </c>
      <c r="R40" s="465" t="s">
        <v>1005</v>
      </c>
      <c r="S40" s="466">
        <f t="shared" si="9"/>
        <v>100</v>
      </c>
      <c r="T40" s="465" t="s">
        <v>1005</v>
      </c>
      <c r="U40" s="466">
        <f t="shared" si="10"/>
        <v>100</v>
      </c>
      <c r="V40" s="465" t="s">
        <v>1005</v>
      </c>
      <c r="W40" s="466">
        <f t="shared" si="11"/>
        <v>100</v>
      </c>
      <c r="X40" s="460"/>
      <c r="Y40" s="3877"/>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7"/>
      <c r="Q41" s="467" t="str">
        <f t="shared" si="8"/>
        <v>单套/主力户型建筑面积</v>
      </c>
      <c r="R41" s="468" t="s">
        <v>1005</v>
      </c>
      <c r="S41" s="469">
        <f t="shared" si="9"/>
        <v>100</v>
      </c>
      <c r="T41" s="468" t="s">
        <v>1005</v>
      </c>
      <c r="U41" s="469">
        <f t="shared" si="10"/>
        <v>100</v>
      </c>
      <c r="V41" s="468" t="s">
        <v>1005</v>
      </c>
      <c r="W41" s="469">
        <f t="shared" si="11"/>
        <v>100</v>
      </c>
      <c r="X41" s="470"/>
      <c r="Y41" s="3877"/>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77"/>
      <c r="Q42" s="395" t="str">
        <f t="shared" si="8"/>
        <v>内部装修</v>
      </c>
      <c r="R42" s="465" t="s">
        <v>1005</v>
      </c>
      <c r="S42" s="466">
        <f t="shared" si="9"/>
        <v>100</v>
      </c>
      <c r="T42" s="465" t="s">
        <v>1005</v>
      </c>
      <c r="U42" s="466">
        <f t="shared" si="10"/>
        <v>100</v>
      </c>
      <c r="V42" s="465" t="s">
        <v>1005</v>
      </c>
      <c r="W42" s="466">
        <f t="shared" si="11"/>
        <v>100</v>
      </c>
      <c r="X42" s="460"/>
      <c r="Y42" s="3877"/>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7"/>
      <c r="Q43" s="395" t="str">
        <f t="shared" si="8"/>
        <v>内部装修维护情况</v>
      </c>
      <c r="R43" s="465" t="s">
        <v>1005</v>
      </c>
      <c r="S43" s="466">
        <f t="shared" si="9"/>
        <v>100</v>
      </c>
      <c r="T43" s="465" t="s">
        <v>1005</v>
      </c>
      <c r="U43" s="466">
        <f t="shared" si="10"/>
        <v>100</v>
      </c>
      <c r="V43" s="465" t="s">
        <v>1005</v>
      </c>
      <c r="W43" s="466">
        <f t="shared" si="11"/>
        <v>100</v>
      </c>
      <c r="X43" s="460"/>
      <c r="Y43" s="3877"/>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7"/>
      <c r="Q44" s="464">
        <f t="shared" si="8"/>
        <v>0</v>
      </c>
      <c r="R44" s="461" t="s">
        <v>1005</v>
      </c>
      <c r="S44" s="462">
        <f t="shared" si="9"/>
        <v>100</v>
      </c>
      <c r="T44" s="461" t="s">
        <v>1005</v>
      </c>
      <c r="U44" s="462">
        <f t="shared" si="10"/>
        <v>100</v>
      </c>
      <c r="V44" s="461" t="s">
        <v>1005</v>
      </c>
      <c r="W44" s="462">
        <f t="shared" si="11"/>
        <v>100</v>
      </c>
      <c r="X44" s="463"/>
      <c r="Y44" s="3877"/>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7"/>
      <c r="Q45" s="395">
        <f t="shared" si="8"/>
        <v>111</v>
      </c>
      <c r="R45" s="465" t="s">
        <v>1005</v>
      </c>
      <c r="S45" s="466">
        <f t="shared" si="9"/>
        <v>100</v>
      </c>
      <c r="T45" s="465" t="s">
        <v>1005</v>
      </c>
      <c r="U45" s="466">
        <f t="shared" si="10"/>
        <v>100</v>
      </c>
      <c r="V45" s="465" t="s">
        <v>1005</v>
      </c>
      <c r="W45" s="466">
        <f t="shared" si="11"/>
        <v>100</v>
      </c>
      <c r="X45" s="460"/>
      <c r="Y45" s="3877"/>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73"/>
      <c r="Q46" s="395">
        <f t="shared" si="8"/>
        <v>111</v>
      </c>
      <c r="R46" s="465" t="s">
        <v>1005</v>
      </c>
      <c r="S46" s="466">
        <f t="shared" si="9"/>
        <v>100</v>
      </c>
      <c r="T46" s="465" t="s">
        <v>1005</v>
      </c>
      <c r="U46" s="466">
        <f t="shared" si="10"/>
        <v>100</v>
      </c>
      <c r="V46" s="465" t="s">
        <v>1005</v>
      </c>
      <c r="W46" s="466">
        <f t="shared" si="11"/>
        <v>100</v>
      </c>
      <c r="X46" s="460"/>
      <c r="Y46" s="3973"/>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67" t="str">
        <f>A47</f>
        <v>成交单价（元/平方米）</v>
      </c>
      <c r="Q47" s="3867"/>
      <c r="R47" s="3971">
        <f>E47</f>
        <v>26228</v>
      </c>
      <c r="S47" s="3971"/>
      <c r="T47" s="3971">
        <f>G47</f>
        <v>28186</v>
      </c>
      <c r="U47" s="3971"/>
      <c r="V47" s="3971">
        <f>I47</f>
        <v>26962</v>
      </c>
      <c r="W47" s="3971"/>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67" t="str">
        <f>A48</f>
        <v>比较价格（元/平方米）</v>
      </c>
      <c r="Q48" s="3867"/>
      <c r="R48" s="3971">
        <f>IF(F1="售价",ROUND(PRODUCT(R47,AA7:AA46),0),ROUND(PRODUCT(R47,AA7:AA46),1))</f>
        <v>25724</v>
      </c>
      <c r="S48" s="3971"/>
      <c r="T48" s="3971">
        <f>IF(F1="售价",ROUND(PRODUCT(T47,AB7:AB46),0),ROUND(PRODUCT(T47,AB7:AB46),1))</f>
        <v>26560</v>
      </c>
      <c r="U48" s="3971"/>
      <c r="V48" s="3971">
        <f>IF(F1="售价",ROUND(PRODUCT(V47,AC7:AC46),0),ROUND(PRODUCT(V47,AC7:AC46),1))</f>
        <v>26444</v>
      </c>
      <c r="W48" s="3971"/>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69" t="str">
        <f>A49</f>
        <v>估价对象XX用房的比较价格（楼面单价，元/平方米）</v>
      </c>
      <c r="Q49" s="3870"/>
      <c r="R49" s="3972">
        <f>IF(F1="售价",ROUND(IF(D48="简单平均",AVERAGE(R48:V48),R48*F48+T48*H48+V48*J48),0),ROUND(IF(D48="简单平均",AVERAGE(R48:V48),R48*F48+T48*H48+V48*J48),1))</f>
        <v>26243</v>
      </c>
      <c r="S49" s="3972"/>
      <c r="T49" s="3972"/>
      <c r="U49" s="3972"/>
      <c r="V49" s="3972"/>
      <c r="W49" s="397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48.7</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-3648</v>
      </c>
      <c r="C2" s="636"/>
      <c r="D2" s="637"/>
      <c r="E2" s="638"/>
      <c r="F2" s="638"/>
      <c r="G2" s="639"/>
      <c r="H2" s="640"/>
      <c r="I2" s="640"/>
      <c r="J2" s="640"/>
      <c r="K2" s="782"/>
      <c r="L2" s="640"/>
      <c r="M2" s="640"/>
    </row>
    <row r="3" spans="1:33" ht="18" customHeight="1">
      <c r="A3" s="641" t="s">
        <v>2467</v>
      </c>
      <c r="B3" s="642">
        <f ca="1">IF(ISERROR(B2*10000/F43),0,ROUND(B2*10000/F43,0))</f>
        <v>-790</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47" t="s">
        <v>2028</v>
      </c>
      <c r="C6" s="656">
        <f ca="1">ROUND(F6*F8*F7*(1-F9)/10000,0)</f>
        <v>0</v>
      </c>
      <c r="D6" s="657" t="s">
        <v>2505</v>
      </c>
      <c r="E6" s="658" t="s">
        <v>2030</v>
      </c>
      <c r="F6" s="659">
        <f ca="1">INDIRECT("'数据-取费表'!u"&amp;$G$1)</f>
        <v>0</v>
      </c>
      <c r="G6" s="648"/>
      <c r="H6" s="660" t="s">
        <v>879</v>
      </c>
      <c r="I6" s="3947" t="s">
        <v>2028</v>
      </c>
      <c r="J6" s="656">
        <f ca="1">ROUND(M6*M8*M7*(1-M9)/10000,0)</f>
        <v>0</v>
      </c>
      <c r="K6" s="730" t="s">
        <v>2506</v>
      </c>
      <c r="L6" s="658" t="s">
        <v>2030</v>
      </c>
      <c r="M6" s="659">
        <f ca="1">INDIRECT("'数据-取费表'!z"&amp;$G$1)</f>
        <v>0</v>
      </c>
    </row>
    <row r="7" spans="1:33" ht="18" customHeight="1">
      <c r="A7" s="661"/>
      <c r="B7" s="3948"/>
      <c r="C7" s="662"/>
      <c r="D7" s="663"/>
      <c r="E7" s="658" t="s">
        <v>2031</v>
      </c>
      <c r="F7" s="659">
        <f ca="1">IF(INDIRECT("'数据-取费表'!ah"&amp;$G$1)="",INDIRECT("'数据-取费表'!k"&amp;$G$1),INDIRECT("'数据-取费表'!ah"&amp;$G$1))</f>
        <v>1214</v>
      </c>
      <c r="G7" s="648"/>
      <c r="H7" s="664"/>
      <c r="I7" s="3948"/>
      <c r="J7" s="662"/>
      <c r="K7" s="663"/>
      <c r="L7" s="658" t="s">
        <v>2031</v>
      </c>
      <c r="M7" s="659">
        <f ca="1">F7</f>
        <v>1214</v>
      </c>
    </row>
    <row r="8" spans="1:33" ht="18" customHeight="1">
      <c r="A8" s="665"/>
      <c r="B8" s="3949"/>
      <c r="C8" s="662"/>
      <c r="D8" s="663"/>
      <c r="E8" s="658" t="s">
        <v>2032</v>
      </c>
      <c r="F8" s="659">
        <f ca="1">INDIRECT("'数据-取费表'!ai"&amp;$G$1)</f>
        <v>12</v>
      </c>
      <c r="G8" s="648"/>
      <c r="H8" s="664"/>
      <c r="I8" s="3949"/>
      <c r="J8" s="662"/>
      <c r="K8" s="663"/>
      <c r="L8" s="658" t="s">
        <v>2032</v>
      </c>
      <c r="M8" s="659">
        <f ca="1">INDIRECT("'数据-取费表'!ai"&amp;$G$1)</f>
        <v>12</v>
      </c>
    </row>
    <row r="9" spans="1:33" ht="18" customHeight="1">
      <c r="A9" s="666"/>
      <c r="B9" s="3950"/>
      <c r="C9" s="662"/>
      <c r="D9" s="663"/>
      <c r="E9" s="658" t="s">
        <v>2033</v>
      </c>
      <c r="F9" s="667">
        <f ca="1">INDIRECT("'数据-取费表'!w"&amp;$G$1)</f>
        <v>0.1</v>
      </c>
      <c r="G9" s="648"/>
      <c r="H9" s="668"/>
      <c r="I9" s="3949"/>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23994</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18539</v>
      </c>
      <c r="D14" s="693" t="s">
        <v>2043</v>
      </c>
      <c r="E14" s="694"/>
      <c r="F14" s="695"/>
      <c r="G14" s="648"/>
      <c r="H14" s="696" t="s">
        <v>879</v>
      </c>
      <c r="I14" s="777" t="s">
        <v>2044</v>
      </c>
      <c r="J14" s="127">
        <f ca="1">C29</f>
        <v>23994</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2.23</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20300</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2.23</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14856.72</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119.97</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1030</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23994</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2.23</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2.23</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14856.72</v>
      </c>
      <c r="G35" s="648"/>
      <c r="H35" s="722"/>
      <c r="I35" s="816" t="s">
        <v>2522</v>
      </c>
      <c r="J35" s="817">
        <f ca="1">ROUND(C13*J36,0)</f>
        <v>1680</v>
      </c>
      <c r="K35" s="811"/>
      <c r="L35" s="729"/>
      <c r="M35" s="729"/>
    </row>
    <row r="36" spans="1:18" ht="18" customHeight="1">
      <c r="A36" s="696" t="s">
        <v>881</v>
      </c>
      <c r="B36" s="658" t="s">
        <v>2074</v>
      </c>
      <c r="C36" s="127">
        <f ca="1">ROUND(C29*F36,2)</f>
        <v>119.97</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35.99</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-3648</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48.7</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-6.577</v>
      </c>
      <c r="K42" s="820"/>
      <c r="L42" s="747"/>
      <c r="M42" s="747"/>
    </row>
    <row r="43" spans="1:18" ht="18" customHeight="1">
      <c r="A43" s="719" t="s">
        <v>2519</v>
      </c>
      <c r="B43" s="749" t="s">
        <v>2531</v>
      </c>
      <c r="C43" s="750">
        <f ca="1">ROUND(C40*10000/F43,0)</f>
        <v>-790</v>
      </c>
      <c r="D43" s="751" t="s">
        <v>2532</v>
      </c>
      <c r="E43" s="752" t="s">
        <v>2533</v>
      </c>
      <c r="F43" s="753">
        <f ca="1">INDIRECT("'数据-取费表'!k"&amp;$G$1)</f>
        <v>46155.06</v>
      </c>
      <c r="G43" s="648"/>
      <c r="H43" s="747"/>
      <c r="I43" s="828" t="s">
        <v>2534</v>
      </c>
      <c r="J43" s="829">
        <f ca="1">1-J42</f>
        <v>7.577</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782</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48.7</v>
      </c>
      <c r="M48" s="835"/>
      <c r="O48" s="849" t="s">
        <v>2130</v>
      </c>
      <c r="P48" s="850" t="s">
        <v>2131</v>
      </c>
      <c r="Q48" s="883">
        <f ca="1">C40+J29</f>
        <v>-3648</v>
      </c>
      <c r="R48" s="850" t="s">
        <v>2132</v>
      </c>
    </row>
    <row r="49" spans="1:18" s="623" customFormat="1" ht="18" customHeight="1">
      <c r="A49" s="666"/>
      <c r="B49" s="744"/>
      <c r="C49" s="662"/>
      <c r="D49" s="663"/>
      <c r="E49" s="658" t="s">
        <v>2031</v>
      </c>
      <c r="F49" s="659">
        <f ca="1">F7</f>
        <v>1214</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23994</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-37924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48.7</v>
      </c>
      <c r="K53" s="3976" t="s">
        <v>2540</v>
      </c>
      <c r="L53" s="3977"/>
      <c r="M53" s="835"/>
      <c r="O53" s="855" t="s">
        <v>2150</v>
      </c>
      <c r="P53" s="850" t="s">
        <v>2151</v>
      </c>
      <c r="Q53" s="883">
        <f ca="1">J53</f>
        <v>48.7</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-3648</v>
      </c>
      <c r="R54" s="885" t="s">
        <v>2155</v>
      </c>
    </row>
    <row r="55" spans="1:18" s="623" customFormat="1" ht="18" customHeight="1">
      <c r="A55" s="775">
        <v>2</v>
      </c>
      <c r="B55" s="776" t="s">
        <v>2042</v>
      </c>
      <c r="C55" s="126">
        <f ca="1">C13</f>
        <v>23994</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23994</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-3648</v>
      </c>
      <c r="R57" s="850" t="s">
        <v>2132</v>
      </c>
    </row>
    <row r="58" spans="1:18" s="623" customFormat="1" ht="28.5" customHeight="1">
      <c r="A58" s="696" t="s">
        <v>879</v>
      </c>
      <c r="B58" s="658" t="s">
        <v>2052</v>
      </c>
      <c r="C58" s="723">
        <f ca="1">ROUND(IF(AND(项目基本情况!B11="自然人",项目基本情况!B10="北京市"),C48*F58/(1+'数据-取费表'!C42),C59+C60+C61),2)</f>
        <v>2.23</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2.23</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14856.72</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119.97</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-3648</v>
      </c>
      <c r="R63" s="885" t="s">
        <v>2155</v>
      </c>
    </row>
    <row r="64" spans="1:18" s="623" customFormat="1" ht="15.75">
      <c r="A64" s="696" t="s">
        <v>950</v>
      </c>
      <c r="B64" s="658" t="s">
        <v>2078</v>
      </c>
      <c r="C64" s="127">
        <f ca="1">ROUND(C55*F64,2)</f>
        <v>35.99</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-3648</v>
      </c>
      <c r="R66" s="850" t="s">
        <v>2132</v>
      </c>
    </row>
    <row r="67" spans="1:18" s="623" customFormat="1" ht="19.5">
      <c r="A67" s="649" t="s">
        <v>2514</v>
      </c>
      <c r="B67" s="743" t="s">
        <v>2527</v>
      </c>
      <c r="C67" s="656">
        <f ca="1">ROUND(C66*(1-((1+F69)/(1+F67))^F68)/(F67-F69),0)</f>
        <v>-2866</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48.7</v>
      </c>
      <c r="O68" s="855" t="s">
        <v>2140</v>
      </c>
      <c r="P68" s="850" t="s">
        <v>2169</v>
      </c>
      <c r="Q68" s="890">
        <f ca="1">L51</f>
        <v>-37924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23994</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-3648</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5" zoomScaleNormal="60" zoomScaleSheetLayoutView="85" workbookViewId="0">
      <selection activeCell="C31" sqref="C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16262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3523</v>
      </c>
      <c r="C3" s="221" t="s">
        <v>2468</v>
      </c>
      <c r="D3" s="222">
        <f>SUMIF('数据-汇总表'!$C19:$C33,D1,'数据-汇总表'!$E19:$E33)</f>
        <v>46155.06</v>
      </c>
      <c r="E3" s="597" t="s">
        <v>2541</v>
      </c>
      <c r="F3" s="222">
        <f>SUMIF('数据-取费表'!A5:A15,D1,'数据-取费表'!AH5:AH15)</f>
        <v>1214</v>
      </c>
      <c r="G3" s="217"/>
      <c r="H3" s="217">
        <f>B2/F3</f>
        <v>13.395387149917628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3" t="s">
        <v>994</v>
      </c>
      <c r="D4" s="3884"/>
      <c r="E4" s="3883" t="s">
        <v>995</v>
      </c>
      <c r="F4" s="3884"/>
      <c r="G4" s="3883" t="s">
        <v>996</v>
      </c>
      <c r="H4" s="3884"/>
      <c r="I4" s="3883" t="s">
        <v>997</v>
      </c>
      <c r="J4" s="3884"/>
      <c r="K4" s="388" t="s">
        <v>998</v>
      </c>
      <c r="L4" s="389"/>
      <c r="M4" s="390"/>
      <c r="N4" s="390"/>
      <c r="O4" s="390"/>
      <c r="P4" s="3860" t="s">
        <v>999</v>
      </c>
      <c r="Q4" s="3861"/>
      <c r="R4" s="3851" t="s">
        <v>995</v>
      </c>
      <c r="S4" s="3852"/>
      <c r="T4" s="3851" t="s">
        <v>996</v>
      </c>
      <c r="U4" s="3852"/>
      <c r="V4" s="3866" t="s">
        <v>997</v>
      </c>
      <c r="W4" s="3866"/>
      <c r="X4" s="460"/>
      <c r="Y4" s="3851" t="s">
        <v>999</v>
      </c>
      <c r="Z4" s="3852"/>
      <c r="AA4" s="3857" t="s">
        <v>995</v>
      </c>
      <c r="AB4" s="3858" t="s">
        <v>996</v>
      </c>
      <c r="AC4" s="3857" t="s">
        <v>997</v>
      </c>
    </row>
    <row r="5" spans="1:29" ht="15">
      <c r="A5" s="225"/>
      <c r="B5" s="226"/>
      <c r="C5" s="3885" t="s">
        <v>1000</v>
      </c>
      <c r="D5" s="3886"/>
      <c r="E5" s="3975" t="s">
        <v>2709</v>
      </c>
      <c r="F5" s="3886"/>
      <c r="G5" s="3975" t="s">
        <v>2701</v>
      </c>
      <c r="H5" s="3886"/>
      <c r="I5" s="3975" t="s">
        <v>2707</v>
      </c>
      <c r="J5" s="3886"/>
      <c r="K5" s="388"/>
      <c r="L5" s="389"/>
      <c r="M5" s="390"/>
      <c r="N5" s="390"/>
      <c r="O5" s="390"/>
      <c r="P5" s="3862"/>
      <c r="Q5" s="3863"/>
      <c r="R5" s="3853"/>
      <c r="S5" s="3854"/>
      <c r="T5" s="3853"/>
      <c r="U5" s="3854"/>
      <c r="V5" s="3866"/>
      <c r="W5" s="3866"/>
      <c r="X5" s="460"/>
      <c r="Y5" s="3853"/>
      <c r="Z5" s="3854"/>
      <c r="AA5" s="3858"/>
      <c r="AB5" s="3858"/>
      <c r="AC5" s="3858"/>
    </row>
    <row r="6" spans="1:29" ht="15">
      <c r="A6" s="227"/>
      <c r="B6" s="228"/>
      <c r="C6" s="3880" t="s">
        <v>1001</v>
      </c>
      <c r="D6" s="3881"/>
      <c r="E6" s="3878" t="s">
        <v>1001</v>
      </c>
      <c r="F6" s="3879"/>
      <c r="G6" s="3880" t="s">
        <v>1001</v>
      </c>
      <c r="H6" s="3881"/>
      <c r="I6" s="3880" t="s">
        <v>1001</v>
      </c>
      <c r="J6" s="3881"/>
      <c r="K6" s="388" t="s">
        <v>1002</v>
      </c>
      <c r="L6" s="389"/>
      <c r="M6" s="390"/>
      <c r="N6" s="390"/>
      <c r="O6" s="390"/>
      <c r="P6" s="3864"/>
      <c r="Q6" s="3865"/>
      <c r="R6" s="3853"/>
      <c r="S6" s="3854"/>
      <c r="T6" s="3855"/>
      <c r="U6" s="3856"/>
      <c r="V6" s="3866"/>
      <c r="W6" s="3866"/>
      <c r="X6" s="460"/>
      <c r="Y6" s="3855"/>
      <c r="Z6" s="3856"/>
      <c r="AA6" s="3859"/>
      <c r="AB6" s="3859"/>
      <c r="AC6" s="3859"/>
    </row>
    <row r="7" spans="1:29" s="199" customFormat="1" ht="15">
      <c r="A7" s="229"/>
      <c r="B7" s="230" t="s">
        <v>1003</v>
      </c>
      <c r="C7" s="231">
        <f>'数据-取费表'!B2</f>
        <v>45316</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72" t="s">
        <v>1004</v>
      </c>
      <c r="Q7" s="3882"/>
      <c r="R7" s="461" t="s">
        <v>1005</v>
      </c>
      <c r="S7" s="462">
        <f t="shared" ref="S7:S14" si="0">F7</f>
        <v>100</v>
      </c>
      <c r="T7" s="461" t="s">
        <v>1005</v>
      </c>
      <c r="U7" s="462">
        <f t="shared" ref="U7:U14" si="1">H7</f>
        <v>100</v>
      </c>
      <c r="V7" s="461" t="s">
        <v>1005</v>
      </c>
      <c r="W7" s="462">
        <f t="shared" ref="W7:W14" si="2">J7</f>
        <v>100</v>
      </c>
      <c r="X7" s="463"/>
      <c r="Y7" s="3872" t="s">
        <v>1004</v>
      </c>
      <c r="Z7" s="3873"/>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72" t="s">
        <v>1009</v>
      </c>
      <c r="Q8" s="3873"/>
      <c r="R8" s="461" t="s">
        <v>1005</v>
      </c>
      <c r="S8" s="462">
        <f t="shared" si="0"/>
        <v>100</v>
      </c>
      <c r="T8" s="461" t="s">
        <v>1005</v>
      </c>
      <c r="U8" s="462">
        <f t="shared" si="1"/>
        <v>100</v>
      </c>
      <c r="V8" s="461" t="s">
        <v>1005</v>
      </c>
      <c r="W8" s="462">
        <f t="shared" si="2"/>
        <v>100</v>
      </c>
      <c r="X8" s="463"/>
      <c r="Y8" s="3872" t="s">
        <v>1009</v>
      </c>
      <c r="Z8" s="3873"/>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67" t="s">
        <v>1011</v>
      </c>
      <c r="Q9" s="464" t="str">
        <f t="shared" ref="Q9:Q14" si="6">B9</f>
        <v>用途</v>
      </c>
      <c r="R9" s="461" t="s">
        <v>1005</v>
      </c>
      <c r="S9" s="462">
        <f t="shared" si="0"/>
        <v>100</v>
      </c>
      <c r="T9" s="461" t="s">
        <v>1005</v>
      </c>
      <c r="U9" s="462">
        <f t="shared" si="1"/>
        <v>100</v>
      </c>
      <c r="V9" s="461" t="s">
        <v>1005</v>
      </c>
      <c r="W9" s="462">
        <f t="shared" si="2"/>
        <v>100</v>
      </c>
      <c r="X9" s="463"/>
      <c r="Y9" s="382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67"/>
      <c r="Q11" s="464">
        <f t="shared" si="6"/>
        <v>111</v>
      </c>
      <c r="R11" s="461" t="s">
        <v>1005</v>
      </c>
      <c r="S11" s="462">
        <f t="shared" si="0"/>
        <v>100</v>
      </c>
      <c r="T11" s="461" t="s">
        <v>1005</v>
      </c>
      <c r="U11" s="462">
        <f t="shared" si="1"/>
        <v>100</v>
      </c>
      <c r="V11" s="461" t="s">
        <v>1005</v>
      </c>
      <c r="W11" s="462">
        <f t="shared" si="2"/>
        <v>100</v>
      </c>
      <c r="X11" s="463"/>
      <c r="Y11" s="382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4" t="s">
        <v>1017</v>
      </c>
      <c r="Q14" s="395" t="str">
        <f t="shared" si="6"/>
        <v>交通便捷度</v>
      </c>
      <c r="R14" s="465" t="s">
        <v>1005</v>
      </c>
      <c r="S14" s="466">
        <f t="shared" si="0"/>
        <v>100</v>
      </c>
      <c r="T14" s="465" t="s">
        <v>1005</v>
      </c>
      <c r="U14" s="466">
        <f t="shared" si="1"/>
        <v>100</v>
      </c>
      <c r="V14" s="465" t="s">
        <v>1005</v>
      </c>
      <c r="W14" s="466">
        <f t="shared" si="2"/>
        <v>100</v>
      </c>
      <c r="X14" s="460"/>
      <c r="Y14" s="3874"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5"/>
      <c r="Q15" s="395"/>
      <c r="R15" s="465"/>
      <c r="S15" s="466"/>
      <c r="T15" s="465"/>
      <c r="U15" s="466"/>
      <c r="V15" s="465"/>
      <c r="W15" s="466"/>
      <c r="X15" s="460"/>
      <c r="Y15" s="3875"/>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5"/>
      <c r="Q16" s="395" t="str">
        <f>B16</f>
        <v>公共配套设施</v>
      </c>
      <c r="R16" s="465" t="s">
        <v>1005</v>
      </c>
      <c r="S16" s="466">
        <f>F16</f>
        <v>100</v>
      </c>
      <c r="T16" s="465" t="s">
        <v>1005</v>
      </c>
      <c r="U16" s="466">
        <f>H16</f>
        <v>102</v>
      </c>
      <c r="V16" s="465" t="s">
        <v>1005</v>
      </c>
      <c r="W16" s="466">
        <f>J16</f>
        <v>102</v>
      </c>
      <c r="X16" s="460"/>
      <c r="Y16" s="3875"/>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5"/>
      <c r="Q17" s="395"/>
      <c r="R17" s="465"/>
      <c r="S17" s="466"/>
      <c r="T17" s="465"/>
      <c r="U17" s="466"/>
      <c r="V17" s="465"/>
      <c r="W17" s="466"/>
      <c r="X17" s="460"/>
      <c r="Y17" s="3875"/>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5"/>
      <c r="Q18" s="395" t="str">
        <f>B18</f>
        <v>基础设施水平</v>
      </c>
      <c r="R18" s="465" t="s">
        <v>1005</v>
      </c>
      <c r="S18" s="466">
        <f>F18</f>
        <v>100</v>
      </c>
      <c r="T18" s="465" t="s">
        <v>1005</v>
      </c>
      <c r="U18" s="466">
        <f>H18</f>
        <v>100</v>
      </c>
      <c r="V18" s="465" t="s">
        <v>1005</v>
      </c>
      <c r="W18" s="466">
        <f>J18</f>
        <v>100</v>
      </c>
      <c r="X18" s="460"/>
      <c r="Y18" s="3875"/>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5"/>
      <c r="Q19" s="395"/>
      <c r="R19" s="465"/>
      <c r="S19" s="466"/>
      <c r="T19" s="465"/>
      <c r="U19" s="466"/>
      <c r="V19" s="465"/>
      <c r="W19" s="466"/>
      <c r="X19" s="460"/>
      <c r="Y19" s="3875"/>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5"/>
      <c r="Q20" s="395" t="str">
        <f>B20</f>
        <v>自然及人文环境</v>
      </c>
      <c r="R20" s="465" t="s">
        <v>1005</v>
      </c>
      <c r="S20" s="466">
        <f>F20</f>
        <v>100</v>
      </c>
      <c r="T20" s="465" t="s">
        <v>1005</v>
      </c>
      <c r="U20" s="466">
        <f>H20</f>
        <v>100</v>
      </c>
      <c r="V20" s="465" t="s">
        <v>1005</v>
      </c>
      <c r="W20" s="466">
        <f>J20</f>
        <v>100</v>
      </c>
      <c r="X20" s="460"/>
      <c r="Y20" s="3875"/>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5"/>
      <c r="Q21" s="395"/>
      <c r="R21" s="465"/>
      <c r="S21" s="466"/>
      <c r="T21" s="465"/>
      <c r="U21" s="466"/>
      <c r="V21" s="465"/>
      <c r="W21" s="466"/>
      <c r="X21" s="460"/>
      <c r="Y21" s="3875"/>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5"/>
      <c r="Q22" s="395" t="str">
        <f>B22</f>
        <v>楼层</v>
      </c>
      <c r="R22" s="465" t="s">
        <v>1005</v>
      </c>
      <c r="S22" s="466">
        <f>F22</f>
        <v>100</v>
      </c>
      <c r="T22" s="465" t="s">
        <v>1005</v>
      </c>
      <c r="U22" s="466">
        <f>H22</f>
        <v>100</v>
      </c>
      <c r="V22" s="465" t="s">
        <v>1005</v>
      </c>
      <c r="W22" s="466">
        <f>J22</f>
        <v>100</v>
      </c>
      <c r="X22" s="460"/>
      <c r="Y22" s="3875"/>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5"/>
      <c r="Q23" s="395">
        <f>B23</f>
        <v>111</v>
      </c>
      <c r="R23" s="465" t="s">
        <v>1005</v>
      </c>
      <c r="S23" s="466">
        <f>F23</f>
        <v>100</v>
      </c>
      <c r="T23" s="465" t="s">
        <v>1005</v>
      </c>
      <c r="U23" s="466">
        <f>H23</f>
        <v>100</v>
      </c>
      <c r="V23" s="465" t="s">
        <v>1005</v>
      </c>
      <c r="W23" s="466">
        <f>J23</f>
        <v>100</v>
      </c>
      <c r="X23" s="460"/>
      <c r="Y23" s="3875"/>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5"/>
      <c r="Q24" s="395">
        <f t="shared" ref="Q24:Q36" si="8">B24</f>
        <v>111</v>
      </c>
      <c r="R24" s="465" t="s">
        <v>1005</v>
      </c>
      <c r="S24" s="466">
        <f>F24</f>
        <v>100</v>
      </c>
      <c r="T24" s="465" t="s">
        <v>1005</v>
      </c>
      <c r="U24" s="466">
        <f>H24</f>
        <v>100</v>
      </c>
      <c r="V24" s="465" t="s">
        <v>1005</v>
      </c>
      <c r="W24" s="466">
        <f>J24</f>
        <v>100</v>
      </c>
      <c r="X24" s="460"/>
      <c r="Y24" s="3875"/>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5"/>
      <c r="Q25" s="464">
        <f t="shared" si="8"/>
        <v>111</v>
      </c>
      <c r="R25" s="461" t="s">
        <v>1005</v>
      </c>
      <c r="S25" s="462">
        <f>F25</f>
        <v>100</v>
      </c>
      <c r="T25" s="461" t="s">
        <v>1005</v>
      </c>
      <c r="U25" s="462">
        <f>H25</f>
        <v>100</v>
      </c>
      <c r="V25" s="461" t="s">
        <v>1005</v>
      </c>
      <c r="W25" s="462">
        <f>J25</f>
        <v>100</v>
      </c>
      <c r="X25" s="463"/>
      <c r="Y25" s="3875"/>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6"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7"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7"/>
      <c r="Q27" s="467" t="str">
        <f t="shared" si="8"/>
        <v>项目停车位配比</v>
      </c>
      <c r="R27" s="468" t="s">
        <v>1005</v>
      </c>
      <c r="S27" s="469">
        <f t="shared" si="9"/>
        <v>100</v>
      </c>
      <c r="T27" s="468" t="s">
        <v>1005</v>
      </c>
      <c r="U27" s="469">
        <f t="shared" si="10"/>
        <v>100</v>
      </c>
      <c r="V27" s="468" t="s">
        <v>1005</v>
      </c>
      <c r="W27" s="469">
        <f t="shared" si="11"/>
        <v>100</v>
      </c>
      <c r="X27" s="470"/>
      <c r="Y27" s="3877"/>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77"/>
      <c r="Q28" s="395" t="str">
        <f t="shared" si="8"/>
        <v>公共部分装修</v>
      </c>
      <c r="R28" s="465" t="s">
        <v>1005</v>
      </c>
      <c r="S28" s="466">
        <f t="shared" si="9"/>
        <v>100</v>
      </c>
      <c r="T28" s="465" t="s">
        <v>1005</v>
      </c>
      <c r="U28" s="466">
        <f t="shared" si="10"/>
        <v>100</v>
      </c>
      <c r="V28" s="465" t="s">
        <v>1005</v>
      </c>
      <c r="W28" s="466">
        <f t="shared" si="11"/>
        <v>100</v>
      </c>
      <c r="X28" s="460"/>
      <c r="Y28" s="3877"/>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7"/>
      <c r="Q29" s="395" t="str">
        <f t="shared" si="8"/>
        <v>成新率</v>
      </c>
      <c r="R29" s="465" t="s">
        <v>1005</v>
      </c>
      <c r="S29" s="466">
        <f t="shared" si="9"/>
        <v>100</v>
      </c>
      <c r="T29" s="465" t="s">
        <v>1005</v>
      </c>
      <c r="U29" s="466">
        <f t="shared" si="10"/>
        <v>100</v>
      </c>
      <c r="V29" s="465" t="s">
        <v>1005</v>
      </c>
      <c r="W29" s="466">
        <f t="shared" si="11"/>
        <v>100</v>
      </c>
      <c r="X29" s="460"/>
      <c r="Y29" s="3877"/>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7"/>
      <c r="Q30" s="395" t="str">
        <f t="shared" si="8"/>
        <v>物业等级</v>
      </c>
      <c r="R30" s="465" t="s">
        <v>1005</v>
      </c>
      <c r="S30" s="466">
        <f t="shared" si="9"/>
        <v>100</v>
      </c>
      <c r="T30" s="465" t="s">
        <v>1005</v>
      </c>
      <c r="U30" s="466">
        <f t="shared" si="10"/>
        <v>100</v>
      </c>
      <c r="V30" s="465" t="s">
        <v>1005</v>
      </c>
      <c r="W30" s="466">
        <f t="shared" si="11"/>
        <v>100</v>
      </c>
      <c r="X30" s="460"/>
      <c r="Y30" s="3877"/>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77"/>
      <c r="Q31" s="464" t="str">
        <f t="shared" si="8"/>
        <v>停车位面积</v>
      </c>
      <c r="R31" s="461" t="s">
        <v>1005</v>
      </c>
      <c r="S31" s="462">
        <f t="shared" si="9"/>
        <v>100</v>
      </c>
      <c r="T31" s="461" t="s">
        <v>1005</v>
      </c>
      <c r="U31" s="462">
        <f t="shared" si="10"/>
        <v>100</v>
      </c>
      <c r="V31" s="461" t="s">
        <v>1005</v>
      </c>
      <c r="W31" s="462">
        <f t="shared" si="11"/>
        <v>98</v>
      </c>
      <c r="X31" s="463"/>
      <c r="Y31" s="3877"/>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77" t="s">
        <v>1028</v>
      </c>
      <c r="Q32" s="395" t="str">
        <f t="shared" si="8"/>
        <v>车位类型</v>
      </c>
      <c r="R32" s="465" t="s">
        <v>1005</v>
      </c>
      <c r="S32" s="466">
        <f t="shared" si="9"/>
        <v>100</v>
      </c>
      <c r="T32" s="465" t="s">
        <v>1005</v>
      </c>
      <c r="U32" s="466">
        <f t="shared" si="10"/>
        <v>100</v>
      </c>
      <c r="V32" s="465" t="s">
        <v>1005</v>
      </c>
      <c r="W32" s="466">
        <f t="shared" si="11"/>
        <v>100</v>
      </c>
      <c r="X32" s="460"/>
      <c r="Y32" s="3877"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7"/>
      <c r="Q33" s="395" t="str">
        <f t="shared" si="8"/>
        <v>是否直接入户</v>
      </c>
      <c r="R33" s="465" t="s">
        <v>1005</v>
      </c>
      <c r="S33" s="466">
        <f t="shared" si="9"/>
        <v>100</v>
      </c>
      <c r="T33" s="465" t="s">
        <v>1005</v>
      </c>
      <c r="U33" s="466">
        <f t="shared" si="10"/>
        <v>100</v>
      </c>
      <c r="V33" s="465" t="s">
        <v>1005</v>
      </c>
      <c r="W33" s="466">
        <f t="shared" si="11"/>
        <v>100</v>
      </c>
      <c r="X33" s="460"/>
      <c r="Y33" s="3877"/>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7"/>
      <c r="Q34" s="395">
        <f t="shared" si="8"/>
        <v>0</v>
      </c>
      <c r="R34" s="465" t="s">
        <v>1005</v>
      </c>
      <c r="S34" s="466">
        <f t="shared" si="9"/>
        <v>100</v>
      </c>
      <c r="T34" s="465" t="s">
        <v>1005</v>
      </c>
      <c r="U34" s="466">
        <f t="shared" si="10"/>
        <v>100</v>
      </c>
      <c r="V34" s="465" t="s">
        <v>1005</v>
      </c>
      <c r="W34" s="466">
        <f t="shared" si="11"/>
        <v>100</v>
      </c>
      <c r="X34" s="460"/>
      <c r="Y34" s="3877"/>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7"/>
      <c r="Q35" s="467">
        <f t="shared" si="8"/>
        <v>111</v>
      </c>
      <c r="R35" s="468" t="s">
        <v>1005</v>
      </c>
      <c r="S35" s="469">
        <f t="shared" si="9"/>
        <v>100</v>
      </c>
      <c r="T35" s="468" t="s">
        <v>1005</v>
      </c>
      <c r="U35" s="469">
        <f t="shared" si="10"/>
        <v>100</v>
      </c>
      <c r="V35" s="468" t="s">
        <v>1005</v>
      </c>
      <c r="W35" s="469">
        <f t="shared" si="11"/>
        <v>100</v>
      </c>
      <c r="X35" s="470"/>
      <c r="Y35" s="3877"/>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7"/>
      <c r="Q36" s="395">
        <f t="shared" si="8"/>
        <v>111</v>
      </c>
      <c r="R36" s="465" t="s">
        <v>1005</v>
      </c>
      <c r="S36" s="466">
        <f t="shared" si="9"/>
        <v>100</v>
      </c>
      <c r="T36" s="465" t="s">
        <v>1005</v>
      </c>
      <c r="U36" s="466">
        <f t="shared" si="10"/>
        <v>100</v>
      </c>
      <c r="V36" s="465" t="s">
        <v>1005</v>
      </c>
      <c r="W36" s="466">
        <f t="shared" si="11"/>
        <v>100</v>
      </c>
      <c r="X36" s="460"/>
      <c r="Y36" s="3877"/>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67" t="str">
        <f>A37</f>
        <v>成交单价</v>
      </c>
      <c r="Q37" s="3867"/>
      <c r="R37" s="3971">
        <f>E37</f>
        <v>122571</v>
      </c>
      <c r="S37" s="3971"/>
      <c r="T37" s="3971">
        <f>G37</f>
        <v>146958</v>
      </c>
      <c r="U37" s="3971"/>
      <c r="V37" s="3971">
        <f>I37</f>
        <v>135157</v>
      </c>
      <c r="W37" s="3971"/>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67" t="str">
        <f>A38</f>
        <v>比较价格（元/平方米）</v>
      </c>
      <c r="Q38" s="3867"/>
      <c r="R38" s="3971">
        <f>IF(F1="售价",ROUND(PRODUCT(R37,AA7:AA36),0),ROUND(PRODUCT(R37,AA7:AA36),1))</f>
        <v>122571</v>
      </c>
      <c r="S38" s="3971"/>
      <c r="T38" s="3971">
        <f>IF(F1="售价",ROUND(PRODUCT(T37,AB7:AB36),0),ROUND(PRODUCT(T37,AB7:AB36),1))</f>
        <v>144076</v>
      </c>
      <c r="U38" s="3971"/>
      <c r="V38" s="3971">
        <f>IF(F1="售价",ROUND(PRODUCT(V37,AC7:AC36),0),ROUND(PRODUCT(V37,AC7:AC36),1))</f>
        <v>135211</v>
      </c>
      <c r="W38" s="3971"/>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69" t="str">
        <f>A39</f>
        <v>估价对象XX用房的比较价格（楼面单价，元/平方米）</v>
      </c>
      <c r="Q39" s="3870"/>
      <c r="R39" s="3972">
        <f>IF(F1="售价",ROUND(IF(D38="简单平均",AVERAGE(R38:W38),R38*F38+T38*H38+V38*J38),0),ROUND(IF(D38="简单平均",AVERAGE(R38:V38),R38*F38+T38*H38+V38*J38),1))</f>
        <v>133953</v>
      </c>
      <c r="S39" s="3972"/>
      <c r="T39" s="3972"/>
      <c r="U39" s="3972"/>
      <c r="V39" s="3972"/>
      <c r="W39" s="397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2024-1</v>
      </c>
      <c r="D48" s="348">
        <f>EDATE(C48,-1)</f>
        <v>45261</v>
      </c>
      <c r="E48" s="348">
        <f t="shared" ref="E48:O48" si="13">EDATE(D48,-1)</f>
        <v>45231</v>
      </c>
      <c r="F48" s="348">
        <f t="shared" si="13"/>
        <v>45200</v>
      </c>
      <c r="G48" s="348">
        <f t="shared" si="13"/>
        <v>45170</v>
      </c>
      <c r="H48" s="348">
        <f t="shared" si="13"/>
        <v>45139</v>
      </c>
      <c r="I48" s="348">
        <f t="shared" si="13"/>
        <v>45108</v>
      </c>
      <c r="J48" s="348">
        <f t="shared" si="13"/>
        <v>45078</v>
      </c>
      <c r="K48" s="348">
        <f t="shared" si="13"/>
        <v>45047</v>
      </c>
      <c r="L48" s="348">
        <f t="shared" si="13"/>
        <v>45017</v>
      </c>
      <c r="M48" s="348">
        <f t="shared" si="13"/>
        <v>44986</v>
      </c>
      <c r="N48" s="348">
        <f t="shared" si="13"/>
        <v>44958</v>
      </c>
      <c r="O48" s="348">
        <f t="shared" si="13"/>
        <v>44927</v>
      </c>
      <c r="P48" s="423"/>
      <c r="Q48" s="472"/>
      <c r="R48" s="472"/>
      <c r="S48" s="472"/>
      <c r="T48" s="472"/>
      <c r="U48" s="472"/>
      <c r="V48" s="472"/>
      <c r="W48" s="472"/>
      <c r="X48" s="472"/>
      <c r="Y48" s="472"/>
      <c r="Z48" s="472"/>
      <c r="AA48" s="472"/>
      <c r="AB48" s="472"/>
      <c r="AC48" s="472"/>
    </row>
    <row r="49" spans="1:29" s="199" customFormat="1" ht="15">
      <c r="A49" s="349"/>
      <c r="B49" s="350"/>
      <c r="C49" s="614">
        <v>100</v>
      </c>
      <c r="D49" s="352">
        <v>100</v>
      </c>
      <c r="E49" s="352">
        <v>100</v>
      </c>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173355.13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根据《国有土地使用证》[]，估价对象（分摊）出让国有建设用地使用权面积为55570.2平方米。根据《建设工程规划许可证》[]、《出让合同》[]，估价对象规划建筑面积为173355.13平方米。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83" t="s">
        <v>994</v>
      </c>
      <c r="D4" s="3884"/>
      <c r="E4" s="3894" t="s">
        <v>995</v>
      </c>
      <c r="F4" s="3895"/>
      <c r="G4" s="3883" t="s">
        <v>996</v>
      </c>
      <c r="H4" s="3884"/>
      <c r="I4" s="3883" t="s">
        <v>997</v>
      </c>
      <c r="J4" s="3884"/>
      <c r="K4" s="388" t="s">
        <v>998</v>
      </c>
      <c r="L4" s="389"/>
      <c r="M4" s="390"/>
      <c r="N4" s="390"/>
      <c r="O4" s="390"/>
      <c r="P4" s="3860" t="s">
        <v>999</v>
      </c>
      <c r="Q4" s="3861"/>
      <c r="R4" s="3851" t="s">
        <v>995</v>
      </c>
      <c r="S4" s="3852"/>
      <c r="T4" s="3851" t="s">
        <v>996</v>
      </c>
      <c r="U4" s="3852"/>
      <c r="V4" s="3866" t="s">
        <v>997</v>
      </c>
      <c r="W4" s="3866"/>
      <c r="X4" s="460"/>
      <c r="Y4" s="3851" t="s">
        <v>999</v>
      </c>
      <c r="Z4" s="3852"/>
      <c r="AA4" s="3857" t="s">
        <v>995</v>
      </c>
      <c r="AB4" s="3866" t="s">
        <v>996</v>
      </c>
      <c r="AC4" s="3857" t="s">
        <v>997</v>
      </c>
    </row>
    <row r="5" spans="1:29" ht="15">
      <c r="A5" s="225"/>
      <c r="B5" s="226"/>
      <c r="C5" s="3885" t="s">
        <v>1000</v>
      </c>
      <c r="D5" s="3886"/>
      <c r="E5" s="3896" t="s">
        <v>1086</v>
      </c>
      <c r="F5" s="3897"/>
      <c r="G5" s="3885" t="s">
        <v>1087</v>
      </c>
      <c r="H5" s="3886"/>
      <c r="I5" s="3885" t="s">
        <v>1088</v>
      </c>
      <c r="J5" s="3886"/>
      <c r="K5" s="388"/>
      <c r="L5" s="389"/>
      <c r="M5" s="390"/>
      <c r="N5" s="390"/>
      <c r="O5" s="390"/>
      <c r="P5" s="3862"/>
      <c r="Q5" s="3863"/>
      <c r="R5" s="3853"/>
      <c r="S5" s="3854"/>
      <c r="T5" s="3853"/>
      <c r="U5" s="3854"/>
      <c r="V5" s="3866"/>
      <c r="W5" s="3866"/>
      <c r="X5" s="460"/>
      <c r="Y5" s="3853"/>
      <c r="Z5" s="3854"/>
      <c r="AA5" s="3858"/>
      <c r="AB5" s="3866"/>
      <c r="AC5" s="3858"/>
    </row>
    <row r="6" spans="1:29" ht="15">
      <c r="A6" s="227"/>
      <c r="B6" s="228"/>
      <c r="C6" s="3880" t="s">
        <v>1001</v>
      </c>
      <c r="D6" s="3881"/>
      <c r="E6" s="3892" t="s">
        <v>1001</v>
      </c>
      <c r="F6" s="3893"/>
      <c r="G6" s="3880" t="s">
        <v>1001</v>
      </c>
      <c r="H6" s="3881"/>
      <c r="I6" s="3880" t="s">
        <v>1001</v>
      </c>
      <c r="J6" s="3881"/>
      <c r="K6" s="388" t="s">
        <v>1002</v>
      </c>
      <c r="L6" s="389"/>
      <c r="M6" s="390"/>
      <c r="N6" s="390"/>
      <c r="O6" s="390"/>
      <c r="P6" s="3864"/>
      <c r="Q6" s="3865"/>
      <c r="R6" s="3853"/>
      <c r="S6" s="3854"/>
      <c r="T6" s="3855"/>
      <c r="U6" s="3856"/>
      <c r="V6" s="3866"/>
      <c r="W6" s="3866"/>
      <c r="X6" s="460"/>
      <c r="Y6" s="3855"/>
      <c r="Z6" s="3856"/>
      <c r="AA6" s="3859"/>
      <c r="AB6" s="3866"/>
      <c r="AC6" s="3859"/>
    </row>
    <row r="7" spans="1:29" s="199" customFormat="1" ht="15">
      <c r="A7" s="229"/>
      <c r="B7" s="230" t="s">
        <v>1003</v>
      </c>
      <c r="C7" s="231">
        <f>'数据-取费表'!B2</f>
        <v>45316</v>
      </c>
      <c r="D7" s="232">
        <v>100</v>
      </c>
      <c r="E7" s="233"/>
      <c r="F7" s="234">
        <f>SUMIF(58:58,YEAR(E7)&amp;"-"&amp;MONTH(E7),59:59)</f>
        <v>0</v>
      </c>
      <c r="G7" s="233"/>
      <c r="H7" s="232">
        <f>SUMIF(58:58,YEAR(G7)&amp;"-"&amp;MONTH(G7),59:59)</f>
        <v>0</v>
      </c>
      <c r="I7" s="233"/>
      <c r="J7" s="232">
        <f>SUMIF(58:58,YEAR(I7)&amp;"-"&amp;MONTH(I7),59:59)</f>
        <v>0</v>
      </c>
      <c r="K7" s="391"/>
      <c r="L7" s="392"/>
      <c r="M7" s="393"/>
      <c r="N7" s="393"/>
      <c r="O7" s="393"/>
      <c r="P7" s="3872" t="s">
        <v>1004</v>
      </c>
      <c r="Q7" s="3882"/>
      <c r="R7" s="461" t="s">
        <v>1005</v>
      </c>
      <c r="S7" s="462">
        <f t="shared" ref="S7:S15" si="0">F7</f>
        <v>0</v>
      </c>
      <c r="T7" s="461" t="s">
        <v>1005</v>
      </c>
      <c r="U7" s="462">
        <f t="shared" ref="U7:U15" si="1">H7</f>
        <v>0</v>
      </c>
      <c r="V7" s="461" t="s">
        <v>1005</v>
      </c>
      <c r="W7" s="462">
        <f t="shared" ref="W7:W15" si="2">J7</f>
        <v>0</v>
      </c>
      <c r="X7" s="463"/>
      <c r="Y7" s="3872" t="s">
        <v>1004</v>
      </c>
      <c r="Z7" s="3873"/>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72" t="s">
        <v>1009</v>
      </c>
      <c r="Q8" s="3873"/>
      <c r="R8" s="461" t="s">
        <v>1005</v>
      </c>
      <c r="S8" s="462">
        <f t="shared" si="0"/>
        <v>0</v>
      </c>
      <c r="T8" s="461" t="s">
        <v>1005</v>
      </c>
      <c r="U8" s="462">
        <f t="shared" si="1"/>
        <v>0</v>
      </c>
      <c r="V8" s="461" t="s">
        <v>1005</v>
      </c>
      <c r="W8" s="462">
        <f t="shared" si="2"/>
        <v>0</v>
      </c>
      <c r="X8" s="463"/>
      <c r="Y8" s="3872" t="s">
        <v>1009</v>
      </c>
      <c r="Z8" s="3873"/>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67" t="s">
        <v>1011</v>
      </c>
      <c r="Q9" s="464" t="str">
        <f t="shared" ref="Q9:Q15" si="6">B9</f>
        <v>用途</v>
      </c>
      <c r="R9" s="461" t="s">
        <v>1005</v>
      </c>
      <c r="S9" s="462">
        <f t="shared" si="0"/>
        <v>100</v>
      </c>
      <c r="T9" s="461" t="s">
        <v>1005</v>
      </c>
      <c r="U9" s="462">
        <f t="shared" si="1"/>
        <v>100</v>
      </c>
      <c r="V9" s="461" t="s">
        <v>1005</v>
      </c>
      <c r="W9" s="462">
        <f t="shared" si="2"/>
        <v>100</v>
      </c>
      <c r="X9" s="463"/>
      <c r="Y9" s="382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67"/>
      <c r="Q11" s="464" t="str">
        <f t="shared" si="6"/>
        <v>容积率</v>
      </c>
      <c r="R11" s="461" t="s">
        <v>1005</v>
      </c>
      <c r="S11" s="462" t="e">
        <f t="shared" si="0"/>
        <v>#N/A</v>
      </c>
      <c r="T11" s="461" t="s">
        <v>1005</v>
      </c>
      <c r="U11" s="462" t="e">
        <f t="shared" si="1"/>
        <v>#N/A</v>
      </c>
      <c r="V11" s="461" t="s">
        <v>1005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67"/>
      <c r="Q14" s="464">
        <f t="shared" si="6"/>
        <v>111</v>
      </c>
      <c r="R14" s="461" t="s">
        <v>1005</v>
      </c>
      <c r="S14" s="462">
        <f t="shared" si="0"/>
        <v>100</v>
      </c>
      <c r="T14" s="461" t="s">
        <v>1005</v>
      </c>
      <c r="U14" s="462">
        <f t="shared" si="1"/>
        <v>100</v>
      </c>
      <c r="V14" s="461" t="s">
        <v>1005</v>
      </c>
      <c r="W14" s="462">
        <f t="shared" si="2"/>
        <v>100</v>
      </c>
      <c r="X14" s="463"/>
      <c r="Y14" s="3829"/>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4" t="s">
        <v>1017</v>
      </c>
      <c r="Q15" s="395" t="str">
        <f t="shared" si="6"/>
        <v>商业繁华度</v>
      </c>
      <c r="R15" s="465" t="s">
        <v>1005</v>
      </c>
      <c r="S15" s="466">
        <f t="shared" si="0"/>
        <v>100</v>
      </c>
      <c r="T15" s="465" t="s">
        <v>1005</v>
      </c>
      <c r="U15" s="466">
        <f t="shared" si="1"/>
        <v>100</v>
      </c>
      <c r="V15" s="465" t="s">
        <v>1005</v>
      </c>
      <c r="W15" s="466">
        <f t="shared" si="2"/>
        <v>100</v>
      </c>
      <c r="X15" s="460"/>
      <c r="Y15" s="3874"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5"/>
      <c r="Q16" s="395"/>
      <c r="R16" s="465"/>
      <c r="S16" s="466"/>
      <c r="T16" s="465"/>
      <c r="U16" s="466"/>
      <c r="V16" s="465"/>
      <c r="W16" s="466"/>
      <c r="X16" s="460"/>
      <c r="Y16" s="3875"/>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5"/>
      <c r="Q17" s="395" t="str">
        <f>B17</f>
        <v>交通便捷度</v>
      </c>
      <c r="R17" s="465" t="s">
        <v>1005</v>
      </c>
      <c r="S17" s="466">
        <f>F17</f>
        <v>100</v>
      </c>
      <c r="T17" s="465" t="s">
        <v>1005</v>
      </c>
      <c r="U17" s="466">
        <f>H17</f>
        <v>100</v>
      </c>
      <c r="V17" s="465" t="s">
        <v>1005</v>
      </c>
      <c r="W17" s="466">
        <f>J17</f>
        <v>100</v>
      </c>
      <c r="X17" s="460"/>
      <c r="Y17" s="3875"/>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5"/>
      <c r="Q18" s="395"/>
      <c r="R18" s="465"/>
      <c r="S18" s="466"/>
      <c r="T18" s="465"/>
      <c r="U18" s="466"/>
      <c r="V18" s="465"/>
      <c r="W18" s="466"/>
      <c r="X18" s="460"/>
      <c r="Y18" s="3875"/>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5"/>
      <c r="Q19" s="395" t="str">
        <f>B19</f>
        <v>公共配套设施</v>
      </c>
      <c r="R19" s="465" t="s">
        <v>1005</v>
      </c>
      <c r="S19" s="466">
        <f>F19</f>
        <v>100</v>
      </c>
      <c r="T19" s="465" t="s">
        <v>1005</v>
      </c>
      <c r="U19" s="466">
        <f>H19</f>
        <v>100</v>
      </c>
      <c r="V19" s="465" t="s">
        <v>1005</v>
      </c>
      <c r="W19" s="466">
        <f>J19</f>
        <v>100</v>
      </c>
      <c r="X19" s="460"/>
      <c r="Y19" s="3875"/>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5"/>
      <c r="Q20" s="395"/>
      <c r="R20" s="465"/>
      <c r="S20" s="466"/>
      <c r="T20" s="465"/>
      <c r="U20" s="466"/>
      <c r="V20" s="465"/>
      <c r="W20" s="466"/>
      <c r="X20" s="460"/>
      <c r="Y20" s="3875"/>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5"/>
      <c r="Q21" s="395" t="str">
        <f>B21</f>
        <v>基础设施水平</v>
      </c>
      <c r="R21" s="465" t="s">
        <v>1005</v>
      </c>
      <c r="S21" s="466">
        <f>F21</f>
        <v>100</v>
      </c>
      <c r="T21" s="465" t="s">
        <v>1005</v>
      </c>
      <c r="U21" s="466">
        <f>H21</f>
        <v>100</v>
      </c>
      <c r="V21" s="465" t="s">
        <v>1005</v>
      </c>
      <c r="W21" s="466">
        <f>J21</f>
        <v>100</v>
      </c>
      <c r="X21" s="460"/>
      <c r="Y21" s="3875"/>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5"/>
      <c r="Q22" s="395"/>
      <c r="R22" s="465"/>
      <c r="S22" s="466"/>
      <c r="T22" s="465"/>
      <c r="U22" s="466"/>
      <c r="V22" s="465"/>
      <c r="W22" s="466"/>
      <c r="X22" s="460"/>
      <c r="Y22" s="3875"/>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5"/>
      <c r="Q23" s="395" t="str">
        <f>B23</f>
        <v>自然及人文环境</v>
      </c>
      <c r="R23" s="465" t="s">
        <v>1005</v>
      </c>
      <c r="S23" s="466">
        <f>F23</f>
        <v>100</v>
      </c>
      <c r="T23" s="465" t="s">
        <v>1005</v>
      </c>
      <c r="U23" s="466">
        <f>H23</f>
        <v>100</v>
      </c>
      <c r="V23" s="465" t="s">
        <v>1005</v>
      </c>
      <c r="W23" s="466">
        <f>J23</f>
        <v>100</v>
      </c>
      <c r="X23" s="460"/>
      <c r="Y23" s="3875"/>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5"/>
      <c r="Q24" s="395"/>
      <c r="R24" s="465"/>
      <c r="S24" s="466"/>
      <c r="T24" s="465"/>
      <c r="U24" s="466"/>
      <c r="V24" s="465"/>
      <c r="W24" s="466"/>
      <c r="X24" s="460"/>
      <c r="Y24" s="3875"/>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5"/>
      <c r="Q25" s="395" t="str">
        <f t="shared" ref="Q25:Q46" si="8">B25</f>
        <v>临街状况</v>
      </c>
      <c r="R25" s="465" t="s">
        <v>1005</v>
      </c>
      <c r="S25" s="466">
        <f>F25</f>
        <v>100</v>
      </c>
      <c r="T25" s="465" t="s">
        <v>1005</v>
      </c>
      <c r="U25" s="466">
        <f>H25</f>
        <v>100</v>
      </c>
      <c r="V25" s="465" t="s">
        <v>1005</v>
      </c>
      <c r="W25" s="466">
        <f>J25</f>
        <v>100</v>
      </c>
      <c r="X25" s="460"/>
      <c r="Y25" s="3875"/>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5"/>
      <c r="Q26" s="395" t="str">
        <f t="shared" si="8"/>
        <v>平面位置/可视性</v>
      </c>
      <c r="R26" s="465" t="s">
        <v>1005</v>
      </c>
      <c r="S26" s="466">
        <f>F26</f>
        <v>100</v>
      </c>
      <c r="T26" s="465" t="s">
        <v>1005</v>
      </c>
      <c r="U26" s="466">
        <f>H26</f>
        <v>100</v>
      </c>
      <c r="V26" s="465" t="s">
        <v>1005</v>
      </c>
      <c r="W26" s="466">
        <f>J26</f>
        <v>100</v>
      </c>
      <c r="X26" s="460"/>
      <c r="Y26" s="3875"/>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5"/>
      <c r="Q27" s="464" t="str">
        <f t="shared" si="8"/>
        <v>人流量</v>
      </c>
      <c r="R27" s="461" t="s">
        <v>1005</v>
      </c>
      <c r="S27" s="462">
        <f>F27</f>
        <v>100</v>
      </c>
      <c r="T27" s="461" t="s">
        <v>1005</v>
      </c>
      <c r="U27" s="462">
        <f>H27</f>
        <v>100</v>
      </c>
      <c r="V27" s="461" t="s">
        <v>1005</v>
      </c>
      <c r="W27" s="462">
        <f>J27</f>
        <v>100</v>
      </c>
      <c r="X27" s="463"/>
      <c r="Y27" s="3875"/>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5"/>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5"/>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5"/>
      <c r="Q29" s="395">
        <f t="shared" si="8"/>
        <v>111</v>
      </c>
      <c r="R29" s="465" t="s">
        <v>1005</v>
      </c>
      <c r="S29" s="466">
        <f t="shared" si="9"/>
        <v>100</v>
      </c>
      <c r="T29" s="465" t="s">
        <v>1005</v>
      </c>
      <c r="U29" s="466">
        <f t="shared" si="10"/>
        <v>100</v>
      </c>
      <c r="V29" s="465" t="s">
        <v>1005</v>
      </c>
      <c r="W29" s="466">
        <f t="shared" si="11"/>
        <v>100</v>
      </c>
      <c r="X29" s="460"/>
      <c r="Y29" s="3875"/>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5"/>
      <c r="Q30" s="395">
        <f t="shared" si="8"/>
        <v>111</v>
      </c>
      <c r="R30" s="465" t="s">
        <v>1005</v>
      </c>
      <c r="S30" s="466">
        <f t="shared" si="9"/>
        <v>100</v>
      </c>
      <c r="T30" s="465" t="s">
        <v>1005</v>
      </c>
      <c r="U30" s="466">
        <f t="shared" si="10"/>
        <v>100</v>
      </c>
      <c r="V30" s="465" t="s">
        <v>1005</v>
      </c>
      <c r="W30" s="466">
        <f t="shared" si="11"/>
        <v>100</v>
      </c>
      <c r="X30" s="460"/>
      <c r="Y30" s="3875"/>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5"/>
      <c r="Q31" s="395">
        <f t="shared" si="8"/>
        <v>111</v>
      </c>
      <c r="R31" s="465" t="s">
        <v>1005</v>
      </c>
      <c r="S31" s="466">
        <f t="shared" si="9"/>
        <v>100</v>
      </c>
      <c r="T31" s="465" t="s">
        <v>1005</v>
      </c>
      <c r="U31" s="466">
        <f t="shared" si="10"/>
        <v>100</v>
      </c>
      <c r="V31" s="465" t="s">
        <v>1005</v>
      </c>
      <c r="W31" s="466">
        <f t="shared" si="11"/>
        <v>100</v>
      </c>
      <c r="X31" s="460"/>
      <c r="Y31" s="3875"/>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6" t="s">
        <v>1028</v>
      </c>
      <c r="Q32" s="395" t="str">
        <f t="shared" si="8"/>
        <v>商业类型</v>
      </c>
      <c r="R32" s="465" t="s">
        <v>1005</v>
      </c>
      <c r="S32" s="466">
        <f t="shared" si="9"/>
        <v>100</v>
      </c>
      <c r="T32" s="465" t="s">
        <v>1005</v>
      </c>
      <c r="U32" s="466">
        <f t="shared" si="10"/>
        <v>100</v>
      </c>
      <c r="V32" s="465" t="s">
        <v>1005</v>
      </c>
      <c r="W32" s="466">
        <f t="shared" si="11"/>
        <v>100</v>
      </c>
      <c r="X32" s="460"/>
      <c r="Y32" s="3877"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7"/>
      <c r="Q33" s="467" t="str">
        <f t="shared" si="8"/>
        <v>项目建筑规模</v>
      </c>
      <c r="R33" s="468" t="s">
        <v>1005</v>
      </c>
      <c r="S33" s="469" t="e">
        <f t="shared" si="9"/>
        <v>#N/A</v>
      </c>
      <c r="T33" s="468" t="s">
        <v>1005</v>
      </c>
      <c r="U33" s="469" t="e">
        <f t="shared" si="10"/>
        <v>#N/A</v>
      </c>
      <c r="V33" s="468" t="s">
        <v>1005</v>
      </c>
      <c r="W33" s="469" t="e">
        <f t="shared" si="11"/>
        <v>#N/A</v>
      </c>
      <c r="X33" s="470"/>
      <c r="Y33" s="3877"/>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7"/>
      <c r="Q34" s="395" t="str">
        <f t="shared" si="8"/>
        <v>建筑结构</v>
      </c>
      <c r="R34" s="465" t="s">
        <v>1005</v>
      </c>
      <c r="S34" s="466">
        <f t="shared" si="9"/>
        <v>100</v>
      </c>
      <c r="T34" s="465" t="s">
        <v>1005</v>
      </c>
      <c r="U34" s="466">
        <f t="shared" si="10"/>
        <v>100</v>
      </c>
      <c r="V34" s="465" t="s">
        <v>1005</v>
      </c>
      <c r="W34" s="466">
        <f t="shared" si="11"/>
        <v>100</v>
      </c>
      <c r="X34" s="460"/>
      <c r="Y34" s="3877"/>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7"/>
      <c r="Q35" s="395" t="str">
        <f t="shared" si="8"/>
        <v>公共部分装修</v>
      </c>
      <c r="R35" s="465" t="s">
        <v>1005</v>
      </c>
      <c r="S35" s="466">
        <f t="shared" si="9"/>
        <v>100</v>
      </c>
      <c r="T35" s="465" t="s">
        <v>1005</v>
      </c>
      <c r="U35" s="466">
        <f t="shared" si="10"/>
        <v>100</v>
      </c>
      <c r="V35" s="465" t="s">
        <v>1005</v>
      </c>
      <c r="W35" s="466">
        <f t="shared" si="11"/>
        <v>100</v>
      </c>
      <c r="X35" s="460"/>
      <c r="Y35" s="3877"/>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7"/>
      <c r="Q36" s="395" t="str">
        <f t="shared" si="8"/>
        <v>成新度</v>
      </c>
      <c r="R36" s="465" t="s">
        <v>1005</v>
      </c>
      <c r="S36" s="466" t="e">
        <f t="shared" si="9"/>
        <v>#N/A</v>
      </c>
      <c r="T36" s="465" t="s">
        <v>1005</v>
      </c>
      <c r="U36" s="466" t="e">
        <f t="shared" si="10"/>
        <v>#N/A</v>
      </c>
      <c r="V36" s="465" t="s">
        <v>1005</v>
      </c>
      <c r="W36" s="466" t="e">
        <f t="shared" si="11"/>
        <v>#N/A</v>
      </c>
      <c r="X36" s="460"/>
      <c r="Y36" s="3877"/>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7"/>
      <c r="Q37" s="464" t="str">
        <f t="shared" si="8"/>
        <v>市政基础设施</v>
      </c>
      <c r="R37" s="461" t="s">
        <v>1005</v>
      </c>
      <c r="S37" s="462">
        <f t="shared" si="9"/>
        <v>100</v>
      </c>
      <c r="T37" s="461" t="s">
        <v>1005</v>
      </c>
      <c r="U37" s="462">
        <f t="shared" si="10"/>
        <v>100</v>
      </c>
      <c r="V37" s="461" t="s">
        <v>1005</v>
      </c>
      <c r="W37" s="462">
        <f t="shared" si="11"/>
        <v>100</v>
      </c>
      <c r="X37" s="463"/>
      <c r="Y37" s="3877"/>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7" t="s">
        <v>1028</v>
      </c>
      <c r="Q38" s="395" t="str">
        <f t="shared" si="8"/>
        <v>业态</v>
      </c>
      <c r="R38" s="465" t="s">
        <v>1005</v>
      </c>
      <c r="S38" s="466">
        <f t="shared" si="9"/>
        <v>100</v>
      </c>
      <c r="T38" s="465" t="s">
        <v>1005</v>
      </c>
      <c r="U38" s="466">
        <f t="shared" si="10"/>
        <v>100</v>
      </c>
      <c r="V38" s="465" t="s">
        <v>1005</v>
      </c>
      <c r="W38" s="466">
        <f t="shared" si="11"/>
        <v>100</v>
      </c>
      <c r="X38" s="460"/>
      <c r="Y38" s="3877"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7"/>
      <c r="Q39" s="395" t="str">
        <f t="shared" si="8"/>
        <v>层高</v>
      </c>
      <c r="R39" s="465" t="s">
        <v>1005</v>
      </c>
      <c r="S39" s="466">
        <f t="shared" si="9"/>
        <v>100</v>
      </c>
      <c r="T39" s="465" t="s">
        <v>1005</v>
      </c>
      <c r="U39" s="466">
        <f t="shared" si="10"/>
        <v>100</v>
      </c>
      <c r="V39" s="465" t="s">
        <v>1005</v>
      </c>
      <c r="W39" s="466">
        <f t="shared" si="11"/>
        <v>100</v>
      </c>
      <c r="X39" s="460"/>
      <c r="Y39" s="3877"/>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7"/>
      <c r="Q40" s="395" t="str">
        <f t="shared" si="8"/>
        <v>单套建筑面积</v>
      </c>
      <c r="R40" s="465" t="s">
        <v>1005</v>
      </c>
      <c r="S40" s="466">
        <f t="shared" si="9"/>
        <v>100</v>
      </c>
      <c r="T40" s="465" t="s">
        <v>1005</v>
      </c>
      <c r="U40" s="466">
        <f t="shared" si="10"/>
        <v>100</v>
      </c>
      <c r="V40" s="465" t="s">
        <v>1005</v>
      </c>
      <c r="W40" s="466">
        <f t="shared" si="11"/>
        <v>100</v>
      </c>
      <c r="X40" s="460"/>
      <c r="Y40" s="3877"/>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7"/>
      <c r="Q41" s="467" t="str">
        <f t="shared" si="8"/>
        <v>进深比</v>
      </c>
      <c r="R41" s="468" t="s">
        <v>1005</v>
      </c>
      <c r="S41" s="469">
        <f t="shared" si="9"/>
        <v>100</v>
      </c>
      <c r="T41" s="468" t="s">
        <v>1005</v>
      </c>
      <c r="U41" s="469">
        <f t="shared" si="10"/>
        <v>100</v>
      </c>
      <c r="V41" s="468" t="s">
        <v>1005</v>
      </c>
      <c r="W41" s="469">
        <f t="shared" si="11"/>
        <v>100</v>
      </c>
      <c r="X41" s="470"/>
      <c r="Y41" s="3877"/>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7"/>
      <c r="Q42" s="395" t="str">
        <f t="shared" si="8"/>
        <v>内部装修</v>
      </c>
      <c r="R42" s="465" t="s">
        <v>1005</v>
      </c>
      <c r="S42" s="466">
        <f t="shared" si="9"/>
        <v>100</v>
      </c>
      <c r="T42" s="465" t="s">
        <v>1005</v>
      </c>
      <c r="U42" s="466">
        <f t="shared" si="10"/>
        <v>100</v>
      </c>
      <c r="V42" s="465" t="s">
        <v>1005</v>
      </c>
      <c r="W42" s="466">
        <f t="shared" si="11"/>
        <v>100</v>
      </c>
      <c r="X42" s="460"/>
      <c r="Y42" s="3877"/>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7"/>
      <c r="Q43" s="395" t="str">
        <f t="shared" si="8"/>
        <v>内部装修维护情况</v>
      </c>
      <c r="R43" s="465" t="s">
        <v>1005</v>
      </c>
      <c r="S43" s="466">
        <f t="shared" si="9"/>
        <v>100</v>
      </c>
      <c r="T43" s="465" t="s">
        <v>1005</v>
      </c>
      <c r="U43" s="466">
        <f t="shared" si="10"/>
        <v>100</v>
      </c>
      <c r="V43" s="465" t="s">
        <v>1005</v>
      </c>
      <c r="W43" s="466">
        <f t="shared" si="11"/>
        <v>100</v>
      </c>
      <c r="X43" s="460"/>
      <c r="Y43" s="3877"/>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7"/>
      <c r="Q44" s="464">
        <f t="shared" si="8"/>
        <v>111</v>
      </c>
      <c r="R44" s="461" t="s">
        <v>1005</v>
      </c>
      <c r="S44" s="462">
        <f t="shared" si="9"/>
        <v>100</v>
      </c>
      <c r="T44" s="461" t="s">
        <v>1005</v>
      </c>
      <c r="U44" s="462">
        <f t="shared" si="10"/>
        <v>100</v>
      </c>
      <c r="V44" s="461" t="s">
        <v>1005</v>
      </c>
      <c r="W44" s="462">
        <f t="shared" si="11"/>
        <v>100</v>
      </c>
      <c r="X44" s="463"/>
      <c r="Y44" s="3877"/>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7"/>
      <c r="Q45" s="395">
        <f t="shared" si="8"/>
        <v>111</v>
      </c>
      <c r="R45" s="465" t="s">
        <v>1005</v>
      </c>
      <c r="S45" s="466">
        <f t="shared" si="9"/>
        <v>100</v>
      </c>
      <c r="T45" s="465" t="s">
        <v>1005</v>
      </c>
      <c r="U45" s="466">
        <f t="shared" si="10"/>
        <v>100</v>
      </c>
      <c r="V45" s="465" t="s">
        <v>1005</v>
      </c>
      <c r="W45" s="466">
        <f t="shared" si="11"/>
        <v>100</v>
      </c>
      <c r="X45" s="460"/>
      <c r="Y45" s="3877"/>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73"/>
      <c r="Q46" s="395">
        <f t="shared" si="8"/>
        <v>111</v>
      </c>
      <c r="R46" s="465" t="s">
        <v>1005</v>
      </c>
      <c r="S46" s="466">
        <f t="shared" si="9"/>
        <v>100</v>
      </c>
      <c r="T46" s="465" t="s">
        <v>1005</v>
      </c>
      <c r="U46" s="466">
        <f t="shared" si="10"/>
        <v>100</v>
      </c>
      <c r="V46" s="465" t="s">
        <v>1005</v>
      </c>
      <c r="W46" s="466">
        <f t="shared" si="11"/>
        <v>100</v>
      </c>
      <c r="X46" s="460"/>
      <c r="Y46" s="3973"/>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67" t="str">
        <f>A47</f>
        <v>成交单价（元/平方米）</v>
      </c>
      <c r="Q47" s="3867"/>
      <c r="R47" s="3971">
        <f>E47</f>
        <v>0</v>
      </c>
      <c r="S47" s="3971"/>
      <c r="T47" s="3971">
        <f>G47</f>
        <v>0</v>
      </c>
      <c r="U47" s="3971"/>
      <c r="V47" s="3971">
        <f>I47</f>
        <v>0</v>
      </c>
      <c r="W47" s="3971"/>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67" t="str">
        <f>A48</f>
        <v>比较价格（元/平方米）</v>
      </c>
      <c r="Q48" s="3867"/>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69" t="str">
        <f>A49</f>
        <v>估价对象XX用房的比较价格（楼面单价，元/平方米）</v>
      </c>
      <c r="Q49" s="3870"/>
      <c r="R49" s="3972" t="e">
        <f>IF(F1="售价",ROUND(IF(D48="简单平均",AVERAGE(R48:V48),R48*F48+T48*H48+V48*J48),0),ROUND(IF(D48="简单平均",AVERAGE(R48:V48),R48*F48+T48*H48+V48*J48),1))</f>
        <v>#DIV/0!</v>
      </c>
      <c r="S49" s="3972"/>
      <c r="T49" s="3972"/>
      <c r="U49" s="3972"/>
      <c r="V49" s="3972"/>
      <c r="W49" s="397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83" t="s">
        <v>994</v>
      </c>
      <c r="D4" s="3884"/>
      <c r="E4" s="3894" t="s">
        <v>995</v>
      </c>
      <c r="F4" s="3895"/>
      <c r="G4" s="3883" t="s">
        <v>996</v>
      </c>
      <c r="H4" s="3884"/>
      <c r="I4" s="3883" t="s">
        <v>997</v>
      </c>
      <c r="J4" s="3884"/>
      <c r="K4" s="388" t="s">
        <v>998</v>
      </c>
      <c r="L4" s="389"/>
      <c r="M4" s="390"/>
      <c r="N4" s="390"/>
      <c r="O4" s="390"/>
      <c r="P4" s="3978" t="s">
        <v>999</v>
      </c>
      <c r="Q4" s="3861"/>
      <c r="R4" s="3851" t="s">
        <v>995</v>
      </c>
      <c r="S4" s="3852"/>
      <c r="T4" s="3851" t="s">
        <v>996</v>
      </c>
      <c r="U4" s="3852"/>
      <c r="V4" s="3866" t="s">
        <v>997</v>
      </c>
      <c r="W4" s="3866"/>
      <c r="X4" s="460"/>
      <c r="Y4" s="3851" t="s">
        <v>999</v>
      </c>
      <c r="Z4" s="3852"/>
      <c r="AA4" s="3857" t="s">
        <v>995</v>
      </c>
      <c r="AB4" s="3857" t="s">
        <v>996</v>
      </c>
      <c r="AC4" s="3857" t="s">
        <v>997</v>
      </c>
    </row>
    <row r="5" spans="1:29" ht="15">
      <c r="A5" s="225"/>
      <c r="B5" s="226"/>
      <c r="C5" s="3885" t="s">
        <v>1000</v>
      </c>
      <c r="D5" s="3886"/>
      <c r="E5" s="3896" t="s">
        <v>1086</v>
      </c>
      <c r="F5" s="3897"/>
      <c r="G5" s="3885" t="s">
        <v>1087</v>
      </c>
      <c r="H5" s="3886"/>
      <c r="I5" s="3885" t="s">
        <v>1088</v>
      </c>
      <c r="J5" s="3886"/>
      <c r="K5" s="388"/>
      <c r="L5" s="389"/>
      <c r="M5" s="390"/>
      <c r="N5" s="390"/>
      <c r="O5" s="390"/>
      <c r="P5" s="3979"/>
      <c r="Q5" s="3863"/>
      <c r="R5" s="3853"/>
      <c r="S5" s="3854"/>
      <c r="T5" s="3853"/>
      <c r="U5" s="3854"/>
      <c r="V5" s="3866"/>
      <c r="W5" s="3866"/>
      <c r="X5" s="460"/>
      <c r="Y5" s="3853"/>
      <c r="Z5" s="3854"/>
      <c r="AA5" s="3858"/>
      <c r="AB5" s="3858"/>
      <c r="AC5" s="3858"/>
    </row>
    <row r="6" spans="1:29" ht="15">
      <c r="A6" s="227"/>
      <c r="B6" s="228"/>
      <c r="C6" s="3880" t="s">
        <v>1001</v>
      </c>
      <c r="D6" s="3881"/>
      <c r="E6" s="3892" t="s">
        <v>1001</v>
      </c>
      <c r="F6" s="3893"/>
      <c r="G6" s="3880" t="s">
        <v>1001</v>
      </c>
      <c r="H6" s="3881"/>
      <c r="I6" s="3880" t="s">
        <v>1001</v>
      </c>
      <c r="J6" s="3881"/>
      <c r="K6" s="388" t="s">
        <v>1002</v>
      </c>
      <c r="L6" s="389"/>
      <c r="M6" s="390"/>
      <c r="N6" s="390"/>
      <c r="O6" s="390"/>
      <c r="P6" s="3980"/>
      <c r="Q6" s="3865"/>
      <c r="R6" s="3853"/>
      <c r="S6" s="3854"/>
      <c r="T6" s="3855"/>
      <c r="U6" s="3856"/>
      <c r="V6" s="3866"/>
      <c r="W6" s="3866"/>
      <c r="X6" s="460"/>
      <c r="Y6" s="3855"/>
      <c r="Z6" s="3856"/>
      <c r="AA6" s="3859"/>
      <c r="AB6" s="3859"/>
      <c r="AC6" s="3859"/>
    </row>
    <row r="7" spans="1:29" s="199" customFormat="1" ht="15">
      <c r="A7" s="229"/>
      <c r="B7" s="230" t="s">
        <v>1003</v>
      </c>
      <c r="C7" s="231">
        <f>'数据-取费表'!B2</f>
        <v>45316</v>
      </c>
      <c r="D7" s="232">
        <v>100</v>
      </c>
      <c r="E7" s="233"/>
      <c r="F7" s="234">
        <f>SUMIF(59:59,YEAR(E7)&amp;"-"&amp;MONTH(E7),60:60)</f>
        <v>0</v>
      </c>
      <c r="G7" s="233"/>
      <c r="H7" s="232">
        <f>SUMIF(59:59,YEAR(G7)&amp;"-"&amp;MONTH(G7),60:60)</f>
        <v>0</v>
      </c>
      <c r="I7" s="233"/>
      <c r="J7" s="232">
        <f>SUMIF(59:59,YEAR(I7)&amp;"-"&amp;MONTH(I7),60:60)</f>
        <v>0</v>
      </c>
      <c r="K7" s="391"/>
      <c r="L7" s="392"/>
      <c r="M7" s="393"/>
      <c r="N7" s="393"/>
      <c r="O7" s="393"/>
      <c r="P7" s="3882" t="s">
        <v>1004</v>
      </c>
      <c r="Q7" s="3882"/>
      <c r="R7" s="461" t="s">
        <v>1005</v>
      </c>
      <c r="S7" s="462">
        <f t="shared" ref="S7:S15" si="0">F7</f>
        <v>0</v>
      </c>
      <c r="T7" s="461" t="s">
        <v>1005</v>
      </c>
      <c r="U7" s="462">
        <f t="shared" ref="U7:U15" si="1">H7</f>
        <v>0</v>
      </c>
      <c r="V7" s="461" t="s">
        <v>1005</v>
      </c>
      <c r="W7" s="462">
        <f t="shared" ref="W7:W15" si="2">J7</f>
        <v>0</v>
      </c>
      <c r="X7" s="463"/>
      <c r="Y7" s="3872" t="s">
        <v>1004</v>
      </c>
      <c r="Z7" s="3873"/>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82" t="s">
        <v>1009</v>
      </c>
      <c r="Q8" s="3873"/>
      <c r="R8" s="461" t="s">
        <v>1005</v>
      </c>
      <c r="S8" s="462">
        <f t="shared" si="0"/>
        <v>0</v>
      </c>
      <c r="T8" s="461" t="s">
        <v>1005</v>
      </c>
      <c r="U8" s="462">
        <f t="shared" si="1"/>
        <v>0</v>
      </c>
      <c r="V8" s="461" t="s">
        <v>1005</v>
      </c>
      <c r="W8" s="462">
        <f t="shared" si="2"/>
        <v>0</v>
      </c>
      <c r="X8" s="463"/>
      <c r="Y8" s="3872" t="s">
        <v>1009</v>
      </c>
      <c r="Z8" s="3873"/>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67" t="s">
        <v>1011</v>
      </c>
      <c r="Q9" s="464" t="str">
        <f t="shared" ref="Q9:Q15" si="6">B9</f>
        <v>用途</v>
      </c>
      <c r="R9" s="461" t="s">
        <v>1005</v>
      </c>
      <c r="S9" s="462">
        <f t="shared" si="0"/>
        <v>100</v>
      </c>
      <c r="T9" s="461" t="s">
        <v>1005</v>
      </c>
      <c r="U9" s="462">
        <f t="shared" si="1"/>
        <v>100</v>
      </c>
      <c r="V9" s="461" t="s">
        <v>1005</v>
      </c>
      <c r="W9" s="462">
        <f t="shared" si="2"/>
        <v>100</v>
      </c>
      <c r="X9" s="463"/>
      <c r="Y9" s="382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67"/>
      <c r="Q11" s="464" t="str">
        <f t="shared" si="6"/>
        <v>容积率</v>
      </c>
      <c r="R11" s="461" t="s">
        <v>1005</v>
      </c>
      <c r="S11" s="462" t="e">
        <f t="shared" si="0"/>
        <v>#N/A</v>
      </c>
      <c r="T11" s="461" t="s">
        <v>1005</v>
      </c>
      <c r="U11" s="462" t="e">
        <f t="shared" si="1"/>
        <v>#N/A</v>
      </c>
      <c r="V11" s="461" t="s">
        <v>1005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67"/>
      <c r="Q14" s="464">
        <f t="shared" si="6"/>
        <v>111</v>
      </c>
      <c r="R14" s="461" t="s">
        <v>1005</v>
      </c>
      <c r="S14" s="462">
        <f t="shared" si="0"/>
        <v>100</v>
      </c>
      <c r="T14" s="461" t="s">
        <v>1005</v>
      </c>
      <c r="U14" s="462">
        <f t="shared" si="1"/>
        <v>100</v>
      </c>
      <c r="V14" s="461" t="s">
        <v>1005</v>
      </c>
      <c r="W14" s="462">
        <f t="shared" si="2"/>
        <v>100</v>
      </c>
      <c r="X14" s="463"/>
      <c r="Y14" s="3829"/>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4" t="s">
        <v>1017</v>
      </c>
      <c r="Q15" s="395" t="str">
        <f t="shared" si="6"/>
        <v>办公集聚程度</v>
      </c>
      <c r="R15" s="465" t="s">
        <v>1005</v>
      </c>
      <c r="S15" s="466">
        <f t="shared" si="0"/>
        <v>100</v>
      </c>
      <c r="T15" s="465" t="s">
        <v>1005</v>
      </c>
      <c r="U15" s="466">
        <f t="shared" si="1"/>
        <v>100</v>
      </c>
      <c r="V15" s="465" t="s">
        <v>1005</v>
      </c>
      <c r="W15" s="466">
        <f t="shared" si="2"/>
        <v>100</v>
      </c>
      <c r="X15" s="460"/>
      <c r="Y15" s="3874"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5"/>
      <c r="Q16" s="395"/>
      <c r="R16" s="465"/>
      <c r="S16" s="466"/>
      <c r="T16" s="465"/>
      <c r="U16" s="466"/>
      <c r="V16" s="465"/>
      <c r="W16" s="466"/>
      <c r="X16" s="460"/>
      <c r="Y16" s="3875"/>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5"/>
      <c r="Q17" s="395" t="str">
        <f>B17</f>
        <v>交通便捷度</v>
      </c>
      <c r="R17" s="465" t="s">
        <v>1005</v>
      </c>
      <c r="S17" s="466">
        <f>F17</f>
        <v>100</v>
      </c>
      <c r="T17" s="465" t="s">
        <v>1005</v>
      </c>
      <c r="U17" s="466">
        <f>H17</f>
        <v>100</v>
      </c>
      <c r="V17" s="465" t="s">
        <v>1005</v>
      </c>
      <c r="W17" s="466">
        <f>J17</f>
        <v>100</v>
      </c>
      <c r="X17" s="460"/>
      <c r="Y17" s="3875"/>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5"/>
      <c r="Q18" s="395"/>
      <c r="R18" s="465"/>
      <c r="S18" s="466"/>
      <c r="T18" s="465"/>
      <c r="U18" s="466"/>
      <c r="V18" s="465"/>
      <c r="W18" s="466"/>
      <c r="X18" s="460"/>
      <c r="Y18" s="3875"/>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5"/>
      <c r="Q19" s="395" t="str">
        <f>B19</f>
        <v>公共配套设施</v>
      </c>
      <c r="R19" s="465" t="s">
        <v>1005</v>
      </c>
      <c r="S19" s="466">
        <f>F19</f>
        <v>100</v>
      </c>
      <c r="T19" s="465" t="s">
        <v>1005</v>
      </c>
      <c r="U19" s="466">
        <f>H19</f>
        <v>100</v>
      </c>
      <c r="V19" s="465" t="s">
        <v>1005</v>
      </c>
      <c r="W19" s="466">
        <f>J19</f>
        <v>100</v>
      </c>
      <c r="X19" s="460"/>
      <c r="Y19" s="3875"/>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5"/>
      <c r="Q20" s="395"/>
      <c r="R20" s="465"/>
      <c r="S20" s="466"/>
      <c r="T20" s="465"/>
      <c r="U20" s="466"/>
      <c r="V20" s="465"/>
      <c r="W20" s="466"/>
      <c r="X20" s="460"/>
      <c r="Y20" s="3875"/>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5"/>
      <c r="Q21" s="395" t="str">
        <f>B21</f>
        <v>基础设施水平</v>
      </c>
      <c r="R21" s="465" t="s">
        <v>1005</v>
      </c>
      <c r="S21" s="466">
        <f>F21</f>
        <v>100</v>
      </c>
      <c r="T21" s="465" t="s">
        <v>1005</v>
      </c>
      <c r="U21" s="466">
        <f>H21</f>
        <v>100</v>
      </c>
      <c r="V21" s="465" t="s">
        <v>1005</v>
      </c>
      <c r="W21" s="466">
        <f>J21</f>
        <v>100</v>
      </c>
      <c r="X21" s="460"/>
      <c r="Y21" s="3875"/>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5"/>
      <c r="Q22" s="395"/>
      <c r="R22" s="465"/>
      <c r="S22" s="466"/>
      <c r="T22" s="465"/>
      <c r="U22" s="466"/>
      <c r="V22" s="465"/>
      <c r="W22" s="466"/>
      <c r="X22" s="460"/>
      <c r="Y22" s="3875"/>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5"/>
      <c r="Q23" s="395" t="str">
        <f>B23</f>
        <v>环境质量</v>
      </c>
      <c r="R23" s="465" t="s">
        <v>1005</v>
      </c>
      <c r="S23" s="466">
        <f>F23</f>
        <v>100</v>
      </c>
      <c r="T23" s="465" t="s">
        <v>1005</v>
      </c>
      <c r="U23" s="466">
        <f>H23</f>
        <v>100</v>
      </c>
      <c r="V23" s="465" t="s">
        <v>1005</v>
      </c>
      <c r="W23" s="466">
        <f>J23</f>
        <v>100</v>
      </c>
      <c r="X23" s="460"/>
      <c r="Y23" s="3875"/>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5"/>
      <c r="Q24" s="395"/>
      <c r="R24" s="465"/>
      <c r="S24" s="466"/>
      <c r="T24" s="465"/>
      <c r="U24" s="466"/>
      <c r="V24" s="465"/>
      <c r="W24" s="466"/>
      <c r="X24" s="460"/>
      <c r="Y24" s="3875"/>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5"/>
      <c r="Q25" s="395" t="str">
        <f>B25</f>
        <v>毗邻道路的类型与等级</v>
      </c>
      <c r="R25" s="465" t="s">
        <v>1005</v>
      </c>
      <c r="S25" s="466">
        <f>F25</f>
        <v>100</v>
      </c>
      <c r="T25" s="465" t="s">
        <v>1005</v>
      </c>
      <c r="U25" s="466">
        <f>H25</f>
        <v>100</v>
      </c>
      <c r="V25" s="465" t="s">
        <v>1005</v>
      </c>
      <c r="W25" s="466">
        <f>J25</f>
        <v>100</v>
      </c>
      <c r="X25" s="460"/>
      <c r="Y25" s="3875"/>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5"/>
      <c r="Q26" s="395"/>
      <c r="R26" s="465"/>
      <c r="S26" s="466"/>
      <c r="T26" s="465"/>
      <c r="U26" s="466"/>
      <c r="V26" s="465"/>
      <c r="W26" s="466"/>
      <c r="X26" s="460"/>
      <c r="Y26" s="3875"/>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5"/>
      <c r="Q27" s="395" t="str">
        <f t="shared" ref="Q27:Q47" si="8">B27</f>
        <v>楼层</v>
      </c>
      <c r="R27" s="465" t="s">
        <v>1005</v>
      </c>
      <c r="S27" s="466">
        <f>F27</f>
        <v>100</v>
      </c>
      <c r="T27" s="465" t="s">
        <v>1005</v>
      </c>
      <c r="U27" s="466">
        <f>H27</f>
        <v>100</v>
      </c>
      <c r="V27" s="465" t="s">
        <v>1005</v>
      </c>
      <c r="W27" s="466">
        <f>J27</f>
        <v>100</v>
      </c>
      <c r="X27" s="460"/>
      <c r="Y27" s="3875"/>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5"/>
      <c r="Q28" s="464" t="str">
        <f t="shared" si="8"/>
        <v>朝向</v>
      </c>
      <c r="R28" s="461" t="s">
        <v>1005</v>
      </c>
      <c r="S28" s="462">
        <f>F28</f>
        <v>100</v>
      </c>
      <c r="T28" s="461" t="s">
        <v>1005</v>
      </c>
      <c r="U28" s="462">
        <f>H28</f>
        <v>100</v>
      </c>
      <c r="V28" s="461" t="s">
        <v>1005</v>
      </c>
      <c r="W28" s="462">
        <f>J28</f>
        <v>100</v>
      </c>
      <c r="X28" s="463"/>
      <c r="Y28" s="3875"/>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5"/>
      <c r="Q29" s="395">
        <f t="shared" si="8"/>
        <v>111</v>
      </c>
      <c r="R29" s="465" t="s">
        <v>1005</v>
      </c>
      <c r="S29" s="466">
        <f t="shared" ref="S29:S47" si="9">F29</f>
        <v>100</v>
      </c>
      <c r="T29" s="465" t="s">
        <v>1005</v>
      </c>
      <c r="U29" s="466">
        <f t="shared" ref="U29:U47" si="10">H29</f>
        <v>100</v>
      </c>
      <c r="V29" s="465" t="s">
        <v>1005</v>
      </c>
      <c r="W29" s="466">
        <f t="shared" ref="W29:W47" si="11">J29</f>
        <v>100</v>
      </c>
      <c r="X29" s="460"/>
      <c r="Y29" s="3875"/>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5"/>
      <c r="Q30" s="395">
        <f t="shared" si="8"/>
        <v>111</v>
      </c>
      <c r="R30" s="465" t="s">
        <v>1005</v>
      </c>
      <c r="S30" s="466">
        <f t="shared" si="9"/>
        <v>100</v>
      </c>
      <c r="T30" s="465" t="s">
        <v>1005</v>
      </c>
      <c r="U30" s="466">
        <f t="shared" si="10"/>
        <v>100</v>
      </c>
      <c r="V30" s="465" t="s">
        <v>1005</v>
      </c>
      <c r="W30" s="466">
        <f t="shared" si="11"/>
        <v>100</v>
      </c>
      <c r="X30" s="460"/>
      <c r="Y30" s="3875"/>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5"/>
      <c r="Q31" s="395">
        <f t="shared" si="8"/>
        <v>111</v>
      </c>
      <c r="R31" s="465" t="s">
        <v>1005</v>
      </c>
      <c r="S31" s="466">
        <f t="shared" si="9"/>
        <v>100</v>
      </c>
      <c r="T31" s="465" t="s">
        <v>1005</v>
      </c>
      <c r="U31" s="466">
        <f t="shared" si="10"/>
        <v>100</v>
      </c>
      <c r="V31" s="465" t="s">
        <v>1005</v>
      </c>
      <c r="W31" s="466">
        <f t="shared" si="11"/>
        <v>100</v>
      </c>
      <c r="X31" s="460"/>
      <c r="Y31" s="3875"/>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5"/>
      <c r="Q32" s="395">
        <f t="shared" si="8"/>
        <v>111</v>
      </c>
      <c r="R32" s="465" t="s">
        <v>1005</v>
      </c>
      <c r="S32" s="466">
        <f t="shared" si="9"/>
        <v>100</v>
      </c>
      <c r="T32" s="465" t="s">
        <v>1005</v>
      </c>
      <c r="U32" s="466">
        <f t="shared" si="10"/>
        <v>100</v>
      </c>
      <c r="V32" s="465" t="s">
        <v>1005</v>
      </c>
      <c r="W32" s="466">
        <f t="shared" si="11"/>
        <v>100</v>
      </c>
      <c r="X32" s="460"/>
      <c r="Y32" s="3875"/>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6" t="s">
        <v>1028</v>
      </c>
      <c r="Q33" s="395" t="str">
        <f t="shared" si="8"/>
        <v>建筑类型</v>
      </c>
      <c r="R33" s="465" t="s">
        <v>1005</v>
      </c>
      <c r="S33" s="466">
        <f t="shared" si="9"/>
        <v>100</v>
      </c>
      <c r="T33" s="465" t="s">
        <v>1005</v>
      </c>
      <c r="U33" s="466">
        <f t="shared" si="10"/>
        <v>100</v>
      </c>
      <c r="V33" s="465" t="s">
        <v>1005</v>
      </c>
      <c r="W33" s="466">
        <f t="shared" si="11"/>
        <v>100</v>
      </c>
      <c r="X33" s="460"/>
      <c r="Y33" s="3877"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7"/>
      <c r="Q34" s="467" t="str">
        <f t="shared" si="8"/>
        <v>项目建筑规模</v>
      </c>
      <c r="R34" s="468" t="s">
        <v>1005</v>
      </c>
      <c r="S34" s="469" t="e">
        <f t="shared" si="9"/>
        <v>#N/A</v>
      </c>
      <c r="T34" s="468" t="s">
        <v>1005</v>
      </c>
      <c r="U34" s="469" t="e">
        <f t="shared" si="10"/>
        <v>#N/A</v>
      </c>
      <c r="V34" s="468" t="s">
        <v>1005</v>
      </c>
      <c r="W34" s="469" t="e">
        <f t="shared" si="11"/>
        <v>#N/A</v>
      </c>
      <c r="X34" s="470"/>
      <c r="Y34" s="3877"/>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7"/>
      <c r="Q35" s="395" t="str">
        <f t="shared" si="8"/>
        <v>建筑结构</v>
      </c>
      <c r="R35" s="465" t="s">
        <v>1005</v>
      </c>
      <c r="S35" s="466">
        <f t="shared" si="9"/>
        <v>100</v>
      </c>
      <c r="T35" s="465" t="s">
        <v>1005</v>
      </c>
      <c r="U35" s="466">
        <f t="shared" si="10"/>
        <v>100</v>
      </c>
      <c r="V35" s="465" t="s">
        <v>1005</v>
      </c>
      <c r="W35" s="466">
        <f t="shared" si="11"/>
        <v>100</v>
      </c>
      <c r="X35" s="460"/>
      <c r="Y35" s="3877"/>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7"/>
      <c r="Q36" s="395" t="str">
        <f t="shared" si="8"/>
        <v>公共部分装修</v>
      </c>
      <c r="R36" s="465" t="s">
        <v>1005</v>
      </c>
      <c r="S36" s="466">
        <f t="shared" si="9"/>
        <v>100</v>
      </c>
      <c r="T36" s="465" t="s">
        <v>1005</v>
      </c>
      <c r="U36" s="466">
        <f t="shared" si="10"/>
        <v>100</v>
      </c>
      <c r="V36" s="465" t="s">
        <v>1005</v>
      </c>
      <c r="W36" s="466">
        <f t="shared" si="11"/>
        <v>100</v>
      </c>
      <c r="X36" s="460"/>
      <c r="Y36" s="3877"/>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7"/>
      <c r="Q37" s="395" t="str">
        <f t="shared" si="8"/>
        <v>成新度</v>
      </c>
      <c r="R37" s="465" t="s">
        <v>1005</v>
      </c>
      <c r="S37" s="466" t="e">
        <f t="shared" si="9"/>
        <v>#N/A</v>
      </c>
      <c r="T37" s="465" t="s">
        <v>1005</v>
      </c>
      <c r="U37" s="466" t="e">
        <f t="shared" si="10"/>
        <v>#N/A</v>
      </c>
      <c r="V37" s="465" t="s">
        <v>1005</v>
      </c>
      <c r="W37" s="466" t="e">
        <f t="shared" si="11"/>
        <v>#N/A</v>
      </c>
      <c r="X37" s="460"/>
      <c r="Y37" s="3877"/>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7"/>
      <c r="Q38" s="464" t="str">
        <f t="shared" si="8"/>
        <v>写字楼等级</v>
      </c>
      <c r="R38" s="461" t="s">
        <v>1005</v>
      </c>
      <c r="S38" s="462">
        <f t="shared" si="9"/>
        <v>100</v>
      </c>
      <c r="T38" s="461" t="s">
        <v>1005</v>
      </c>
      <c r="U38" s="462">
        <f t="shared" si="10"/>
        <v>100</v>
      </c>
      <c r="V38" s="461" t="s">
        <v>1005</v>
      </c>
      <c r="W38" s="462">
        <f t="shared" si="11"/>
        <v>100</v>
      </c>
      <c r="X38" s="463"/>
      <c r="Y38" s="3877"/>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7" t="s">
        <v>1028</v>
      </c>
      <c r="Q39" s="395" t="str">
        <f t="shared" si="8"/>
        <v>物业管理</v>
      </c>
      <c r="R39" s="465" t="s">
        <v>1005</v>
      </c>
      <c r="S39" s="466">
        <f t="shared" si="9"/>
        <v>100</v>
      </c>
      <c r="T39" s="465" t="s">
        <v>1005</v>
      </c>
      <c r="U39" s="466">
        <f t="shared" si="10"/>
        <v>100</v>
      </c>
      <c r="V39" s="465" t="s">
        <v>1005</v>
      </c>
      <c r="W39" s="466">
        <f t="shared" si="11"/>
        <v>100</v>
      </c>
      <c r="X39" s="460"/>
      <c r="Y39" s="3877"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7"/>
      <c r="Q40" s="395" t="str">
        <f t="shared" si="8"/>
        <v>市政基础设施</v>
      </c>
      <c r="R40" s="465" t="s">
        <v>1005</v>
      </c>
      <c r="S40" s="466">
        <f t="shared" si="9"/>
        <v>100</v>
      </c>
      <c r="T40" s="465" t="s">
        <v>1005</v>
      </c>
      <c r="U40" s="466">
        <f t="shared" si="10"/>
        <v>100</v>
      </c>
      <c r="V40" s="465" t="s">
        <v>1005</v>
      </c>
      <c r="W40" s="466">
        <f t="shared" si="11"/>
        <v>100</v>
      </c>
      <c r="X40" s="460"/>
      <c r="Y40" s="3877"/>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7"/>
      <c r="Q41" s="395" t="str">
        <f t="shared" si="8"/>
        <v>层高</v>
      </c>
      <c r="R41" s="465" t="s">
        <v>1005</v>
      </c>
      <c r="S41" s="466">
        <f t="shared" si="9"/>
        <v>100</v>
      </c>
      <c r="T41" s="465" t="s">
        <v>1005</v>
      </c>
      <c r="U41" s="466">
        <f t="shared" si="10"/>
        <v>100</v>
      </c>
      <c r="V41" s="465" t="s">
        <v>1005</v>
      </c>
      <c r="W41" s="466">
        <f t="shared" si="11"/>
        <v>100</v>
      </c>
      <c r="X41" s="460"/>
      <c r="Y41" s="3877"/>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7"/>
      <c r="Q42" s="467" t="str">
        <f t="shared" si="8"/>
        <v>单套建筑面积</v>
      </c>
      <c r="R42" s="468" t="s">
        <v>1005</v>
      </c>
      <c r="S42" s="469">
        <f t="shared" si="9"/>
        <v>100</v>
      </c>
      <c r="T42" s="468" t="s">
        <v>1005</v>
      </c>
      <c r="U42" s="469">
        <f t="shared" si="10"/>
        <v>100</v>
      </c>
      <c r="V42" s="468" t="s">
        <v>1005</v>
      </c>
      <c r="W42" s="469">
        <f t="shared" si="11"/>
        <v>100</v>
      </c>
      <c r="X42" s="470"/>
      <c r="Y42" s="3877"/>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7"/>
      <c r="Q43" s="395" t="str">
        <f t="shared" si="8"/>
        <v>内部装修</v>
      </c>
      <c r="R43" s="465" t="s">
        <v>1005</v>
      </c>
      <c r="S43" s="466">
        <f t="shared" si="9"/>
        <v>100</v>
      </c>
      <c r="T43" s="465" t="s">
        <v>1005</v>
      </c>
      <c r="U43" s="466">
        <f t="shared" si="10"/>
        <v>100</v>
      </c>
      <c r="V43" s="465" t="s">
        <v>1005</v>
      </c>
      <c r="W43" s="466">
        <f t="shared" si="11"/>
        <v>100</v>
      </c>
      <c r="X43" s="460"/>
      <c r="Y43" s="3877"/>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7"/>
      <c r="Q44" s="395" t="str">
        <f t="shared" si="8"/>
        <v>内部装修维护情况</v>
      </c>
      <c r="R44" s="465" t="s">
        <v>1005</v>
      </c>
      <c r="S44" s="466">
        <f t="shared" si="9"/>
        <v>100</v>
      </c>
      <c r="T44" s="465" t="s">
        <v>1005</v>
      </c>
      <c r="U44" s="466">
        <f t="shared" si="10"/>
        <v>100</v>
      </c>
      <c r="V44" s="465" t="s">
        <v>1005</v>
      </c>
      <c r="W44" s="466">
        <f t="shared" si="11"/>
        <v>100</v>
      </c>
      <c r="X44" s="460"/>
      <c r="Y44" s="3877"/>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7"/>
      <c r="Q45" s="464">
        <f t="shared" si="8"/>
        <v>111</v>
      </c>
      <c r="R45" s="461" t="s">
        <v>1005</v>
      </c>
      <c r="S45" s="462">
        <f t="shared" si="9"/>
        <v>100</v>
      </c>
      <c r="T45" s="461" t="s">
        <v>1005</v>
      </c>
      <c r="U45" s="462">
        <f t="shared" si="10"/>
        <v>100</v>
      </c>
      <c r="V45" s="461" t="s">
        <v>1005</v>
      </c>
      <c r="W45" s="462">
        <f t="shared" si="11"/>
        <v>100</v>
      </c>
      <c r="X45" s="463"/>
      <c r="Y45" s="3877"/>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7"/>
      <c r="Q46" s="395">
        <f t="shared" si="8"/>
        <v>111</v>
      </c>
      <c r="R46" s="465" t="s">
        <v>1005</v>
      </c>
      <c r="S46" s="466">
        <f t="shared" si="9"/>
        <v>100</v>
      </c>
      <c r="T46" s="465" t="s">
        <v>1005</v>
      </c>
      <c r="U46" s="466">
        <f t="shared" si="10"/>
        <v>100</v>
      </c>
      <c r="V46" s="465" t="s">
        <v>1005</v>
      </c>
      <c r="W46" s="466">
        <f t="shared" si="11"/>
        <v>100</v>
      </c>
      <c r="X46" s="460"/>
      <c r="Y46" s="3877"/>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73"/>
      <c r="Q47" s="395">
        <f t="shared" si="8"/>
        <v>111</v>
      </c>
      <c r="R47" s="465" t="s">
        <v>1005</v>
      </c>
      <c r="S47" s="466">
        <f t="shared" si="9"/>
        <v>100</v>
      </c>
      <c r="T47" s="465" t="s">
        <v>1005</v>
      </c>
      <c r="U47" s="466">
        <f t="shared" si="10"/>
        <v>100</v>
      </c>
      <c r="V47" s="465" t="s">
        <v>1005</v>
      </c>
      <c r="W47" s="466">
        <f t="shared" si="11"/>
        <v>100</v>
      </c>
      <c r="X47" s="460"/>
      <c r="Y47" s="3973"/>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70" t="str">
        <f>A48</f>
        <v>成交单价（元/平方米）</v>
      </c>
      <c r="Q48" s="3867"/>
      <c r="R48" s="3971">
        <f>E48</f>
        <v>0</v>
      </c>
      <c r="S48" s="3971"/>
      <c r="T48" s="3971">
        <f>G48</f>
        <v>0</v>
      </c>
      <c r="U48" s="3971"/>
      <c r="V48" s="3971">
        <f>I48</f>
        <v>0</v>
      </c>
      <c r="W48" s="3971"/>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70" t="str">
        <f>A49</f>
        <v>比较价格（元/平方米）</v>
      </c>
      <c r="Q49" s="3867"/>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81" t="str">
        <f>A50</f>
        <v>估价对象XX用房的比较价格（楼面单价，元/平方米）</v>
      </c>
      <c r="Q50" s="3870"/>
      <c r="R50" s="3972" t="e">
        <f>IF(F1="售价",ROUND(IF(D49="简单平均",AVERAGE(R49:V49),R49*F49+T49*H49+V49*J49),0),ROUND(IF(D49="简单平均",AVERAGE(R49:V49),R49*F49+T49*H49+V49*J49),1))</f>
        <v>#DIV/0!</v>
      </c>
      <c r="S50" s="3972"/>
      <c r="T50" s="3972"/>
      <c r="U50" s="3972"/>
      <c r="V50" s="3972"/>
      <c r="W50" s="397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2024-1</v>
      </c>
      <c r="D59" s="348">
        <f>EDATE(C59,-1)</f>
        <v>45261</v>
      </c>
      <c r="E59" s="348">
        <f t="shared" ref="E59:O59" si="13">EDATE(D59,-1)</f>
        <v>45231</v>
      </c>
      <c r="F59" s="348">
        <f t="shared" si="13"/>
        <v>45200</v>
      </c>
      <c r="G59" s="348">
        <f t="shared" si="13"/>
        <v>45170</v>
      </c>
      <c r="H59" s="348">
        <f t="shared" si="13"/>
        <v>45139</v>
      </c>
      <c r="I59" s="348">
        <f t="shared" si="13"/>
        <v>45108</v>
      </c>
      <c r="J59" s="348">
        <f t="shared" si="13"/>
        <v>45078</v>
      </c>
      <c r="K59" s="348">
        <f t="shared" si="13"/>
        <v>45047</v>
      </c>
      <c r="L59" s="348">
        <f t="shared" si="13"/>
        <v>45017</v>
      </c>
      <c r="M59" s="348">
        <f t="shared" si="13"/>
        <v>44986</v>
      </c>
      <c r="N59" s="348">
        <f t="shared" si="13"/>
        <v>44958</v>
      </c>
      <c r="O59" s="348">
        <f t="shared" si="13"/>
        <v>44927</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3" t="s">
        <v>994</v>
      </c>
      <c r="D4" s="3884"/>
      <c r="E4" s="3894" t="s">
        <v>995</v>
      </c>
      <c r="F4" s="3895"/>
      <c r="G4" s="3883" t="s">
        <v>996</v>
      </c>
      <c r="H4" s="3884"/>
      <c r="I4" s="3883" t="s">
        <v>997</v>
      </c>
      <c r="J4" s="3884"/>
      <c r="K4" s="388" t="s">
        <v>998</v>
      </c>
      <c r="L4" s="389"/>
      <c r="M4" s="390"/>
      <c r="N4" s="390"/>
      <c r="O4" s="390"/>
      <c r="P4" s="3860" t="s">
        <v>999</v>
      </c>
      <c r="Q4" s="3861"/>
      <c r="R4" s="3851" t="s">
        <v>995</v>
      </c>
      <c r="S4" s="3852"/>
      <c r="T4" s="3851" t="s">
        <v>996</v>
      </c>
      <c r="U4" s="3852"/>
      <c r="V4" s="3866" t="s">
        <v>997</v>
      </c>
      <c r="W4" s="3866"/>
      <c r="X4" s="460"/>
      <c r="Y4" s="3851" t="s">
        <v>999</v>
      </c>
      <c r="Z4" s="3852"/>
      <c r="AA4" s="3857" t="s">
        <v>995</v>
      </c>
      <c r="AB4" s="3858" t="s">
        <v>996</v>
      </c>
      <c r="AC4" s="3857" t="s">
        <v>997</v>
      </c>
    </row>
    <row r="5" spans="1:29" ht="15">
      <c r="A5" s="225"/>
      <c r="B5" s="226"/>
      <c r="C5" s="3885" t="s">
        <v>1000</v>
      </c>
      <c r="D5" s="3886"/>
      <c r="E5" s="3896" t="s">
        <v>1086</v>
      </c>
      <c r="F5" s="3897"/>
      <c r="G5" s="3885" t="s">
        <v>1087</v>
      </c>
      <c r="H5" s="3886"/>
      <c r="I5" s="3885" t="s">
        <v>1088</v>
      </c>
      <c r="J5" s="3886"/>
      <c r="K5" s="388"/>
      <c r="L5" s="389"/>
      <c r="M5" s="390"/>
      <c r="N5" s="390"/>
      <c r="O5" s="390"/>
      <c r="P5" s="3862"/>
      <c r="Q5" s="3863"/>
      <c r="R5" s="3853"/>
      <c r="S5" s="3854"/>
      <c r="T5" s="3853"/>
      <c r="U5" s="3854"/>
      <c r="V5" s="3866"/>
      <c r="W5" s="3866"/>
      <c r="X5" s="460"/>
      <c r="Y5" s="3853"/>
      <c r="Z5" s="3854"/>
      <c r="AA5" s="3858"/>
      <c r="AB5" s="3858"/>
      <c r="AC5" s="3858"/>
    </row>
    <row r="6" spans="1:29" ht="15">
      <c r="A6" s="227"/>
      <c r="B6" s="228"/>
      <c r="C6" s="3880" t="s">
        <v>1001</v>
      </c>
      <c r="D6" s="3881"/>
      <c r="E6" s="3892" t="s">
        <v>1001</v>
      </c>
      <c r="F6" s="3893"/>
      <c r="G6" s="3880" t="s">
        <v>1001</v>
      </c>
      <c r="H6" s="3881"/>
      <c r="I6" s="3880" t="s">
        <v>1001</v>
      </c>
      <c r="J6" s="3881"/>
      <c r="K6" s="388" t="s">
        <v>1002</v>
      </c>
      <c r="L6" s="389"/>
      <c r="M6" s="390"/>
      <c r="N6" s="390"/>
      <c r="O6" s="390"/>
      <c r="P6" s="3864"/>
      <c r="Q6" s="3865"/>
      <c r="R6" s="3853"/>
      <c r="S6" s="3854"/>
      <c r="T6" s="3855"/>
      <c r="U6" s="3856"/>
      <c r="V6" s="3866"/>
      <c r="W6" s="3866"/>
      <c r="X6" s="460"/>
      <c r="Y6" s="3855"/>
      <c r="Z6" s="3856"/>
      <c r="AA6" s="3859"/>
      <c r="AB6" s="3859"/>
      <c r="AC6" s="3859"/>
    </row>
    <row r="7" spans="1:29" s="199" customFormat="1" ht="15">
      <c r="A7" s="229"/>
      <c r="B7" s="230" t="s">
        <v>1003</v>
      </c>
      <c r="C7" s="231">
        <f>'数据-取费表'!B2</f>
        <v>45316</v>
      </c>
      <c r="D7" s="232">
        <v>100</v>
      </c>
      <c r="E7" s="233"/>
      <c r="F7" s="234">
        <f>SUMIF(52:52,YEAR(E7)&amp;"-"&amp;MONTH(E7),53:53)</f>
        <v>0</v>
      </c>
      <c r="G7" s="233"/>
      <c r="H7" s="232">
        <f>SUMIF(52:52,YEAR(G7)&amp;"-"&amp;MONTH(G7),53:53)</f>
        <v>0</v>
      </c>
      <c r="I7" s="233"/>
      <c r="J7" s="232">
        <f>SUMIF(52:52,YEAR(I7)&amp;"-"&amp;MONTH(I7),53:53)</f>
        <v>0</v>
      </c>
      <c r="K7" s="391"/>
      <c r="L7" s="392"/>
      <c r="M7" s="393"/>
      <c r="N7" s="393"/>
      <c r="O7" s="393"/>
      <c r="P7" s="3872" t="s">
        <v>1004</v>
      </c>
      <c r="Q7" s="3882"/>
      <c r="R7" s="461" t="s">
        <v>1005</v>
      </c>
      <c r="S7" s="462">
        <f t="shared" ref="S7:S15" si="0">F7</f>
        <v>0</v>
      </c>
      <c r="T7" s="461" t="s">
        <v>1005</v>
      </c>
      <c r="U7" s="462">
        <f t="shared" ref="U7:U15" si="1">H7</f>
        <v>0</v>
      </c>
      <c r="V7" s="461" t="s">
        <v>1005</v>
      </c>
      <c r="W7" s="462">
        <f t="shared" ref="W7:W15" si="2">J7</f>
        <v>0</v>
      </c>
      <c r="X7" s="463"/>
      <c r="Y7" s="3872" t="s">
        <v>1004</v>
      </c>
      <c r="Z7" s="3873"/>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72" t="s">
        <v>1009</v>
      </c>
      <c r="Q8" s="3873"/>
      <c r="R8" s="461" t="s">
        <v>1005</v>
      </c>
      <c r="S8" s="462">
        <f t="shared" si="0"/>
        <v>0</v>
      </c>
      <c r="T8" s="461" t="s">
        <v>1005</v>
      </c>
      <c r="U8" s="462">
        <f t="shared" si="1"/>
        <v>0</v>
      </c>
      <c r="V8" s="461" t="s">
        <v>1005</v>
      </c>
      <c r="W8" s="462">
        <f t="shared" si="2"/>
        <v>0</v>
      </c>
      <c r="X8" s="463"/>
      <c r="Y8" s="3872" t="s">
        <v>1009</v>
      </c>
      <c r="Z8" s="3873"/>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67" t="s">
        <v>1011</v>
      </c>
      <c r="Q9" s="464" t="str">
        <f t="shared" ref="Q9:Q15" si="6">B9</f>
        <v>用途</v>
      </c>
      <c r="R9" s="461" t="s">
        <v>1005</v>
      </c>
      <c r="S9" s="462">
        <f t="shared" si="0"/>
        <v>100</v>
      </c>
      <c r="T9" s="461" t="s">
        <v>1005</v>
      </c>
      <c r="U9" s="462">
        <f t="shared" si="1"/>
        <v>100</v>
      </c>
      <c r="V9" s="461" t="s">
        <v>1005</v>
      </c>
      <c r="W9" s="462">
        <f t="shared" si="2"/>
        <v>100</v>
      </c>
      <c r="X9" s="463"/>
      <c r="Y9" s="382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67"/>
      <c r="Q11" s="464" t="str">
        <f t="shared" si="6"/>
        <v>容积率</v>
      </c>
      <c r="R11" s="461" t="s">
        <v>1005</v>
      </c>
      <c r="S11" s="462" t="e">
        <f t="shared" si="0"/>
        <v>#N/A</v>
      </c>
      <c r="T11" s="461" t="s">
        <v>1005</v>
      </c>
      <c r="U11" s="462" t="e">
        <f t="shared" si="1"/>
        <v>#N/A</v>
      </c>
      <c r="V11" s="461" t="s">
        <v>1005</v>
      </c>
      <c r="W11" s="462" t="e">
        <f t="shared" si="2"/>
        <v>#N/A</v>
      </c>
      <c r="X11" s="463"/>
      <c r="Y11" s="382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67"/>
      <c r="Q14" s="464">
        <f t="shared" si="6"/>
        <v>111</v>
      </c>
      <c r="R14" s="461" t="s">
        <v>1005</v>
      </c>
      <c r="S14" s="462">
        <f t="shared" si="0"/>
        <v>100</v>
      </c>
      <c r="T14" s="461" t="s">
        <v>1005</v>
      </c>
      <c r="U14" s="462">
        <f t="shared" si="1"/>
        <v>100</v>
      </c>
      <c r="V14" s="461" t="s">
        <v>1005</v>
      </c>
      <c r="W14" s="462">
        <f t="shared" si="2"/>
        <v>100</v>
      </c>
      <c r="X14" s="463"/>
      <c r="Y14" s="3829"/>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4" t="s">
        <v>1017</v>
      </c>
      <c r="Q15" s="395" t="str">
        <f t="shared" si="6"/>
        <v>产业集聚程度</v>
      </c>
      <c r="R15" s="465" t="s">
        <v>1005</v>
      </c>
      <c r="S15" s="466">
        <f t="shared" si="0"/>
        <v>100</v>
      </c>
      <c r="T15" s="465" t="s">
        <v>1005</v>
      </c>
      <c r="U15" s="466">
        <f t="shared" si="1"/>
        <v>100</v>
      </c>
      <c r="V15" s="465" t="s">
        <v>1005</v>
      </c>
      <c r="W15" s="466">
        <f t="shared" si="2"/>
        <v>100</v>
      </c>
      <c r="X15" s="460"/>
      <c r="Y15" s="3874"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5"/>
      <c r="Q16" s="395"/>
      <c r="R16" s="465"/>
      <c r="S16" s="466"/>
      <c r="T16" s="465"/>
      <c r="U16" s="466"/>
      <c r="V16" s="465"/>
      <c r="W16" s="466"/>
      <c r="X16" s="460"/>
      <c r="Y16" s="3875"/>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5"/>
      <c r="Q17" s="395" t="str">
        <f>B17</f>
        <v>交通便捷度</v>
      </c>
      <c r="R17" s="465" t="s">
        <v>1005</v>
      </c>
      <c r="S17" s="466">
        <f>F17</f>
        <v>100</v>
      </c>
      <c r="T17" s="465" t="s">
        <v>1005</v>
      </c>
      <c r="U17" s="466">
        <f>H17</f>
        <v>100</v>
      </c>
      <c r="V17" s="465" t="s">
        <v>1005</v>
      </c>
      <c r="W17" s="466">
        <f>J17</f>
        <v>100</v>
      </c>
      <c r="X17" s="460"/>
      <c r="Y17" s="3875"/>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5"/>
      <c r="Q18" s="395"/>
      <c r="R18" s="465"/>
      <c r="S18" s="466"/>
      <c r="T18" s="465"/>
      <c r="U18" s="466"/>
      <c r="V18" s="465"/>
      <c r="W18" s="466"/>
      <c r="X18" s="460"/>
      <c r="Y18" s="3875"/>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5"/>
      <c r="Q19" s="395" t="str">
        <f>B19</f>
        <v>公共配套设施</v>
      </c>
      <c r="R19" s="465" t="s">
        <v>1005</v>
      </c>
      <c r="S19" s="466">
        <f>F19</f>
        <v>100</v>
      </c>
      <c r="T19" s="465" t="s">
        <v>1005</v>
      </c>
      <c r="U19" s="466">
        <f>H19</f>
        <v>100</v>
      </c>
      <c r="V19" s="465" t="s">
        <v>1005</v>
      </c>
      <c r="W19" s="466">
        <f>J19</f>
        <v>100</v>
      </c>
      <c r="X19" s="460"/>
      <c r="Y19" s="3875"/>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5"/>
      <c r="Q20" s="395"/>
      <c r="R20" s="465"/>
      <c r="S20" s="466"/>
      <c r="T20" s="465"/>
      <c r="U20" s="466"/>
      <c r="V20" s="465"/>
      <c r="W20" s="466"/>
      <c r="X20" s="460"/>
      <c r="Y20" s="3875"/>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5"/>
      <c r="Q21" s="395" t="str">
        <f>B21</f>
        <v>基础设施水平</v>
      </c>
      <c r="R21" s="465" t="s">
        <v>1005</v>
      </c>
      <c r="S21" s="466">
        <f>F21</f>
        <v>100</v>
      </c>
      <c r="T21" s="465" t="s">
        <v>1005</v>
      </c>
      <c r="U21" s="466">
        <f>H21</f>
        <v>100</v>
      </c>
      <c r="V21" s="465" t="s">
        <v>1005</v>
      </c>
      <c r="W21" s="466">
        <f>J21</f>
        <v>100</v>
      </c>
      <c r="X21" s="460"/>
      <c r="Y21" s="3875"/>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5"/>
      <c r="Q22" s="395"/>
      <c r="R22" s="465"/>
      <c r="S22" s="466"/>
      <c r="T22" s="465"/>
      <c r="U22" s="466"/>
      <c r="V22" s="465"/>
      <c r="W22" s="466"/>
      <c r="X22" s="460"/>
      <c r="Y22" s="3875"/>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5"/>
      <c r="Q23" s="395" t="str">
        <f>B23</f>
        <v>环境质量</v>
      </c>
      <c r="R23" s="465" t="s">
        <v>1005</v>
      </c>
      <c r="S23" s="466">
        <f>F23</f>
        <v>100</v>
      </c>
      <c r="T23" s="465" t="s">
        <v>1005</v>
      </c>
      <c r="U23" s="466">
        <f>H23</f>
        <v>100</v>
      </c>
      <c r="V23" s="465" t="s">
        <v>1005</v>
      </c>
      <c r="W23" s="466">
        <f>J23</f>
        <v>100</v>
      </c>
      <c r="X23" s="460"/>
      <c r="Y23" s="3875"/>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5"/>
      <c r="Q24" s="395"/>
      <c r="R24" s="465"/>
      <c r="S24" s="466"/>
      <c r="T24" s="465"/>
      <c r="U24" s="466"/>
      <c r="V24" s="465"/>
      <c r="W24" s="466"/>
      <c r="X24" s="460"/>
      <c r="Y24" s="3875"/>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5"/>
      <c r="Q25" s="395">
        <f>B25</f>
        <v>111</v>
      </c>
      <c r="R25" s="465" t="s">
        <v>1005</v>
      </c>
      <c r="S25" s="466">
        <f>F25</f>
        <v>100</v>
      </c>
      <c r="T25" s="465" t="s">
        <v>1005</v>
      </c>
      <c r="U25" s="466">
        <f>H25</f>
        <v>100</v>
      </c>
      <c r="V25" s="465" t="s">
        <v>1005</v>
      </c>
      <c r="W25" s="466">
        <f>J25</f>
        <v>100</v>
      </c>
      <c r="X25" s="460"/>
      <c r="Y25" s="3875"/>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5"/>
      <c r="Q26" s="395">
        <f t="shared" ref="Q26:Q40" si="8">B26</f>
        <v>111</v>
      </c>
      <c r="R26" s="465" t="s">
        <v>1005</v>
      </c>
      <c r="S26" s="466">
        <f>F26</f>
        <v>100</v>
      </c>
      <c r="T26" s="465" t="s">
        <v>1005</v>
      </c>
      <c r="U26" s="466">
        <f>H26</f>
        <v>100</v>
      </c>
      <c r="V26" s="465" t="s">
        <v>1005</v>
      </c>
      <c r="W26" s="466">
        <f>J26</f>
        <v>100</v>
      </c>
      <c r="X26" s="460"/>
      <c r="Y26" s="3875"/>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5"/>
      <c r="Q27" s="464">
        <f t="shared" si="8"/>
        <v>111</v>
      </c>
      <c r="R27" s="461" t="s">
        <v>1005</v>
      </c>
      <c r="S27" s="462">
        <f>F27</f>
        <v>100</v>
      </c>
      <c r="T27" s="461" t="s">
        <v>1005</v>
      </c>
      <c r="U27" s="462">
        <f>H27</f>
        <v>100</v>
      </c>
      <c r="V27" s="461" t="s">
        <v>1005</v>
      </c>
      <c r="W27" s="462">
        <f>J27</f>
        <v>100</v>
      </c>
      <c r="X27" s="463"/>
      <c r="Y27" s="3875"/>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5"/>
      <c r="Q28" s="395">
        <f t="shared" si="8"/>
        <v>111</v>
      </c>
      <c r="R28" s="465" t="s">
        <v>1005</v>
      </c>
      <c r="S28" s="466">
        <f t="shared" ref="S28:S40" si="9">F28</f>
        <v>100</v>
      </c>
      <c r="T28" s="465" t="s">
        <v>1005</v>
      </c>
      <c r="U28" s="466">
        <f t="shared" ref="U28:U40" si="10">H28</f>
        <v>100</v>
      </c>
      <c r="V28" s="465" t="s">
        <v>1005</v>
      </c>
      <c r="W28" s="466">
        <f t="shared" ref="W28:W40" si="11">J28</f>
        <v>100</v>
      </c>
      <c r="X28" s="460"/>
      <c r="Y28" s="3875"/>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6" t="s">
        <v>1028</v>
      </c>
      <c r="Q29" s="395" t="str">
        <f t="shared" si="8"/>
        <v>建筑类型</v>
      </c>
      <c r="R29" s="465" t="s">
        <v>1005</v>
      </c>
      <c r="S29" s="466">
        <f t="shared" si="9"/>
        <v>100</v>
      </c>
      <c r="T29" s="465" t="s">
        <v>1005</v>
      </c>
      <c r="U29" s="466">
        <f t="shared" si="10"/>
        <v>100</v>
      </c>
      <c r="V29" s="465" t="s">
        <v>1005</v>
      </c>
      <c r="W29" s="466">
        <f t="shared" si="11"/>
        <v>100</v>
      </c>
      <c r="X29" s="460"/>
      <c r="Y29" s="3877"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7"/>
      <c r="Q30" s="467" t="str">
        <f t="shared" si="8"/>
        <v>项目建筑规模</v>
      </c>
      <c r="R30" s="468" t="s">
        <v>1005</v>
      </c>
      <c r="S30" s="469" t="e">
        <f t="shared" si="9"/>
        <v>#N/A</v>
      </c>
      <c r="T30" s="468" t="s">
        <v>1005</v>
      </c>
      <c r="U30" s="469" t="e">
        <f t="shared" si="10"/>
        <v>#N/A</v>
      </c>
      <c r="V30" s="468" t="s">
        <v>1005</v>
      </c>
      <c r="W30" s="469" t="e">
        <f t="shared" si="11"/>
        <v>#N/A</v>
      </c>
      <c r="X30" s="470"/>
      <c r="Y30" s="3877"/>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7"/>
      <c r="Q31" s="395" t="str">
        <f t="shared" si="8"/>
        <v>建筑结构</v>
      </c>
      <c r="R31" s="465" t="s">
        <v>1005</v>
      </c>
      <c r="S31" s="466">
        <f t="shared" si="9"/>
        <v>100</v>
      </c>
      <c r="T31" s="465" t="s">
        <v>1005</v>
      </c>
      <c r="U31" s="466">
        <f t="shared" si="10"/>
        <v>100</v>
      </c>
      <c r="V31" s="465" t="s">
        <v>1005</v>
      </c>
      <c r="W31" s="466">
        <f t="shared" si="11"/>
        <v>100</v>
      </c>
      <c r="X31" s="460"/>
      <c r="Y31" s="3877"/>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7"/>
      <c r="Q32" s="395" t="str">
        <f t="shared" si="8"/>
        <v>公共部分装修</v>
      </c>
      <c r="R32" s="465" t="s">
        <v>1005</v>
      </c>
      <c r="S32" s="466">
        <f t="shared" si="9"/>
        <v>100</v>
      </c>
      <c r="T32" s="465" t="s">
        <v>1005</v>
      </c>
      <c r="U32" s="466">
        <f t="shared" si="10"/>
        <v>100</v>
      </c>
      <c r="V32" s="465" t="s">
        <v>1005</v>
      </c>
      <c r="W32" s="466">
        <f t="shared" si="11"/>
        <v>100</v>
      </c>
      <c r="X32" s="460"/>
      <c r="Y32" s="3877"/>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7"/>
      <c r="Q33" s="395" t="str">
        <f t="shared" si="8"/>
        <v>成新度</v>
      </c>
      <c r="R33" s="465" t="s">
        <v>1005</v>
      </c>
      <c r="S33" s="466" t="e">
        <f t="shared" si="9"/>
        <v>#N/A</v>
      </c>
      <c r="T33" s="465" t="s">
        <v>1005</v>
      </c>
      <c r="U33" s="466" t="e">
        <f t="shared" si="10"/>
        <v>#N/A</v>
      </c>
      <c r="V33" s="465" t="s">
        <v>1005</v>
      </c>
      <c r="W33" s="466" t="e">
        <f t="shared" si="11"/>
        <v>#N/A</v>
      </c>
      <c r="X33" s="460"/>
      <c r="Y33" s="3877"/>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7"/>
      <c r="Q34" s="464" t="str">
        <f t="shared" si="8"/>
        <v>物业管理</v>
      </c>
      <c r="R34" s="461" t="s">
        <v>1005</v>
      </c>
      <c r="S34" s="462">
        <f t="shared" si="9"/>
        <v>100</v>
      </c>
      <c r="T34" s="461" t="s">
        <v>1005</v>
      </c>
      <c r="U34" s="462">
        <f t="shared" si="10"/>
        <v>100</v>
      </c>
      <c r="V34" s="461" t="s">
        <v>1005</v>
      </c>
      <c r="W34" s="462">
        <f t="shared" si="11"/>
        <v>100</v>
      </c>
      <c r="X34" s="463"/>
      <c r="Y34" s="3877"/>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7" t="s">
        <v>1028</v>
      </c>
      <c r="Q35" s="395" t="str">
        <f t="shared" si="8"/>
        <v>市政基础设施</v>
      </c>
      <c r="R35" s="465" t="s">
        <v>1005</v>
      </c>
      <c r="S35" s="466">
        <f t="shared" si="9"/>
        <v>100</v>
      </c>
      <c r="T35" s="465" t="s">
        <v>1005</v>
      </c>
      <c r="U35" s="466">
        <f t="shared" si="10"/>
        <v>100</v>
      </c>
      <c r="V35" s="465" t="s">
        <v>1005</v>
      </c>
      <c r="W35" s="466">
        <f t="shared" si="11"/>
        <v>100</v>
      </c>
      <c r="X35" s="460"/>
      <c r="Y35" s="3877"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7"/>
      <c r="Q36" s="395" t="str">
        <f t="shared" si="8"/>
        <v>内部装修</v>
      </c>
      <c r="R36" s="465" t="s">
        <v>1005</v>
      </c>
      <c r="S36" s="466">
        <f t="shared" si="9"/>
        <v>100</v>
      </c>
      <c r="T36" s="465" t="s">
        <v>1005</v>
      </c>
      <c r="U36" s="466">
        <f t="shared" si="10"/>
        <v>100</v>
      </c>
      <c r="V36" s="465" t="s">
        <v>1005</v>
      </c>
      <c r="W36" s="466">
        <f t="shared" si="11"/>
        <v>100</v>
      </c>
      <c r="X36" s="460"/>
      <c r="Y36" s="3877"/>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7"/>
      <c r="Q37" s="395" t="str">
        <f t="shared" si="8"/>
        <v>内部装修状况</v>
      </c>
      <c r="R37" s="465" t="s">
        <v>1005</v>
      </c>
      <c r="S37" s="466">
        <f t="shared" si="9"/>
        <v>100</v>
      </c>
      <c r="T37" s="465" t="s">
        <v>1005</v>
      </c>
      <c r="U37" s="466">
        <f t="shared" si="10"/>
        <v>100</v>
      </c>
      <c r="V37" s="465" t="s">
        <v>1005</v>
      </c>
      <c r="W37" s="466">
        <f t="shared" si="11"/>
        <v>100</v>
      </c>
      <c r="X37" s="460"/>
      <c r="Y37" s="3877"/>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7"/>
      <c r="Q38" s="467">
        <f t="shared" si="8"/>
        <v>111</v>
      </c>
      <c r="R38" s="468" t="s">
        <v>1005</v>
      </c>
      <c r="S38" s="469">
        <f t="shared" si="9"/>
        <v>100</v>
      </c>
      <c r="T38" s="468" t="s">
        <v>1005</v>
      </c>
      <c r="U38" s="469">
        <f t="shared" si="10"/>
        <v>100</v>
      </c>
      <c r="V38" s="468" t="s">
        <v>1005</v>
      </c>
      <c r="W38" s="469">
        <f t="shared" si="11"/>
        <v>100</v>
      </c>
      <c r="X38" s="470"/>
      <c r="Y38" s="3877"/>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7"/>
      <c r="Q39" s="395">
        <f t="shared" si="8"/>
        <v>111</v>
      </c>
      <c r="R39" s="465" t="s">
        <v>1005</v>
      </c>
      <c r="S39" s="466">
        <f t="shared" si="9"/>
        <v>100</v>
      </c>
      <c r="T39" s="465" t="s">
        <v>1005</v>
      </c>
      <c r="U39" s="466">
        <f t="shared" si="10"/>
        <v>100</v>
      </c>
      <c r="V39" s="465" t="s">
        <v>1005</v>
      </c>
      <c r="W39" s="466">
        <f t="shared" si="11"/>
        <v>100</v>
      </c>
      <c r="X39" s="460"/>
      <c r="Y39" s="3877"/>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73"/>
      <c r="Q40" s="395">
        <f t="shared" si="8"/>
        <v>111</v>
      </c>
      <c r="R40" s="465" t="s">
        <v>1005</v>
      </c>
      <c r="S40" s="466">
        <f t="shared" si="9"/>
        <v>100</v>
      </c>
      <c r="T40" s="465" t="s">
        <v>1005</v>
      </c>
      <c r="U40" s="466">
        <f t="shared" si="10"/>
        <v>100</v>
      </c>
      <c r="V40" s="465" t="s">
        <v>1005</v>
      </c>
      <c r="W40" s="466">
        <f t="shared" si="11"/>
        <v>100</v>
      </c>
      <c r="X40" s="460"/>
      <c r="Y40" s="3973"/>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67" t="str">
        <f>A41</f>
        <v>成交单价（元/平方米）</v>
      </c>
      <c r="Q41" s="3867"/>
      <c r="R41" s="3971">
        <f>E41</f>
        <v>0</v>
      </c>
      <c r="S41" s="3971"/>
      <c r="T41" s="3971">
        <f>G41</f>
        <v>0</v>
      </c>
      <c r="U41" s="3971"/>
      <c r="V41" s="3971">
        <f>I41</f>
        <v>0</v>
      </c>
      <c r="W41" s="3971"/>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67" t="str">
        <f>A42</f>
        <v>比较价格（元/平方米）</v>
      </c>
      <c r="Q42" s="3867"/>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69" t="str">
        <f>A43</f>
        <v>估价对象XX用房的比较价格（楼面单价，元/平方米）</v>
      </c>
      <c r="Q43" s="3870"/>
      <c r="R43" s="3972" t="e">
        <f>IF(F1="售价",ROUND(IF(D42="简单平均",AVERAGE(R42:V42),R42*F42+T42*H42+V42*J42),0),ROUND(IF(D42="简单平均",AVERAGE(R42:V42),R42*F42+T42*H42+V42*J42),1))</f>
        <v>#DIV/0!</v>
      </c>
      <c r="S43" s="3972"/>
      <c r="T43" s="3972"/>
      <c r="U43" s="3972"/>
      <c r="V43" s="3972"/>
      <c r="W43" s="397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2024-1</v>
      </c>
      <c r="D52" s="348">
        <f>EDATE(C52,-1)</f>
        <v>45261</v>
      </c>
      <c r="E52" s="348">
        <f t="shared" ref="E52:O52" si="13">EDATE(D52,-1)</f>
        <v>45231</v>
      </c>
      <c r="F52" s="348">
        <f t="shared" si="13"/>
        <v>45200</v>
      </c>
      <c r="G52" s="348">
        <f t="shared" si="13"/>
        <v>45170</v>
      </c>
      <c r="H52" s="348">
        <f t="shared" si="13"/>
        <v>45139</v>
      </c>
      <c r="I52" s="348">
        <f t="shared" si="13"/>
        <v>45108</v>
      </c>
      <c r="J52" s="348">
        <f t="shared" si="13"/>
        <v>45078</v>
      </c>
      <c r="K52" s="348">
        <f t="shared" si="13"/>
        <v>45047</v>
      </c>
      <c r="L52" s="348">
        <f t="shared" si="13"/>
        <v>45017</v>
      </c>
      <c r="M52" s="348">
        <f t="shared" si="13"/>
        <v>44986</v>
      </c>
      <c r="N52" s="348">
        <f t="shared" si="13"/>
        <v>44958</v>
      </c>
      <c r="O52" s="348">
        <f t="shared" si="13"/>
        <v>44927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3" t="s">
        <v>994</v>
      </c>
      <c r="D4" s="3884"/>
      <c r="E4" s="3894" t="s">
        <v>995</v>
      </c>
      <c r="F4" s="3895"/>
      <c r="G4" s="3883" t="s">
        <v>996</v>
      </c>
      <c r="H4" s="3884"/>
      <c r="I4" s="3883" t="s">
        <v>997</v>
      </c>
      <c r="J4" s="3884"/>
      <c r="K4" s="388" t="s">
        <v>998</v>
      </c>
      <c r="L4" s="389"/>
      <c r="M4" s="390"/>
      <c r="N4" s="390"/>
      <c r="O4" s="390"/>
      <c r="P4" s="3860" t="s">
        <v>999</v>
      </c>
      <c r="Q4" s="3861"/>
      <c r="R4" s="3851" t="s">
        <v>995</v>
      </c>
      <c r="S4" s="3852"/>
      <c r="T4" s="3851" t="s">
        <v>996</v>
      </c>
      <c r="U4" s="3852"/>
      <c r="V4" s="3866" t="s">
        <v>997</v>
      </c>
      <c r="W4" s="3866"/>
      <c r="X4" s="460"/>
      <c r="Y4" s="3851" t="s">
        <v>999</v>
      </c>
      <c r="Z4" s="3852"/>
      <c r="AA4" s="3857" t="s">
        <v>995</v>
      </c>
      <c r="AB4" s="3858" t="s">
        <v>996</v>
      </c>
      <c r="AC4" s="3857" t="s">
        <v>997</v>
      </c>
    </row>
    <row r="5" spans="1:29" ht="15">
      <c r="A5" s="225"/>
      <c r="B5" s="226"/>
      <c r="C5" s="3885" t="s">
        <v>1000</v>
      </c>
      <c r="D5" s="3886"/>
      <c r="E5" s="3896" t="s">
        <v>1086</v>
      </c>
      <c r="F5" s="3897"/>
      <c r="G5" s="3885" t="s">
        <v>1087</v>
      </c>
      <c r="H5" s="3886"/>
      <c r="I5" s="3885" t="s">
        <v>1088</v>
      </c>
      <c r="J5" s="3886"/>
      <c r="K5" s="388"/>
      <c r="L5" s="389"/>
      <c r="M5" s="390"/>
      <c r="N5" s="390"/>
      <c r="O5" s="390"/>
      <c r="P5" s="3862"/>
      <c r="Q5" s="3863"/>
      <c r="R5" s="3853"/>
      <c r="S5" s="3854"/>
      <c r="T5" s="3853"/>
      <c r="U5" s="3854"/>
      <c r="V5" s="3866"/>
      <c r="W5" s="3866"/>
      <c r="X5" s="460"/>
      <c r="Y5" s="3853"/>
      <c r="Z5" s="3854"/>
      <c r="AA5" s="3858"/>
      <c r="AB5" s="3858"/>
      <c r="AC5" s="3858"/>
    </row>
    <row r="6" spans="1:29" ht="15">
      <c r="A6" s="227"/>
      <c r="B6" s="228"/>
      <c r="C6" s="3880" t="s">
        <v>1001</v>
      </c>
      <c r="D6" s="3881"/>
      <c r="E6" s="3892" t="s">
        <v>1001</v>
      </c>
      <c r="F6" s="3893"/>
      <c r="G6" s="3880" t="s">
        <v>1001</v>
      </c>
      <c r="H6" s="3881"/>
      <c r="I6" s="3880" t="s">
        <v>1001</v>
      </c>
      <c r="J6" s="3881"/>
      <c r="K6" s="388" t="s">
        <v>1002</v>
      </c>
      <c r="L6" s="389"/>
      <c r="M6" s="390"/>
      <c r="N6" s="390"/>
      <c r="O6" s="390"/>
      <c r="P6" s="3864"/>
      <c r="Q6" s="3865"/>
      <c r="R6" s="3853"/>
      <c r="S6" s="3854"/>
      <c r="T6" s="3855"/>
      <c r="U6" s="3856"/>
      <c r="V6" s="3866"/>
      <c r="W6" s="3866"/>
      <c r="X6" s="460"/>
      <c r="Y6" s="3855"/>
      <c r="Z6" s="3856"/>
      <c r="AA6" s="3859"/>
      <c r="AB6" s="3859"/>
      <c r="AC6" s="3859"/>
    </row>
    <row r="7" spans="1:29" s="199" customFormat="1" ht="15">
      <c r="A7" s="229"/>
      <c r="B7" s="230" t="s">
        <v>1003</v>
      </c>
      <c r="C7" s="231">
        <f>'数据-取费表'!B2</f>
        <v>45316</v>
      </c>
      <c r="D7" s="232">
        <v>100</v>
      </c>
      <c r="E7" s="233"/>
      <c r="F7" s="234">
        <f>SUMIF(46:46,YEAR(E7)&amp;"-"&amp;MONTH(E7),47:47)</f>
        <v>0</v>
      </c>
      <c r="G7" s="235"/>
      <c r="H7" s="232">
        <f>SUMIF(46:46,YEAR(G7)&amp;"-"&amp;MONTH(G7),47:47)</f>
        <v>0</v>
      </c>
      <c r="I7" s="235"/>
      <c r="J7" s="232">
        <f>SUMIF(46:46,YEAR(I7)&amp;"-"&amp;MONTH(I7),47:47)</f>
        <v>0</v>
      </c>
      <c r="K7" s="391"/>
      <c r="L7" s="392"/>
      <c r="M7" s="393"/>
      <c r="N7" s="393"/>
      <c r="O7" s="393"/>
      <c r="P7" s="3872" t="s">
        <v>1004</v>
      </c>
      <c r="Q7" s="3882"/>
      <c r="R7" s="461" t="s">
        <v>1005</v>
      </c>
      <c r="S7" s="462">
        <f t="shared" ref="S7:S14" si="0">F7</f>
        <v>0</v>
      </c>
      <c r="T7" s="461" t="s">
        <v>1005</v>
      </c>
      <c r="U7" s="462">
        <f t="shared" ref="U7:U14" si="1">H7</f>
        <v>0</v>
      </c>
      <c r="V7" s="461" t="s">
        <v>1005</v>
      </c>
      <c r="W7" s="462">
        <f t="shared" ref="W7:W14" si="2">J7</f>
        <v>0</v>
      </c>
      <c r="X7" s="463"/>
      <c r="Y7" s="3872" t="s">
        <v>1004</v>
      </c>
      <c r="Z7" s="3873"/>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72" t="s">
        <v>1009</v>
      </c>
      <c r="Q8" s="3873"/>
      <c r="R8" s="461" t="s">
        <v>1005</v>
      </c>
      <c r="S8" s="462">
        <f t="shared" si="0"/>
        <v>0</v>
      </c>
      <c r="T8" s="461" t="s">
        <v>1005</v>
      </c>
      <c r="U8" s="462">
        <f t="shared" si="1"/>
        <v>0</v>
      </c>
      <c r="V8" s="461" t="s">
        <v>1005</v>
      </c>
      <c r="W8" s="462">
        <f t="shared" si="2"/>
        <v>0</v>
      </c>
      <c r="X8" s="463"/>
      <c r="Y8" s="3872" t="s">
        <v>1009</v>
      </c>
      <c r="Z8" s="3873"/>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67" t="s">
        <v>1011</v>
      </c>
      <c r="Q9" s="464" t="str">
        <f t="shared" ref="Q9:Q14" si="6">B9</f>
        <v>用途</v>
      </c>
      <c r="R9" s="461" t="s">
        <v>1005</v>
      </c>
      <c r="S9" s="462">
        <f t="shared" si="0"/>
        <v>100</v>
      </c>
      <c r="T9" s="461" t="s">
        <v>1005</v>
      </c>
      <c r="U9" s="462">
        <f t="shared" si="1"/>
        <v>100</v>
      </c>
      <c r="V9" s="461" t="s">
        <v>1005</v>
      </c>
      <c r="W9" s="462">
        <f t="shared" si="2"/>
        <v>100</v>
      </c>
      <c r="X9" s="463"/>
      <c r="Y9" s="382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67"/>
      <c r="Q10" s="464" t="str">
        <f t="shared" si="6"/>
        <v>土地使用年限（年）</v>
      </c>
      <c r="R10" s="461" t="s">
        <v>1005</v>
      </c>
      <c r="S10" s="462">
        <f t="shared" si="0"/>
        <v>100</v>
      </c>
      <c r="T10" s="461" t="s">
        <v>1005</v>
      </c>
      <c r="U10" s="462">
        <f t="shared" si="1"/>
        <v>100</v>
      </c>
      <c r="V10" s="461" t="s">
        <v>1005</v>
      </c>
      <c r="W10" s="462">
        <f t="shared" si="2"/>
        <v>100</v>
      </c>
      <c r="X10" s="463"/>
      <c r="Y10" s="382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67"/>
      <c r="Q11" s="464">
        <f t="shared" si="6"/>
        <v>111</v>
      </c>
      <c r="R11" s="461" t="s">
        <v>1005</v>
      </c>
      <c r="S11" s="462">
        <f t="shared" si="0"/>
        <v>100</v>
      </c>
      <c r="T11" s="461" t="s">
        <v>1005</v>
      </c>
      <c r="U11" s="462">
        <f t="shared" si="1"/>
        <v>100</v>
      </c>
      <c r="V11" s="461" t="s">
        <v>1005</v>
      </c>
      <c r="W11" s="462">
        <f t="shared" si="2"/>
        <v>100</v>
      </c>
      <c r="X11" s="463"/>
      <c r="Y11" s="382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67"/>
      <c r="Q12" s="464">
        <f t="shared" si="6"/>
        <v>111</v>
      </c>
      <c r="R12" s="461" t="s">
        <v>1005</v>
      </c>
      <c r="S12" s="462">
        <f t="shared" si="0"/>
        <v>100</v>
      </c>
      <c r="T12" s="461" t="s">
        <v>1005</v>
      </c>
      <c r="U12" s="462">
        <f t="shared" si="1"/>
        <v>100</v>
      </c>
      <c r="V12" s="461" t="s">
        <v>1005</v>
      </c>
      <c r="W12" s="462">
        <f t="shared" si="2"/>
        <v>100</v>
      </c>
      <c r="X12" s="463"/>
      <c r="Y12" s="382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67"/>
      <c r="Q13" s="464">
        <f t="shared" si="6"/>
        <v>111</v>
      </c>
      <c r="R13" s="461" t="s">
        <v>1005</v>
      </c>
      <c r="S13" s="462">
        <f t="shared" si="0"/>
        <v>100</v>
      </c>
      <c r="T13" s="461" t="s">
        <v>1005</v>
      </c>
      <c r="U13" s="462">
        <f t="shared" si="1"/>
        <v>100</v>
      </c>
      <c r="V13" s="461" t="s">
        <v>1005</v>
      </c>
      <c r="W13" s="462">
        <f t="shared" si="2"/>
        <v>100</v>
      </c>
      <c r="X13" s="463"/>
      <c r="Y13" s="3829"/>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4" t="s">
        <v>1017</v>
      </c>
      <c r="Q14" s="395" t="str">
        <f t="shared" si="6"/>
        <v>交通便捷度</v>
      </c>
      <c r="R14" s="465" t="s">
        <v>1005</v>
      </c>
      <c r="S14" s="466">
        <f t="shared" si="0"/>
        <v>100</v>
      </c>
      <c r="T14" s="465" t="s">
        <v>1005</v>
      </c>
      <c r="U14" s="466">
        <f t="shared" si="1"/>
        <v>100</v>
      </c>
      <c r="V14" s="465" t="s">
        <v>1005</v>
      </c>
      <c r="W14" s="466">
        <f t="shared" si="2"/>
        <v>100</v>
      </c>
      <c r="X14" s="460"/>
      <c r="Y14" s="3874"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5"/>
      <c r="Q15" s="395"/>
      <c r="R15" s="465"/>
      <c r="S15" s="466"/>
      <c r="T15" s="465"/>
      <c r="U15" s="466"/>
      <c r="V15" s="465"/>
      <c r="W15" s="466"/>
      <c r="X15" s="460"/>
      <c r="Y15" s="3875"/>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5"/>
      <c r="Q16" s="395" t="str">
        <f>B16</f>
        <v>公共配套设施</v>
      </c>
      <c r="R16" s="465" t="s">
        <v>1005</v>
      </c>
      <c r="S16" s="466">
        <f>F16</f>
        <v>100</v>
      </c>
      <c r="T16" s="465" t="s">
        <v>1005</v>
      </c>
      <c r="U16" s="466">
        <f>H16</f>
        <v>100</v>
      </c>
      <c r="V16" s="465" t="s">
        <v>1005</v>
      </c>
      <c r="W16" s="466">
        <f>J16</f>
        <v>100</v>
      </c>
      <c r="X16" s="460"/>
      <c r="Y16" s="3875"/>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5"/>
      <c r="Q17" s="395"/>
      <c r="R17" s="465"/>
      <c r="S17" s="466"/>
      <c r="T17" s="465"/>
      <c r="U17" s="466"/>
      <c r="V17" s="465"/>
      <c r="W17" s="466"/>
      <c r="X17" s="460"/>
      <c r="Y17" s="3875"/>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5"/>
      <c r="Q18" s="395" t="str">
        <f>B18</f>
        <v>基础设施水平</v>
      </c>
      <c r="R18" s="465" t="s">
        <v>1005</v>
      </c>
      <c r="S18" s="466">
        <f>F18</f>
        <v>100</v>
      </c>
      <c r="T18" s="465" t="s">
        <v>1005</v>
      </c>
      <c r="U18" s="466">
        <f>H18</f>
        <v>100</v>
      </c>
      <c r="V18" s="465" t="s">
        <v>1005</v>
      </c>
      <c r="W18" s="466">
        <f>J18</f>
        <v>100</v>
      </c>
      <c r="X18" s="460"/>
      <c r="Y18" s="3875"/>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5"/>
      <c r="Q19" s="395"/>
      <c r="R19" s="465"/>
      <c r="S19" s="466"/>
      <c r="T19" s="465"/>
      <c r="U19" s="466"/>
      <c r="V19" s="465"/>
      <c r="W19" s="466"/>
      <c r="X19" s="460"/>
      <c r="Y19" s="3875"/>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5"/>
      <c r="Q20" s="395" t="str">
        <f>B20</f>
        <v>自然及人文环境</v>
      </c>
      <c r="R20" s="465" t="s">
        <v>1005</v>
      </c>
      <c r="S20" s="466">
        <f>F20</f>
        <v>100</v>
      </c>
      <c r="T20" s="465" t="s">
        <v>1005</v>
      </c>
      <c r="U20" s="466">
        <f>H20</f>
        <v>100</v>
      </c>
      <c r="V20" s="465" t="s">
        <v>1005</v>
      </c>
      <c r="W20" s="466">
        <f>J20</f>
        <v>100</v>
      </c>
      <c r="X20" s="460"/>
      <c r="Y20" s="3875"/>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5"/>
      <c r="Q21" s="395"/>
      <c r="R21" s="465"/>
      <c r="S21" s="466"/>
      <c r="T21" s="465"/>
      <c r="U21" s="466"/>
      <c r="V21" s="465"/>
      <c r="W21" s="466"/>
      <c r="X21" s="460"/>
      <c r="Y21" s="3875"/>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5"/>
      <c r="Q22" s="395" t="str">
        <f>B22</f>
        <v>楼层</v>
      </c>
      <c r="R22" s="465" t="s">
        <v>1005</v>
      </c>
      <c r="S22" s="466">
        <f>F22</f>
        <v>100</v>
      </c>
      <c r="T22" s="465" t="s">
        <v>1005</v>
      </c>
      <c r="U22" s="466">
        <f>H22</f>
        <v>100</v>
      </c>
      <c r="V22" s="465" t="s">
        <v>1005</v>
      </c>
      <c r="W22" s="466">
        <f>J22</f>
        <v>100</v>
      </c>
      <c r="X22" s="460"/>
      <c r="Y22" s="3875"/>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5"/>
      <c r="Q23" s="395">
        <f>B23</f>
        <v>111</v>
      </c>
      <c r="R23" s="465" t="s">
        <v>1005</v>
      </c>
      <c r="S23" s="466">
        <f>F23</f>
        <v>100</v>
      </c>
      <c r="T23" s="465" t="s">
        <v>1005</v>
      </c>
      <c r="U23" s="466">
        <f>H23</f>
        <v>100</v>
      </c>
      <c r="V23" s="465" t="s">
        <v>1005</v>
      </c>
      <c r="W23" s="466">
        <f>J23</f>
        <v>100</v>
      </c>
      <c r="X23" s="460"/>
      <c r="Y23" s="3875"/>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5"/>
      <c r="Q24" s="395">
        <f t="shared" ref="Q24:Q34" si="8">B24</f>
        <v>111</v>
      </c>
      <c r="R24" s="465" t="s">
        <v>1005</v>
      </c>
      <c r="S24" s="466">
        <f>F24</f>
        <v>100</v>
      </c>
      <c r="T24" s="465" t="s">
        <v>1005</v>
      </c>
      <c r="U24" s="466">
        <f>H24</f>
        <v>100</v>
      </c>
      <c r="V24" s="465" t="s">
        <v>1005</v>
      </c>
      <c r="W24" s="466">
        <f>J24</f>
        <v>100</v>
      </c>
      <c r="X24" s="460"/>
      <c r="Y24" s="3875"/>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5"/>
      <c r="Q25" s="464">
        <f t="shared" si="8"/>
        <v>111</v>
      </c>
      <c r="R25" s="461" t="s">
        <v>1005</v>
      </c>
      <c r="S25" s="462">
        <f>F25</f>
        <v>100</v>
      </c>
      <c r="T25" s="461" t="s">
        <v>1005</v>
      </c>
      <c r="U25" s="462">
        <f>H25</f>
        <v>100</v>
      </c>
      <c r="V25" s="461" t="s">
        <v>1005</v>
      </c>
      <c r="W25" s="462">
        <f>J25</f>
        <v>100</v>
      </c>
      <c r="X25" s="463"/>
      <c r="Y25" s="3875"/>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6"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7"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7"/>
      <c r="Q27" s="467" t="str">
        <f t="shared" si="8"/>
        <v>成新率</v>
      </c>
      <c r="R27" s="468" t="s">
        <v>1005</v>
      </c>
      <c r="S27" s="469" t="e">
        <f t="shared" si="9"/>
        <v>#N/A</v>
      </c>
      <c r="T27" s="468" t="s">
        <v>1005</v>
      </c>
      <c r="U27" s="469" t="e">
        <f t="shared" si="10"/>
        <v>#N/A</v>
      </c>
      <c r="V27" s="468" t="s">
        <v>1005</v>
      </c>
      <c r="W27" s="469" t="e">
        <f t="shared" si="11"/>
        <v>#N/A</v>
      </c>
      <c r="X27" s="470"/>
      <c r="Y27" s="3877"/>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7"/>
      <c r="Q28" s="395" t="str">
        <f t="shared" si="8"/>
        <v>物业等级</v>
      </c>
      <c r="R28" s="465" t="s">
        <v>1005</v>
      </c>
      <c r="S28" s="466">
        <f t="shared" si="9"/>
        <v>100</v>
      </c>
      <c r="T28" s="465" t="s">
        <v>1005</v>
      </c>
      <c r="U28" s="466">
        <f t="shared" si="10"/>
        <v>100</v>
      </c>
      <c r="V28" s="465" t="s">
        <v>1005</v>
      </c>
      <c r="W28" s="466">
        <f t="shared" si="11"/>
        <v>100</v>
      </c>
      <c r="X28" s="460"/>
      <c r="Y28" s="3877"/>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7"/>
      <c r="Q29" s="395" t="str">
        <f t="shared" si="8"/>
        <v>有无电梯</v>
      </c>
      <c r="R29" s="465" t="s">
        <v>1005</v>
      </c>
      <c r="S29" s="466">
        <f t="shared" si="9"/>
        <v>100</v>
      </c>
      <c r="T29" s="465" t="s">
        <v>1005</v>
      </c>
      <c r="U29" s="466">
        <f t="shared" si="10"/>
        <v>100</v>
      </c>
      <c r="V29" s="465" t="s">
        <v>1005</v>
      </c>
      <c r="W29" s="466">
        <f t="shared" si="11"/>
        <v>100</v>
      </c>
      <c r="X29" s="460"/>
      <c r="Y29" s="3877"/>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7"/>
      <c r="Q30" s="395" t="str">
        <f t="shared" si="8"/>
        <v>建筑面积</v>
      </c>
      <c r="R30" s="465" t="s">
        <v>1005</v>
      </c>
      <c r="S30" s="466" t="e">
        <f t="shared" si="9"/>
        <v>#N/A</v>
      </c>
      <c r="T30" s="465" t="s">
        <v>1005</v>
      </c>
      <c r="U30" s="466" t="e">
        <f t="shared" si="10"/>
        <v>#N/A</v>
      </c>
      <c r="V30" s="465" t="s">
        <v>1005</v>
      </c>
      <c r="W30" s="466" t="e">
        <f t="shared" si="11"/>
        <v>#N/A</v>
      </c>
      <c r="X30" s="460"/>
      <c r="Y30" s="3877"/>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7"/>
      <c r="Q31" s="464" t="str">
        <f t="shared" si="8"/>
        <v>是否封闭</v>
      </c>
      <c r="R31" s="461" t="s">
        <v>1005</v>
      </c>
      <c r="S31" s="462">
        <f t="shared" si="9"/>
        <v>100</v>
      </c>
      <c r="T31" s="461" t="s">
        <v>1005</v>
      </c>
      <c r="U31" s="462">
        <f t="shared" si="10"/>
        <v>100</v>
      </c>
      <c r="V31" s="461" t="s">
        <v>1005</v>
      </c>
      <c r="W31" s="462">
        <f t="shared" si="11"/>
        <v>100</v>
      </c>
      <c r="X31" s="463"/>
      <c r="Y31" s="3877"/>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7" t="s">
        <v>1028</v>
      </c>
      <c r="Q32" s="395">
        <f t="shared" si="8"/>
        <v>111</v>
      </c>
      <c r="R32" s="465" t="s">
        <v>1005</v>
      </c>
      <c r="S32" s="466">
        <f t="shared" si="9"/>
        <v>100</v>
      </c>
      <c r="T32" s="465" t="s">
        <v>1005</v>
      </c>
      <c r="U32" s="466">
        <f t="shared" si="10"/>
        <v>100</v>
      </c>
      <c r="V32" s="465" t="s">
        <v>1005</v>
      </c>
      <c r="W32" s="466">
        <f t="shared" si="11"/>
        <v>100</v>
      </c>
      <c r="X32" s="460"/>
      <c r="Y32" s="3877"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7"/>
      <c r="Q33" s="395">
        <f t="shared" si="8"/>
        <v>111</v>
      </c>
      <c r="R33" s="465" t="s">
        <v>1005</v>
      </c>
      <c r="S33" s="466">
        <f t="shared" si="9"/>
        <v>100</v>
      </c>
      <c r="T33" s="465" t="s">
        <v>1005</v>
      </c>
      <c r="U33" s="466">
        <f t="shared" si="10"/>
        <v>100</v>
      </c>
      <c r="V33" s="465" t="s">
        <v>1005</v>
      </c>
      <c r="W33" s="466">
        <f t="shared" si="11"/>
        <v>100</v>
      </c>
      <c r="X33" s="460"/>
      <c r="Y33" s="3877"/>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7"/>
      <c r="Q34" s="395">
        <f t="shared" si="8"/>
        <v>111</v>
      </c>
      <c r="R34" s="465" t="s">
        <v>1005</v>
      </c>
      <c r="S34" s="466">
        <f t="shared" si="9"/>
        <v>100</v>
      </c>
      <c r="T34" s="465" t="s">
        <v>1005</v>
      </c>
      <c r="U34" s="466">
        <f t="shared" si="10"/>
        <v>100</v>
      </c>
      <c r="V34" s="465" t="s">
        <v>1005</v>
      </c>
      <c r="W34" s="466">
        <f t="shared" si="11"/>
        <v>100</v>
      </c>
      <c r="X34" s="460"/>
      <c r="Y34" s="3877"/>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67" t="str">
        <f>A35</f>
        <v>成交单价（元/平方米）</v>
      </c>
      <c r="Q35" s="3867"/>
      <c r="R35" s="3971">
        <f>E35</f>
        <v>0</v>
      </c>
      <c r="S35" s="3971"/>
      <c r="T35" s="3971">
        <f>G35</f>
        <v>0</v>
      </c>
      <c r="U35" s="3971"/>
      <c r="V35" s="3971">
        <f>I35</f>
        <v>0</v>
      </c>
      <c r="W35" s="3971"/>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67" t="str">
        <f>A36</f>
        <v>比较价格（元/平方米）</v>
      </c>
      <c r="Q36" s="3867"/>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69" t="str">
        <f>A37</f>
        <v>估价对象XX用房的比较价格（楼面单价，元/平方米）</v>
      </c>
      <c r="Q37" s="3870"/>
      <c r="R37" s="3972" t="e">
        <f>IF(F1="售价",ROUND(IF(D36="简单平均",AVERAGE(R36:W36),R36*F36+T36*H36+V36*J36),0),ROUND(IF(D36="简单平均",AVERAGE(R36:V36),R36*F36+T36*H36+V36*J36),1))</f>
        <v>#DIV/0!</v>
      </c>
      <c r="S37" s="3972"/>
      <c r="T37" s="3972"/>
      <c r="U37" s="3972"/>
      <c r="V37" s="3972"/>
      <c r="W37" s="3972"/>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2024-1</v>
      </c>
      <c r="D46" s="348">
        <f>EDATE(C46,-1)</f>
        <v>45261</v>
      </c>
      <c r="E46" s="348">
        <f t="shared" ref="E46:O46" si="13">EDATE(D46,-1)</f>
        <v>45231</v>
      </c>
      <c r="F46" s="348">
        <f t="shared" si="13"/>
        <v>45200</v>
      </c>
      <c r="G46" s="348">
        <f t="shared" si="13"/>
        <v>45170</v>
      </c>
      <c r="H46" s="348">
        <f t="shared" si="13"/>
        <v>45139</v>
      </c>
      <c r="I46" s="348">
        <f t="shared" si="13"/>
        <v>45108</v>
      </c>
      <c r="J46" s="348">
        <f t="shared" si="13"/>
        <v>45078</v>
      </c>
      <c r="K46" s="348">
        <f t="shared" si="13"/>
        <v>45047</v>
      </c>
      <c r="L46" s="348">
        <f t="shared" si="13"/>
        <v>45017</v>
      </c>
      <c r="M46" s="348">
        <f t="shared" si="13"/>
        <v>44986</v>
      </c>
      <c r="N46" s="348">
        <f t="shared" si="13"/>
        <v>44958</v>
      </c>
      <c r="O46" s="348">
        <f t="shared" si="13"/>
        <v>44927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82" t="s">
        <v>2571</v>
      </c>
      <c r="D1" s="3983"/>
      <c r="E1" s="3983"/>
      <c r="F1" s="3983"/>
      <c r="G1" s="3983"/>
      <c r="H1" s="3983"/>
      <c r="I1" s="3983"/>
      <c r="J1" s="3983"/>
      <c r="K1" s="3983"/>
      <c r="L1" s="3983"/>
      <c r="M1" s="3983"/>
      <c r="N1" s="3983"/>
      <c r="O1" s="3983"/>
      <c r="P1" s="3983"/>
      <c r="Q1" s="3983"/>
      <c r="R1" s="3983"/>
      <c r="S1" s="3984"/>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85" t="s">
        <v>138</v>
      </c>
      <c r="D22" s="3986"/>
      <c r="E22" s="3986"/>
      <c r="F22" s="3986"/>
      <c r="G22" s="3986"/>
      <c r="H22" s="3986"/>
      <c r="I22" s="3986"/>
      <c r="J22" s="3986"/>
      <c r="K22" s="3986"/>
      <c r="L22" s="3986"/>
      <c r="M22" s="3986"/>
      <c r="N22" s="3986"/>
      <c r="O22" s="3986"/>
      <c r="P22" s="3986"/>
      <c r="Q22" s="3987"/>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45316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9" t="s">
        <v>98</v>
      </c>
      <c r="B1" s="3679"/>
      <c r="C1" s="3679"/>
      <c r="D1" s="3679"/>
      <c r="E1" s="3679"/>
      <c r="F1" s="3679"/>
      <c r="G1" s="3679"/>
      <c r="H1" s="3679"/>
      <c r="I1" s="3679"/>
      <c r="J1" s="3679"/>
      <c r="K1" s="3679"/>
      <c r="L1" s="3679"/>
      <c r="M1" s="3679"/>
      <c r="N1" s="3679"/>
      <c r="O1" s="3679"/>
      <c r="P1" s="3679"/>
      <c r="Q1" s="3679"/>
      <c r="R1" s="3679"/>
    </row>
    <row r="2" spans="1:18">
      <c r="A2" s="3575" t="s">
        <v>99</v>
      </c>
      <c r="B2" s="3575"/>
      <c r="C2" s="3575"/>
      <c r="D2" s="3575"/>
      <c r="E2" s="3575"/>
      <c r="F2" s="3575"/>
      <c r="G2" s="3575"/>
      <c r="H2" s="3575"/>
      <c r="I2" s="3588"/>
      <c r="J2" s="3588"/>
      <c r="K2" s="3589" t="str">
        <f>"估价期日："&amp;TEXT(项目基本情况!D3,"yyyy年m月d日;;")</f>
        <v>估价期日：2024年1月25日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76" t="s">
        <v>100</v>
      </c>
      <c r="B3" s="3676" t="s">
        <v>101</v>
      </c>
      <c r="C3" s="3677" t="s">
        <v>102</v>
      </c>
      <c r="D3" s="3676" t="s">
        <v>103</v>
      </c>
      <c r="E3" s="3680" t="s">
        <v>104</v>
      </c>
      <c r="F3" s="3680"/>
      <c r="G3" s="3680"/>
      <c r="H3" s="3680" t="s">
        <v>105</v>
      </c>
      <c r="I3" s="3680"/>
      <c r="J3" s="3680"/>
      <c r="K3" s="3677" t="s">
        <v>106</v>
      </c>
      <c r="L3" s="3677" t="s">
        <v>107</v>
      </c>
      <c r="M3" s="3676" t="s">
        <v>108</v>
      </c>
      <c r="N3" s="3678" t="str">
        <f>"（分摊）"&amp;项目基本情况!A17&amp;"国有建设用地使用权面积/㎡"</f>
        <v>（分摊）出让国有建设用地使用权面积/㎡</v>
      </c>
      <c r="O3" s="3676" t="s">
        <v>109</v>
      </c>
      <c r="P3" s="3677" t="s">
        <v>110</v>
      </c>
      <c r="Q3" s="3677" t="s">
        <v>111</v>
      </c>
      <c r="R3" s="3677" t="s">
        <v>112</v>
      </c>
    </row>
    <row r="4" spans="1:18" ht="36.75" customHeight="1">
      <c r="A4" s="3676"/>
      <c r="B4" s="3676"/>
      <c r="C4" s="3677"/>
      <c r="D4" s="3676"/>
      <c r="E4" s="3577" t="s">
        <v>113</v>
      </c>
      <c r="F4" s="3577" t="s">
        <v>114</v>
      </c>
      <c r="G4" s="3577" t="s">
        <v>115</v>
      </c>
      <c r="H4" s="3577" t="s">
        <v>116</v>
      </c>
      <c r="I4" s="3577" t="s">
        <v>117</v>
      </c>
      <c r="J4" s="3577" t="s">
        <v>115</v>
      </c>
      <c r="K4" s="3677"/>
      <c r="L4" s="3677"/>
      <c r="M4" s="3676"/>
      <c r="N4" s="3678"/>
      <c r="O4" s="3676"/>
      <c r="P4" s="3677"/>
      <c r="Q4" s="3677"/>
      <c r="R4" s="3677"/>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55570.2</v>
      </c>
      <c r="O5" s="3581">
        <f>项目基本情况!C21</f>
        <v>173355.13</v>
      </c>
      <c r="P5" s="3581">
        <f ca="1">结果表!E42</f>
        <v>27461</v>
      </c>
      <c r="Q5" s="3581">
        <f ca="1">结果表!D42</f>
        <v>8803</v>
      </c>
      <c r="R5" s="3590">
        <f ca="1">结果表!C42</f>
        <v>152604</v>
      </c>
    </row>
    <row r="6" spans="1:18">
      <c r="A6" s="3673" t="str">
        <f>IF(项目基本情况!B9="市场价格","——","抵押价格")</f>
        <v>抵押价格</v>
      </c>
      <c r="B6" s="3674"/>
      <c r="C6" s="3674"/>
      <c r="D6" s="3674"/>
      <c r="E6" s="3674"/>
      <c r="F6" s="3674"/>
      <c r="G6" s="3674"/>
      <c r="H6" s="3674"/>
      <c r="I6" s="3674"/>
      <c r="J6" s="3674"/>
      <c r="K6" s="3674"/>
      <c r="L6" s="3674"/>
      <c r="M6" s="3674"/>
      <c r="N6" s="3674"/>
      <c r="O6" s="3674"/>
      <c r="P6" s="3674"/>
      <c r="Q6" s="3675"/>
      <c r="R6" s="3591">
        <f ca="1">结果表!O39</f>
        <v>150383</v>
      </c>
    </row>
    <row r="7" spans="1:18">
      <c r="A7" s="3673" t="str">
        <f>IF(项目基本情况!B9="市场价格","——",IF(项目基本情况!E8="已注销及未注销","抵押担保权已注销时的抵押价格","——"))</f>
        <v>——</v>
      </c>
      <c r="B7" s="3674"/>
      <c r="C7" s="3674"/>
      <c r="D7" s="3674"/>
      <c r="E7" s="3674"/>
      <c r="F7" s="3674"/>
      <c r="G7" s="3674"/>
      <c r="H7" s="3674"/>
      <c r="I7" s="3674"/>
      <c r="J7" s="3674"/>
      <c r="K7" s="3674"/>
      <c r="L7" s="3674"/>
      <c r="M7" s="3674"/>
      <c r="N7" s="3674"/>
      <c r="O7" s="3674"/>
      <c r="P7" s="3674"/>
      <c r="Q7" s="3675"/>
      <c r="R7" s="3591" t="str">
        <f>结果表!O40</f>
        <v>——</v>
      </c>
    </row>
    <row r="8" spans="1:18">
      <c r="A8" s="3673">
        <f>IF(项目基本情况!B9="市场价格","——",项目基本情况!E9)</f>
        <v>0</v>
      </c>
      <c r="B8" s="3674"/>
      <c r="C8" s="3674"/>
      <c r="D8" s="3674"/>
      <c r="E8" s="3674"/>
      <c r="F8" s="3674"/>
      <c r="G8" s="3674"/>
      <c r="H8" s="3674"/>
      <c r="I8" s="3674"/>
      <c r="J8" s="3674"/>
      <c r="K8" s="3674"/>
      <c r="L8" s="3674"/>
      <c r="M8" s="3674"/>
      <c r="N8" s="3674"/>
      <c r="O8" s="3674"/>
      <c r="P8" s="3674"/>
      <c r="Q8" s="3675"/>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81" t="s">
        <v>122</v>
      </c>
      <c r="B1" s="3681"/>
      <c r="C1" s="3681"/>
      <c r="D1" s="3681"/>
    </row>
    <row r="2" spans="1:4" ht="47.25" customHeight="1">
      <c r="A2" s="3685" t="str">
        <f>"1.权利限制："&amp;项目基本情况!L24&amp;"未设定租赁等其他他项权利。"</f>
        <v>1.权利限制：根据估价对象《不动产权证书》原件、《国有土地使用权》复印件，截至估价期日，估价对象抵押权未见登记。未设定租赁等其他他项权利。</v>
      </c>
      <c r="B2" s="3685"/>
      <c r="C2" s="3685"/>
      <c r="D2" s="3685"/>
    </row>
    <row r="3" spans="1:4" ht="48" customHeight="1">
      <c r="A3" s="36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1"/>
      <c r="C3" s="3681"/>
      <c r="D3" s="3681"/>
    </row>
    <row r="4" spans="1:4" ht="36.75" customHeight="1">
      <c r="A4" s="3681" t="str">
        <f>"3.估价规划限制条件：详见"&amp;项目基本情况!E21&amp;"。"</f>
        <v>3.估价规划限制条件：详见《建设工程规划许可证》[]、《出让合同》[]。</v>
      </c>
      <c r="B4" s="3681"/>
      <c r="C4" s="3681"/>
      <c r="D4" s="3681"/>
    </row>
    <row r="5" spans="1:4">
      <c r="A5" s="3683" t="s">
        <v>123</v>
      </c>
      <c r="B5" s="3683"/>
      <c r="C5" s="3683"/>
      <c r="D5" s="3683"/>
    </row>
    <row r="6" spans="1:4">
      <c r="A6" s="3681" t="s">
        <v>124</v>
      </c>
      <c r="B6" s="3681"/>
      <c r="C6" s="3681"/>
      <c r="D6" s="3681"/>
    </row>
    <row r="7" spans="1:4" ht="33" customHeight="1">
      <c r="A7" s="3681" t="s">
        <v>125</v>
      </c>
      <c r="B7" s="3681"/>
      <c r="C7" s="3681"/>
      <c r="D7" s="3681"/>
    </row>
    <row r="8" spans="1:4" ht="32.25" customHeight="1">
      <c r="A8" s="36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1"/>
      <c r="C8" s="3681"/>
      <c r="D8" s="3681"/>
    </row>
    <row r="9" spans="1:4" ht="33.75" customHeight="1">
      <c r="A9" s="36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1"/>
      <c r="C9" s="3681"/>
      <c r="D9" s="3681"/>
    </row>
    <row r="10" spans="1:4">
      <c r="A10" s="3681" t="str">
        <f>IF(项目基本情况!B8="抵押","4.估价师所知悉的法定优先受偿款情况为：","——")</f>
        <v>4.估价师所知悉的法定优先受偿款情况为：</v>
      </c>
      <c r="B10" s="3681"/>
      <c r="C10" s="3681"/>
      <c r="D10" s="3681"/>
    </row>
    <row r="11" spans="1:4" ht="37.5" customHeight="1">
      <c r="A11" s="36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2"/>
      <c r="C11" s="3682"/>
      <c r="D11" s="3682"/>
    </row>
    <row r="12" spans="1:4" ht="168" customHeight="1">
      <c r="A12" s="3683" t="s">
        <v>126</v>
      </c>
      <c r="B12" s="3683"/>
      <c r="C12" s="3683"/>
      <c r="D12" s="3683"/>
    </row>
    <row r="13" spans="1:4">
      <c r="A13" s="3684" t="s">
        <v>127</v>
      </c>
      <c r="B13" s="3684"/>
      <c r="C13" s="3684"/>
      <c r="D13" s="3684"/>
    </row>
    <row r="14" spans="1:4">
      <c r="A14" s="3682" t="str">
        <f>IF(项目基本情况!B8="抵押","综上，"&amp;结果表!K47,"——")</f>
        <v>综上，本次评估估价师知悉的法定优先受偿款为人民币2221万元整。</v>
      </c>
      <c r="B14" s="3682"/>
      <c r="C14" s="3682"/>
      <c r="D14" s="3682"/>
    </row>
    <row r="15" spans="1:4" ht="58.5" customHeight="1">
      <c r="A15" s="36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1"/>
      <c r="C15" s="3681"/>
      <c r="D15" s="3681"/>
    </row>
    <row r="16" spans="1:4" ht="70.5" customHeight="1">
      <c r="A16" s="36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1"/>
      <c r="C16" s="3681"/>
      <c r="D16" s="3681"/>
    </row>
    <row r="17" spans="1:4">
      <c r="A17" s="3681" t="s">
        <v>128</v>
      </c>
      <c r="B17" s="3681"/>
      <c r="C17" s="3681"/>
      <c r="D17" s="3681"/>
    </row>
    <row r="18" spans="1:4">
      <c r="A18" s="3681" t="s">
        <v>129</v>
      </c>
      <c r="B18" s="3681"/>
      <c r="C18" s="3681"/>
      <c r="D18" s="3681"/>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81" t="s">
        <v>135</v>
      </c>
      <c r="B23" s="3681"/>
      <c r="C23" s="3681"/>
      <c r="D23" s="3681"/>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86" t="s">
        <v>151</v>
      </c>
      <c r="B15" s="3694" t="s">
        <v>152</v>
      </c>
      <c r="C15" s="3695"/>
    </row>
    <row r="16" spans="1:7" ht="14.25">
      <c r="A16" s="3686"/>
      <c r="B16" s="3688" t="s">
        <v>153</v>
      </c>
      <c r="C16" s="3557" t="s">
        <v>151</v>
      </c>
    </row>
    <row r="17" spans="1:3" ht="14.25">
      <c r="A17" s="3686"/>
      <c r="B17" s="3688"/>
      <c r="C17" s="3557" t="s">
        <v>154</v>
      </c>
    </row>
    <row r="18" spans="1:3" ht="14.25">
      <c r="A18" s="3686"/>
      <c r="B18" s="3688"/>
      <c r="C18" s="3557" t="s">
        <v>155</v>
      </c>
    </row>
    <row r="19" spans="1:3" ht="14.25">
      <c r="A19" s="3686"/>
      <c r="B19" s="3696" t="s">
        <v>156</v>
      </c>
      <c r="C19" s="3695"/>
    </row>
    <row r="20" spans="1:3" ht="14.25">
      <c r="A20" s="3558" t="s">
        <v>157</v>
      </c>
      <c r="B20" s="3559"/>
      <c r="C20" s="3560"/>
    </row>
    <row r="21" spans="1:3" ht="14.25">
      <c r="A21" s="3687" t="s">
        <v>158</v>
      </c>
      <c r="B21" s="3696" t="s">
        <v>159</v>
      </c>
      <c r="C21" s="3695"/>
    </row>
    <row r="22" spans="1:3" ht="14.25">
      <c r="A22" s="3687"/>
      <c r="B22" s="3696" t="s">
        <v>160</v>
      </c>
      <c r="C22" s="3695"/>
    </row>
    <row r="23" spans="1:3" ht="14.25">
      <c r="A23" s="3687"/>
      <c r="B23" s="3696" t="s">
        <v>161</v>
      </c>
      <c r="C23" s="3695"/>
    </row>
    <row r="24" spans="1:3" ht="14.25">
      <c r="A24" s="3687"/>
      <c r="B24" s="3689" t="s">
        <v>162</v>
      </c>
      <c r="C24" s="3561" t="s">
        <v>163</v>
      </c>
    </row>
    <row r="25" spans="1:3" ht="14.25">
      <c r="A25" s="3687"/>
      <c r="B25" s="3690"/>
      <c r="C25" s="3561" t="s">
        <v>164</v>
      </c>
    </row>
    <row r="26" spans="1:3" ht="14.25">
      <c r="A26" s="3687"/>
      <c r="B26" s="3690"/>
      <c r="C26" s="3561" t="s">
        <v>165</v>
      </c>
    </row>
    <row r="27" spans="1:3" ht="14.25">
      <c r="A27" s="3687"/>
      <c r="B27" s="3690"/>
      <c r="C27" s="3561" t="s">
        <v>166</v>
      </c>
    </row>
    <row r="28" spans="1:3" ht="14.25">
      <c r="A28" s="3687"/>
      <c r="B28" s="3690"/>
      <c r="C28" s="3561" t="s">
        <v>167</v>
      </c>
    </row>
    <row r="29" spans="1:3" ht="14.25">
      <c r="A29" s="3687"/>
      <c r="B29" s="3690"/>
      <c r="C29" s="3561" t="s">
        <v>168</v>
      </c>
    </row>
    <row r="30" spans="1:3" ht="14.25">
      <c r="A30" s="3687"/>
      <c r="B30" s="3690"/>
      <c r="C30" s="3561" t="s">
        <v>169</v>
      </c>
    </row>
    <row r="31" spans="1:3" ht="14.25">
      <c r="A31" s="3687"/>
      <c r="B31" s="3690"/>
      <c r="C31" s="3561" t="s">
        <v>170</v>
      </c>
    </row>
    <row r="32" spans="1:3" ht="14.25">
      <c r="A32" s="3687"/>
      <c r="B32" s="3690"/>
      <c r="C32" s="3561" t="s">
        <v>171</v>
      </c>
    </row>
    <row r="33" spans="1:3" ht="14.25">
      <c r="A33" s="3687"/>
      <c r="B33" s="3691" t="s">
        <v>172</v>
      </c>
      <c r="C33" s="3561" t="s">
        <v>173</v>
      </c>
    </row>
    <row r="34" spans="1:3" ht="14.25">
      <c r="A34" s="3687"/>
      <c r="B34" s="3692"/>
      <c r="C34" s="3562" t="s">
        <v>174</v>
      </c>
    </row>
    <row r="35" spans="1:3" ht="14.25">
      <c r="A35" s="3687"/>
      <c r="B35" s="3692"/>
      <c r="C35" s="3563" t="s">
        <v>175</v>
      </c>
    </row>
    <row r="36" spans="1:3" ht="14.25">
      <c r="A36" s="3687"/>
      <c r="B36" s="3692"/>
      <c r="C36" s="3563" t="s">
        <v>176</v>
      </c>
    </row>
    <row r="37" spans="1:3" ht="14.25">
      <c r="A37" s="3687"/>
      <c r="B37" s="3693"/>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45317</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697" t="s">
        <v>204</v>
      </c>
      <c r="B18" s="3698"/>
      <c r="C18" s="3698"/>
      <c r="D18" s="3698"/>
      <c r="E18" s="3698"/>
      <c r="F18" s="3698"/>
      <c r="G18" s="3533"/>
    </row>
    <row r="19" spans="1:7" ht="20.25" customHeight="1">
      <c r="A19" s="3699" t="s">
        <v>205</v>
      </c>
      <c r="B19" s="3699"/>
      <c r="C19" s="3700"/>
      <c r="D19" s="3701" t="s">
        <v>206</v>
      </c>
      <c r="E19" s="3699"/>
      <c r="F19" s="3699"/>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02"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c r="D53" s="3510"/>
      <c r="E53" s="3510"/>
    </row>
    <row r="54" spans="1:5">
      <c r="A54" s="3702"/>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02"/>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02"/>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02"/>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面积表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2024-01-26T02:26:29Z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