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75" firstSheet="11"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不动产收益法" sheetId="15" r:id="rId41"/>
    <sheet name="基准地价" sheetId="4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39" i="9" l="1"/>
  <c r="D38" i="9"/>
  <c r="C39" i="9"/>
  <c r="B39" i="9"/>
  <c r="B37" i="9"/>
  <c r="E59" i="39"/>
  <c r="L9" i="1"/>
  <c r="G22" i="6"/>
  <c r="AF13" i="3"/>
  <c r="O13" i="3"/>
  <c r="C11" i="4" l="1"/>
  <c r="D119" i="39"/>
  <c r="E119" i="39" s="1"/>
  <c r="E38" i="9"/>
  <c r="E37" i="9"/>
  <c r="C38" i="9"/>
  <c r="C37" i="9"/>
  <c r="B38" i="9"/>
  <c r="C31" i="35"/>
  <c r="D92" i="35"/>
  <c r="E92" i="35" s="1"/>
  <c r="G7" i="35"/>
  <c r="E7" i="35"/>
  <c r="N8" i="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J8" i="1"/>
  <c r="I8" i="1"/>
  <c r="H8" i="1"/>
  <c r="E9" i="6"/>
  <c r="AT13" i="3"/>
  <c r="AN13" i="3"/>
  <c r="AJ13" i="3"/>
  <c r="AL13" i="3"/>
  <c r="AH13" i="3"/>
  <c r="AD13" i="3"/>
  <c r="M13" i="3"/>
  <c r="G21" i="6" s="1"/>
  <c r="K13" i="3"/>
  <c r="I13" i="3"/>
  <c r="L32" i="74"/>
  <c r="L25" i="74"/>
  <c r="L21" i="74" s="1"/>
  <c r="L17" i="74" s="1"/>
  <c r="L7" i="74"/>
  <c r="L5" i="74"/>
  <c r="A3" i="3" s="1"/>
  <c r="L33" i="74"/>
  <c r="B68" i="74" l="1"/>
  <c r="B67" i="74"/>
  <c r="B59" i="74"/>
  <c r="B63" i="74"/>
  <c r="B65" i="74"/>
  <c r="B64" i="74"/>
  <c r="B62" i="74"/>
  <c r="B61" i="74"/>
  <c r="L6" i="74"/>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G126" i="39" l="1"/>
  <c r="F126" i="39"/>
  <c r="E126" i="39"/>
  <c r="D126" i="39"/>
  <c r="C126" i="39"/>
  <c r="G124" i="39"/>
  <c r="F124" i="39"/>
  <c r="E124" i="39"/>
  <c r="D124" i="39"/>
  <c r="C124" i="39"/>
  <c r="N8" i="12"/>
  <c r="N9" i="12" s="1"/>
  <c r="B58" i="1"/>
  <c r="B57" i="1"/>
  <c r="B35" i="1"/>
  <c r="N7" i="1"/>
  <c r="N14" i="1" s="1"/>
  <c r="J7" i="1" l="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O40" i="59"/>
  <c r="Y40" i="59" s="1"/>
  <c r="Z40" i="59" s="1"/>
  <c r="N40" i="59"/>
  <c r="X40" i="59"/>
  <c r="Q39" i="59"/>
  <c r="P39" i="59"/>
  <c r="O39" i="59"/>
  <c r="N39" i="59"/>
  <c r="X39" i="59" s="1"/>
  <c r="Q38" i="59"/>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A40" i="59"/>
  <c r="D47" i="59"/>
  <c r="D51" i="59"/>
  <c r="D59" i="59"/>
  <c r="T69" i="59"/>
  <c r="O69" i="59"/>
  <c r="D69" i="59"/>
  <c r="C68" i="59"/>
  <c r="D68" i="59" s="1"/>
  <c r="C72" i="59"/>
  <c r="C71" i="59" s="1"/>
  <c r="D71" i="59" s="1"/>
  <c r="D73" i="59"/>
  <c r="C76" i="59"/>
  <c r="D76" i="59" s="1"/>
  <c r="C80" i="59"/>
  <c r="D80" i="59" s="1"/>
  <c r="D81" i="59"/>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c r="R125" i="31"/>
  <c r="S125" i="31" s="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L490" i="3" s="1"/>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L504" i="3" s="1"/>
  <c r="AZ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A565" i="3" s="1"/>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B105" i="39"/>
  <c r="J33" i="39" s="1"/>
  <c r="W33"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B108" i="37"/>
  <c r="C23" i="37"/>
  <c r="C19" i="37"/>
  <c r="C17" i="37"/>
  <c r="C15" i="37"/>
  <c r="B112" i="37"/>
  <c r="F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c r="D75" i="37"/>
  <c r="E75" i="37" s="1"/>
  <c r="F75" i="37" s="1"/>
  <c r="G75" i="37" s="1"/>
  <c r="D73" i="37"/>
  <c r="E73" i="37" s="1"/>
  <c r="F73" i="37" s="1"/>
  <c r="G73" i="37" s="1"/>
  <c r="D71" i="37"/>
  <c r="E71" i="37" s="1"/>
  <c r="F71" i="37" s="1"/>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c r="J25" i="37"/>
  <c r="W25" i="37" s="1"/>
  <c r="Q23" i="37"/>
  <c r="Z23" i="37"/>
  <c r="Q19" i="37"/>
  <c r="Z19" i="37" s="1"/>
  <c r="Q17" i="37"/>
  <c r="Z17" i="37" s="1"/>
  <c r="Q15" i="37"/>
  <c r="Z15" i="37" s="1"/>
  <c r="Q14" i="37"/>
  <c r="Z14" i="37" s="1"/>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U22" i="36" s="1"/>
  <c r="AB22" i="36"/>
  <c r="D68" i="36"/>
  <c r="E68" i="36" s="1"/>
  <c r="D64" i="36"/>
  <c r="E64" i="36" s="1"/>
  <c r="F64" i="36" s="1"/>
  <c r="G64" i="36" s="1"/>
  <c r="J16" i="36"/>
  <c r="D62" i="36"/>
  <c r="E62" i="36" s="1"/>
  <c r="F62" i="36" s="1"/>
  <c r="G62" i="36" s="1"/>
  <c r="B59" i="36"/>
  <c r="B57" i="36"/>
  <c r="J12" i="36" s="1"/>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AB8" i="36" s="1"/>
  <c r="U8" i="36"/>
  <c r="F8" i="36"/>
  <c r="S8" i="36" s="1"/>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B75" i="35"/>
  <c r="J24" i="35" s="1"/>
  <c r="AC24" i="35" s="1"/>
  <c r="B73" i="35"/>
  <c r="J23" i="35" s="1"/>
  <c r="B57" i="35"/>
  <c r="F11" i="35" s="1"/>
  <c r="S11" i="35" s="1"/>
  <c r="B61" i="35"/>
  <c r="B59" i="35"/>
  <c r="H12" i="35" s="1"/>
  <c r="B131" i="34"/>
  <c r="F47" i="34" s="1"/>
  <c r="AA47" i="34" s="1"/>
  <c r="B129" i="34"/>
  <c r="F46" i="34" s="1"/>
  <c r="S46" i="34" s="1"/>
  <c r="B127" i="34"/>
  <c r="B99" i="34"/>
  <c r="B97" i="34"/>
  <c r="J31" i="34" s="1"/>
  <c r="W31" i="34" s="1"/>
  <c r="B95" i="34"/>
  <c r="B93" i="34"/>
  <c r="B75" i="34"/>
  <c r="B73" i="34"/>
  <c r="F13" i="34" s="1"/>
  <c r="AA13" i="34" s="1"/>
  <c r="B71" i="34"/>
  <c r="B130" i="33"/>
  <c r="B128" i="33"/>
  <c r="H45" i="33"/>
  <c r="B126" i="33"/>
  <c r="B98" i="33"/>
  <c r="F31" i="33" s="1"/>
  <c r="B96" i="33"/>
  <c r="J30" i="33" s="1"/>
  <c r="AC30" i="33" s="1"/>
  <c r="B94" i="33"/>
  <c r="H29" i="33" s="1"/>
  <c r="AB29" i="33" s="1"/>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c r="Q33" i="35"/>
  <c r="Z33" i="35" s="1"/>
  <c r="Q32" i="35"/>
  <c r="Z32" i="35"/>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F85" i="33" s="1"/>
  <c r="G85" i="33" s="1"/>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H33" i="33"/>
  <c r="AB33" i="33"/>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E79" i="21"/>
  <c r="F79" i="21" s="1"/>
  <c r="G79" i="21" s="1"/>
  <c r="D85" i="21"/>
  <c r="E85" i="21" s="1"/>
  <c r="F85" i="21" s="1"/>
  <c r="G85" i="21" s="1"/>
  <c r="D81" i="21"/>
  <c r="E81" i="21" s="1"/>
  <c r="F81" i="21" s="1"/>
  <c r="G81" i="21" s="1"/>
  <c r="D77" i="21"/>
  <c r="E77" i="21" s="1"/>
  <c r="F77" i="21" s="1"/>
  <c r="G77" i="21" s="1"/>
  <c r="B130" i="21"/>
  <c r="H46" i="21" s="1"/>
  <c r="AB46" i="21" s="1"/>
  <c r="B128" i="21"/>
  <c r="B126" i="21"/>
  <c r="B98" i="21"/>
  <c r="J31" i="21" s="1"/>
  <c r="AC31" i="21" s="1"/>
  <c r="B96" i="21"/>
  <c r="H30" i="21" s="1"/>
  <c r="U30" i="21" s="1"/>
  <c r="B94" i="21"/>
  <c r="J29" i="21" s="1"/>
  <c r="AC29" i="21" s="1"/>
  <c r="B92" i="2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G571" i="3" s="1"/>
  <c r="H572" i="3"/>
  <c r="G572" i="3" s="1"/>
  <c r="F5" i="3"/>
  <c r="G27" i="6"/>
  <c r="F34" i="21"/>
  <c r="H34" i="21"/>
  <c r="U34" i="21" s="1"/>
  <c r="H38" i="21"/>
  <c r="AB38" i="21" s="1"/>
  <c r="F32" i="21"/>
  <c r="S32" i="21" s="1"/>
  <c r="F38" i="21"/>
  <c r="S38" i="21" s="1"/>
  <c r="F36" i="21"/>
  <c r="S36" i="21" s="1"/>
  <c r="F39" i="21"/>
  <c r="AA39" i="21" s="1"/>
  <c r="J40" i="21"/>
  <c r="W40" i="21" s="1"/>
  <c r="H35" i="21"/>
  <c r="AB35" i="21" s="1"/>
  <c r="J8" i="21"/>
  <c r="AC8" i="21" s="1"/>
  <c r="J9" i="21"/>
  <c r="H8" i="21"/>
  <c r="U8" i="21" s="1"/>
  <c r="H10" i="21"/>
  <c r="U10" i="21" s="1"/>
  <c r="H39" i="21"/>
  <c r="AB39" i="21" s="1"/>
  <c r="J34" i="21"/>
  <c r="W34" i="21" s="1"/>
  <c r="H36" i="21"/>
  <c r="AB36" i="21" s="1"/>
  <c r="F35" i="21"/>
  <c r="AA35" i="21" s="1"/>
  <c r="J10" i="21"/>
  <c r="AC10" i="21" s="1"/>
  <c r="H26" i="21"/>
  <c r="U26" i="21" s="1"/>
  <c r="F19" i="21"/>
  <c r="H19" i="21"/>
  <c r="AB19" i="21" s="1"/>
  <c r="J19" i="21"/>
  <c r="W19" i="21" s="1"/>
  <c r="J26" i="21"/>
  <c r="W26" i="21" s="1"/>
  <c r="F26" i="21"/>
  <c r="AA26" i="21" s="1"/>
  <c r="AB41" i="21"/>
  <c r="S41" i="21"/>
  <c r="W41" i="21"/>
  <c r="S10" i="39"/>
  <c r="E103" i="37"/>
  <c r="F103" i="37" s="1"/>
  <c r="G103" i="37" s="1"/>
  <c r="H103" i="37" s="1"/>
  <c r="I103" i="37" s="1"/>
  <c r="J103" i="37" s="1"/>
  <c r="K103" i="37" s="1"/>
  <c r="L103" i="37" s="1"/>
  <c r="M103" i="37" s="1"/>
  <c r="F29" i="36"/>
  <c r="AA29" i="36" s="1"/>
  <c r="F16" i="36"/>
  <c r="AA16" i="36" s="1"/>
  <c r="U26" i="36"/>
  <c r="AC31" i="36"/>
  <c r="W24" i="35"/>
  <c r="F36" i="34"/>
  <c r="S36" i="34" s="1"/>
  <c r="H39" i="33"/>
  <c r="AB39" i="33"/>
  <c r="U33" i="33"/>
  <c r="W38" i="33"/>
  <c r="U38" i="33"/>
  <c r="AB27" i="35"/>
  <c r="W10" i="40"/>
  <c r="U11" i="40"/>
  <c r="U36" i="40"/>
  <c r="F11" i="21"/>
  <c r="S11" i="21" s="1"/>
  <c r="AA38" i="21"/>
  <c r="H32" i="33"/>
  <c r="AB32" i="33"/>
  <c r="H11" i="21"/>
  <c r="U11" i="21" s="1"/>
  <c r="J11" i="21"/>
  <c r="AC11" i="21" s="1"/>
  <c r="J27" i="36"/>
  <c r="W27" i="36" s="1"/>
  <c r="J34" i="36"/>
  <c r="AC34" i="36" s="1"/>
  <c r="J30" i="35"/>
  <c r="W30" i="35" s="1"/>
  <c r="F22" i="35"/>
  <c r="S22" i="35" s="1"/>
  <c r="H10" i="35"/>
  <c r="U10" i="35" s="1"/>
  <c r="AC24" i="36"/>
  <c r="U29" i="36"/>
  <c r="J29" i="36"/>
  <c r="AC29" i="36" s="1"/>
  <c r="F24" i="36"/>
  <c r="F34" i="36"/>
  <c r="S34" i="36" s="1"/>
  <c r="H16" i="35"/>
  <c r="U16" i="35"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AC43" i="34"/>
  <c r="J19" i="34"/>
  <c r="AC19" i="34" s="1"/>
  <c r="H37" i="33"/>
  <c r="U37" i="33" s="1"/>
  <c r="AB37" i="33"/>
  <c r="S37" i="33"/>
  <c r="W43" i="34"/>
  <c r="AC42" i="34"/>
  <c r="W42" i="34"/>
  <c r="S42" i="34"/>
  <c r="AC38" i="34"/>
  <c r="AA38" i="34"/>
  <c r="S38" i="34"/>
  <c r="J37" i="33"/>
  <c r="W37" i="33" s="1"/>
  <c r="J42" i="21"/>
  <c r="AC42" i="21" s="1"/>
  <c r="J44" i="34"/>
  <c r="AC44" i="34" s="1"/>
  <c r="F44" i="34"/>
  <c r="S44" i="34" s="1"/>
  <c r="J10" i="35"/>
  <c r="W10" i="35" s="1"/>
  <c r="AL5" i="3"/>
  <c r="BQ13" i="3"/>
  <c r="H14" i="21"/>
  <c r="AB14" i="21" s="1"/>
  <c r="H28" i="21"/>
  <c r="AB28" i="21"/>
  <c r="F30" i="21"/>
  <c r="S30" i="21" s="1"/>
  <c r="J30" i="21"/>
  <c r="F46" i="21"/>
  <c r="AA46" i="21" s="1"/>
  <c r="F33" i="35"/>
  <c r="S33" i="35" s="1"/>
  <c r="J33" i="35"/>
  <c r="W33" i="35" s="1"/>
  <c r="F30" i="35"/>
  <c r="AA30" i="35" s="1"/>
  <c r="H10" i="36"/>
  <c r="AB10" i="36" s="1"/>
  <c r="F28" i="36"/>
  <c r="S28" i="36" s="1"/>
  <c r="F27" i="36"/>
  <c r="S27" i="36" s="1"/>
  <c r="H27" i="21"/>
  <c r="AB27" i="21" s="1"/>
  <c r="J27" i="21"/>
  <c r="W27" i="21" s="1"/>
  <c r="F29" i="21"/>
  <c r="S29" i="21" s="1"/>
  <c r="H31" i="21"/>
  <c r="U31" i="21" s="1"/>
  <c r="F31" i="21"/>
  <c r="F13" i="33"/>
  <c r="S13" i="33" s="1"/>
  <c r="J29" i="33"/>
  <c r="W29" i="33" s="1"/>
  <c r="J31" i="33"/>
  <c r="H31" i="33"/>
  <c r="U31" i="33" s="1"/>
  <c r="H28" i="36"/>
  <c r="AB28" i="36" s="1"/>
  <c r="J11" i="36"/>
  <c r="E89" i="37"/>
  <c r="F89" i="37" s="1"/>
  <c r="G89" i="37" s="1"/>
  <c r="H89" i="37" s="1"/>
  <c r="I89" i="37" s="1"/>
  <c r="J89" i="37" s="1"/>
  <c r="K89" i="37" s="1"/>
  <c r="L89" i="37" s="1"/>
  <c r="M89" i="37" s="1"/>
  <c r="J29" i="37"/>
  <c r="W29" i="37"/>
  <c r="F29" i="37"/>
  <c r="AA29" i="37" s="1"/>
  <c r="F105" i="37"/>
  <c r="G105" i="37" s="1"/>
  <c r="AB36" i="37"/>
  <c r="F107" i="37"/>
  <c r="G107" i="37" s="1"/>
  <c r="H107" i="37" s="1"/>
  <c r="I107" i="37" s="1"/>
  <c r="J107" i="37" s="1"/>
  <c r="K107" i="37" s="1"/>
  <c r="L107" i="37" s="1"/>
  <c r="M107" i="37" s="1"/>
  <c r="J37" i="37"/>
  <c r="AC37" i="37" s="1"/>
  <c r="H37" i="37"/>
  <c r="U37" i="37" s="1"/>
  <c r="H40" i="37"/>
  <c r="U40" i="37" s="1"/>
  <c r="J40" i="37"/>
  <c r="F14" i="33"/>
  <c r="AA14" i="33" s="1"/>
  <c r="H30" i="33"/>
  <c r="F30" i="33"/>
  <c r="S30" i="33" s="1"/>
  <c r="J46" i="33"/>
  <c r="AC46" i="33" s="1"/>
  <c r="F46" i="33"/>
  <c r="AA46" i="33" s="1"/>
  <c r="H46" i="33"/>
  <c r="AB46" i="33" s="1"/>
  <c r="H13" i="34"/>
  <c r="U13" i="34" s="1"/>
  <c r="J13" i="34"/>
  <c r="W13" i="34" s="1"/>
  <c r="H31" i="34"/>
  <c r="AB31" i="34" s="1"/>
  <c r="F31" i="34"/>
  <c r="S31" i="34" s="1"/>
  <c r="H45" i="34"/>
  <c r="J45" i="34"/>
  <c r="W45" i="34" s="1"/>
  <c r="F45" i="34"/>
  <c r="H47" i="34"/>
  <c r="U47" i="34" s="1"/>
  <c r="H13" i="35"/>
  <c r="J25" i="35"/>
  <c r="AC25" i="35" s="1"/>
  <c r="F25" i="35"/>
  <c r="AA25" i="35" s="1"/>
  <c r="H25" i="35"/>
  <c r="AB25" i="35" s="1"/>
  <c r="J35" i="35"/>
  <c r="AC35" i="35" s="1"/>
  <c r="F35" i="35"/>
  <c r="S35" i="35" s="1"/>
  <c r="J25" i="36"/>
  <c r="W25" i="36" s="1"/>
  <c r="F25" i="36"/>
  <c r="AA25" i="36" s="1"/>
  <c r="H25" i="36"/>
  <c r="AB25" i="36" s="1"/>
  <c r="J28" i="37"/>
  <c r="AC28" i="37" s="1"/>
  <c r="H28" i="37"/>
  <c r="U28" i="37" s="1"/>
  <c r="H38" i="37"/>
  <c r="AB38" i="37" s="1"/>
  <c r="J38" i="37"/>
  <c r="AC38" i="37" s="1"/>
  <c r="F38" i="37"/>
  <c r="S38" i="37" s="1"/>
  <c r="F27" i="37"/>
  <c r="AA27" i="37" s="1"/>
  <c r="J14" i="37"/>
  <c r="J36" i="37"/>
  <c r="AC36" i="37" s="1"/>
  <c r="AB31" i="21"/>
  <c r="S46" i="21"/>
  <c r="U36" i="37"/>
  <c r="U28" i="21"/>
  <c r="G513" i="3"/>
  <c r="G17" i="3"/>
  <c r="G549" i="3"/>
  <c r="BL561" i="3"/>
  <c r="BL559" i="3"/>
  <c r="BL555" i="3"/>
  <c r="BA559" i="3"/>
  <c r="BA557" i="3"/>
  <c r="BA554" i="3"/>
  <c r="BA520" i="3"/>
  <c r="G566" i="3"/>
  <c r="G562" i="3"/>
  <c r="G554" i="3"/>
  <c r="G546" i="3"/>
  <c r="AC542" i="3"/>
  <c r="G542" i="3" s="1"/>
  <c r="BQ542" i="3"/>
  <c r="BQ568" i="3"/>
  <c r="BQ566" i="3"/>
  <c r="BQ564" i="3"/>
  <c r="BQ562" i="3"/>
  <c r="BQ560" i="3"/>
  <c r="BQ558" i="3"/>
  <c r="BQ556" i="3"/>
  <c r="BQ554" i="3"/>
  <c r="BL554" i="3" s="1"/>
  <c r="BQ552" i="3"/>
  <c r="BL552" i="3" s="1"/>
  <c r="BQ550" i="3"/>
  <c r="BQ548" i="3"/>
  <c r="BQ546" i="3"/>
  <c r="BQ544" i="3"/>
  <c r="G544" i="3"/>
  <c r="G538" i="3"/>
  <c r="G530" i="3"/>
  <c r="G522" i="3"/>
  <c r="BQ540" i="3"/>
  <c r="BL540" i="3"/>
  <c r="BQ538" i="3"/>
  <c r="BL538" i="3" s="1"/>
  <c r="BQ536" i="3"/>
  <c r="BQ534" i="3"/>
  <c r="BQ532" i="3"/>
  <c r="BQ530" i="3"/>
  <c r="BQ528" i="3"/>
  <c r="BQ526" i="3"/>
  <c r="BL526" i="3" s="1"/>
  <c r="BQ524" i="3"/>
  <c r="BQ522" i="3"/>
  <c r="BQ520" i="3"/>
  <c r="BQ518" i="3"/>
  <c r="BQ516" i="3"/>
  <c r="BQ514" i="3"/>
  <c r="BQ512" i="3"/>
  <c r="BQ510" i="3"/>
  <c r="BQ508" i="3"/>
  <c r="BL508" i="3" s="1"/>
  <c r="AC506" i="3"/>
  <c r="G506" i="3" s="1"/>
  <c r="BQ506" i="3"/>
  <c r="BQ504" i="3"/>
  <c r="BQ502" i="3"/>
  <c r="BQ500" i="3"/>
  <c r="BQ498" i="3"/>
  <c r="BQ496" i="3"/>
  <c r="BL496" i="3" s="1"/>
  <c r="AC494" i="3"/>
  <c r="BQ494" i="3"/>
  <c r="G492"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G79" i="37" s="1"/>
  <c r="F39" i="33"/>
  <c r="S39" i="33" s="1"/>
  <c r="AA39" i="33"/>
  <c r="F42" i="33"/>
  <c r="H28" i="34"/>
  <c r="AB28" i="34" s="1"/>
  <c r="F22" i="36"/>
  <c r="S22" i="36" s="1"/>
  <c r="H35" i="34"/>
  <c r="U35" i="34" s="1"/>
  <c r="F41" i="34"/>
  <c r="H41" i="34"/>
  <c r="J41" i="34"/>
  <c r="W41" i="34" s="1"/>
  <c r="F10" i="35"/>
  <c r="AA10" i="35" s="1"/>
  <c r="F24" i="35"/>
  <c r="AA24" i="35" s="1"/>
  <c r="H24" i="35"/>
  <c r="AB24" i="35" s="1"/>
  <c r="H23" i="37"/>
  <c r="U23" i="37" s="1"/>
  <c r="AB23" i="37"/>
  <c r="J32" i="37"/>
  <c r="AC32" i="37" s="1"/>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AC8" i="37"/>
  <c r="AC36" i="34"/>
  <c r="AB8" i="34"/>
  <c r="AC37" i="33"/>
  <c r="AA13" i="33"/>
  <c r="F43" i="33"/>
  <c r="AA43" i="33" s="1"/>
  <c r="AA23" i="37"/>
  <c r="F37" i="21"/>
  <c r="S37" i="21" s="1"/>
  <c r="J37" i="21"/>
  <c r="W37" i="21" s="1"/>
  <c r="H19" i="34"/>
  <c r="AB19" i="34" s="1"/>
  <c r="J10" i="37"/>
  <c r="AC10" i="37" s="1"/>
  <c r="J9" i="37"/>
  <c r="F9" i="37"/>
  <c r="F11" i="37"/>
  <c r="S11" i="37"/>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G356" i="3"/>
  <c r="G360" i="3"/>
  <c r="G361" i="3"/>
  <c r="BA364" i="3"/>
  <c r="BA365" i="3"/>
  <c r="BL365" i="3"/>
  <c r="AZ365" i="3" s="1"/>
  <c r="G366" i="3"/>
  <c r="G369" i="3"/>
  <c r="BL370" i="3"/>
  <c r="BA372" i="3"/>
  <c r="BA373" i="3"/>
  <c r="AZ373" i="3" s="1"/>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G354" i="3"/>
  <c r="BL363" i="3"/>
  <c r="G364" i="3"/>
  <c r="BA366" i="3"/>
  <c r="BL367" i="3"/>
  <c r="AZ367" i="3" s="1"/>
  <c r="G368" i="3"/>
  <c r="BA370" i="3"/>
  <c r="BL371" i="3"/>
  <c r="G372" i="3"/>
  <c r="BA374" i="3"/>
  <c r="AZ374" i="3" s="1"/>
  <c r="BL375" i="3"/>
  <c r="G376" i="3"/>
  <c r="BA378" i="3"/>
  <c r="BL379" i="3"/>
  <c r="G380" i="3"/>
  <c r="BA382" i="3"/>
  <c r="BL383" i="3"/>
  <c r="G384" i="3"/>
  <c r="AZ315" i="3"/>
  <c r="F37" i="46"/>
  <c r="AB15" i="37"/>
  <c r="AA13" i="40"/>
  <c r="F77" i="40"/>
  <c r="G77" i="40" s="1"/>
  <c r="H77" i="40" s="1"/>
  <c r="I77" i="40" s="1"/>
  <c r="J77" i="40" s="1"/>
  <c r="K77" i="40" s="1"/>
  <c r="L77" i="40" s="1"/>
  <c r="M77" i="40" s="1"/>
  <c r="R16" i="4"/>
  <c r="D3" i="35"/>
  <c r="G4" i="4"/>
  <c r="J16" i="35"/>
  <c r="W16" i="35" s="1"/>
  <c r="AC26" i="36"/>
  <c r="H11" i="37"/>
  <c r="AB11" i="37"/>
  <c r="W37" i="37"/>
  <c r="AA36" i="37"/>
  <c r="U32" i="33"/>
  <c r="AB17" i="37"/>
  <c r="AC29" i="33"/>
  <c r="AB35" i="35"/>
  <c r="S25" i="35"/>
  <c r="W30" i="33"/>
  <c r="AC29" i="37"/>
  <c r="J33" i="34"/>
  <c r="AC33" i="34" s="1"/>
  <c r="J40" i="34"/>
  <c r="AC40" i="34" s="1"/>
  <c r="F16" i="35"/>
  <c r="AA16" i="35" s="1"/>
  <c r="J35" i="34"/>
  <c r="W35" i="34" s="1"/>
  <c r="S30" i="36"/>
  <c r="H16" i="36"/>
  <c r="AB16" i="36" s="1"/>
  <c r="H35" i="37"/>
  <c r="AB35" i="37" s="1"/>
  <c r="H32" i="21"/>
  <c r="U32" i="21" s="1"/>
  <c r="AB26" i="21"/>
  <c r="J32" i="21"/>
  <c r="AC32" i="21" s="1"/>
  <c r="F17" i="21"/>
  <c r="S17" i="21" s="1"/>
  <c r="J17" i="21"/>
  <c r="H37" i="21"/>
  <c r="U37" i="2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S32" i="33" s="1"/>
  <c r="AA32" i="33"/>
  <c r="J32" i="33"/>
  <c r="F35" i="33"/>
  <c r="AA35" i="33" s="1"/>
  <c r="AB39" i="34"/>
  <c r="F11" i="34"/>
  <c r="S11" i="34" s="1"/>
  <c r="H17" i="34"/>
  <c r="AB17" i="34" s="1"/>
  <c r="AC27" i="34"/>
  <c r="J13" i="33"/>
  <c r="W13" i="33" s="1"/>
  <c r="H13" i="33"/>
  <c r="U13" i="33" s="1"/>
  <c r="F29" i="33"/>
  <c r="J12" i="34"/>
  <c r="H12" i="34"/>
  <c r="AB12" i="34" s="1"/>
  <c r="F12" i="34"/>
  <c r="S12" i="34" s="1"/>
  <c r="J14" i="34"/>
  <c r="F14" i="34"/>
  <c r="H14" i="34"/>
  <c r="AB14" i="34"/>
  <c r="H30" i="34"/>
  <c r="AB30" i="34" s="1"/>
  <c r="F30" i="34"/>
  <c r="S30" i="34" s="1"/>
  <c r="J30" i="34"/>
  <c r="H32" i="34"/>
  <c r="U32" i="34" s="1"/>
  <c r="AB32" i="34"/>
  <c r="F32" i="34"/>
  <c r="AA32" i="34" s="1"/>
  <c r="J32" i="34"/>
  <c r="W32" i="34" s="1"/>
  <c r="H46" i="34"/>
  <c r="AB46" i="34" s="1"/>
  <c r="J46" i="34"/>
  <c r="AC46" i="34" s="1"/>
  <c r="H11" i="35"/>
  <c r="U11" i="35" s="1"/>
  <c r="J11" i="35"/>
  <c r="AC11" i="35" s="1"/>
  <c r="F96" i="37"/>
  <c r="H32" i="37"/>
  <c r="AB32" i="37" s="1"/>
  <c r="F19" i="39"/>
  <c r="H19" i="39"/>
  <c r="U19" i="39" s="1"/>
  <c r="J19" i="39"/>
  <c r="W19" i="39" s="1"/>
  <c r="U25" i="35"/>
  <c r="AC40" i="37"/>
  <c r="W40" i="37"/>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s="1"/>
  <c r="U34" i="36"/>
  <c r="AB34" i="36"/>
  <c r="H33" i="36"/>
  <c r="F33" i="36"/>
  <c r="H27" i="36"/>
  <c r="AB27" i="36" s="1"/>
  <c r="AA31" i="36"/>
  <c r="AB29" i="37"/>
  <c r="AA30" i="37"/>
  <c r="S30" i="37"/>
  <c r="AC30" i="37"/>
  <c r="AC31" i="37"/>
  <c r="W31" i="37"/>
  <c r="AB14" i="37"/>
  <c r="F21" i="39"/>
  <c r="H21" i="39"/>
  <c r="AB21" i="39" s="1"/>
  <c r="J21" i="39"/>
  <c r="W21" i="39" s="1"/>
  <c r="F33" i="39"/>
  <c r="H33" i="39"/>
  <c r="U33" i="39" s="1"/>
  <c r="F44" i="39"/>
  <c r="S44" i="39" s="1"/>
  <c r="H44" i="39"/>
  <c r="J44" i="39"/>
  <c r="AC44" i="39" s="1"/>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H39" i="39"/>
  <c r="AB39" i="39" s="1"/>
  <c r="J39" i="39"/>
  <c r="J29" i="35"/>
  <c r="AC29" i="35" s="1"/>
  <c r="F29" i="35"/>
  <c r="W30" i="36"/>
  <c r="AC30" i="36"/>
  <c r="F37" i="39"/>
  <c r="H37" i="39"/>
  <c r="J37" i="39"/>
  <c r="W37" i="39" s="1"/>
  <c r="BL568" i="3"/>
  <c r="BA568" i="3"/>
  <c r="AZ568" i="3" s="1"/>
  <c r="BA567" i="3"/>
  <c r="BL566" i="3"/>
  <c r="BL565" i="3"/>
  <c r="AZ565" i="3" s="1"/>
  <c r="BA563" i="3"/>
  <c r="BA553" i="3"/>
  <c r="BA552" i="3"/>
  <c r="BA549" i="3"/>
  <c r="BL539" i="3"/>
  <c r="BL528" i="3"/>
  <c r="BL518" i="3"/>
  <c r="BA515" i="3"/>
  <c r="BL506" i="3"/>
  <c r="BA503" i="3"/>
  <c r="BA485"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8" i="21"/>
  <c r="AB8" i="33"/>
  <c r="U8" i="33"/>
  <c r="E106" i="33"/>
  <c r="H34" i="33"/>
  <c r="U34" i="33" s="1"/>
  <c r="F34" i="33"/>
  <c r="E121" i="33"/>
  <c r="F121" i="33" s="1"/>
  <c r="G121" i="33" s="1"/>
  <c r="H121" i="33" s="1"/>
  <c r="I121" i="33" s="1"/>
  <c r="J121" i="33" s="1"/>
  <c r="K121" i="33" s="1"/>
  <c r="L121" i="33" s="1"/>
  <c r="M121" i="33" s="1"/>
  <c r="F41" i="33"/>
  <c r="S41" i="33"/>
  <c r="AC34" i="34"/>
  <c r="W34" i="34"/>
  <c r="S43" i="34"/>
  <c r="F15" i="34"/>
  <c r="AA15" i="34" s="1"/>
  <c r="AC28" i="35"/>
  <c r="J20" i="35"/>
  <c r="W20" i="35" s="1"/>
  <c r="E72" i="35"/>
  <c r="F72" i="35" s="1"/>
  <c r="G72" i="35" s="1"/>
  <c r="H22" i="35"/>
  <c r="H23" i="35"/>
  <c r="F23" i="35"/>
  <c r="AA23" i="35"/>
  <c r="AC12" i="36"/>
  <c r="U31" i="36"/>
  <c r="S8" i="37"/>
  <c r="AA8" i="37"/>
  <c r="F14" i="39"/>
  <c r="AA14" i="39" s="1"/>
  <c r="F16" i="39"/>
  <c r="H16" i="39"/>
  <c r="U16" i="39" s="1"/>
  <c r="J16" i="39"/>
  <c r="AC16" i="39" s="1"/>
  <c r="F23" i="39"/>
  <c r="AA23" i="39" s="1"/>
  <c r="F27" i="39"/>
  <c r="AA27" i="39" s="1"/>
  <c r="F15" i="40"/>
  <c r="AA15" i="40" s="1"/>
  <c r="J15" i="40"/>
  <c r="W15" i="40" s="1"/>
  <c r="H15" i="40"/>
  <c r="AB15" i="40"/>
  <c r="E91" i="40"/>
  <c r="F91" i="40"/>
  <c r="G91" i="40" s="1"/>
  <c r="H23" i="40"/>
  <c r="U23" i="40" s="1"/>
  <c r="H41" i="40"/>
  <c r="F41" i="40"/>
  <c r="AA41" i="40"/>
  <c r="J41" i="40"/>
  <c r="AC41" i="40" s="1"/>
  <c r="H36" i="33"/>
  <c r="AB36" i="33" s="1"/>
  <c r="H37" i="34"/>
  <c r="U37" i="34" s="1"/>
  <c r="F15" i="39"/>
  <c r="AA15" i="39" s="1"/>
  <c r="H15" i="39"/>
  <c r="J15" i="39"/>
  <c r="AC15" i="39" s="1"/>
  <c r="H25" i="39"/>
  <c r="U25" i="39" s="1"/>
  <c r="J25" i="39"/>
  <c r="AC25" i="39" s="1"/>
  <c r="F25" i="39"/>
  <c r="AA25" i="39" s="1"/>
  <c r="F45" i="39"/>
  <c r="AA45" i="39" s="1"/>
  <c r="H45" i="39"/>
  <c r="U45" i="39" s="1"/>
  <c r="J45" i="39"/>
  <c r="AC45" i="39" s="1"/>
  <c r="F41" i="39"/>
  <c r="AA41"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0" i="40"/>
  <c r="H34" i="40"/>
  <c r="J42" i="40"/>
  <c r="AC42" i="40" s="1"/>
  <c r="H14" i="40"/>
  <c r="F32" i="40"/>
  <c r="AA32" i="40" s="1"/>
  <c r="F61" i="46"/>
  <c r="H61" i="46" s="1"/>
  <c r="F72" i="46"/>
  <c r="H74" i="46" s="1"/>
  <c r="J13" i="40"/>
  <c r="W13" i="40" s="1"/>
  <c r="W41" i="40"/>
  <c r="J23" i="40"/>
  <c r="F23" i="40"/>
  <c r="S23" i="40" s="1"/>
  <c r="AC15" i="40"/>
  <c r="U23" i="35"/>
  <c r="AB23" i="35"/>
  <c r="H20" i="35"/>
  <c r="U20" i="35" s="1"/>
  <c r="F20" i="35"/>
  <c r="S20" i="35" s="1"/>
  <c r="H15" i="34"/>
  <c r="U15" i="34" s="1"/>
  <c r="AB15" i="34"/>
  <c r="F78" i="34"/>
  <c r="G78" i="34" s="1"/>
  <c r="J15" i="34"/>
  <c r="H41" i="33"/>
  <c r="U41" i="33" s="1"/>
  <c r="F30" i="40"/>
  <c r="AA30" i="40" s="1"/>
  <c r="AB38" i="34"/>
  <c r="J29" i="39"/>
  <c r="AC29" i="39" s="1"/>
  <c r="AA11" i="36"/>
  <c r="G99" i="37"/>
  <c r="H99" i="37" s="1"/>
  <c r="I99" i="37" s="1"/>
  <c r="J99" i="37" s="1"/>
  <c r="K99" i="37" s="1"/>
  <c r="L99" i="37" s="1"/>
  <c r="M99" i="37" s="1"/>
  <c r="F33" i="37"/>
  <c r="U46" i="34"/>
  <c r="U29" i="33"/>
  <c r="AC13" i="33"/>
  <c r="H15" i="33"/>
  <c r="U15" i="33" s="1"/>
  <c r="AA11" i="33"/>
  <c r="AA40" i="21"/>
  <c r="W32" i="40"/>
  <c r="H25" i="40"/>
  <c r="F93" i="40"/>
  <c r="G93" i="40" s="1"/>
  <c r="J37" i="34"/>
  <c r="AC37" i="34"/>
  <c r="J36" i="33"/>
  <c r="W36" i="33" s="1"/>
  <c r="S41" i="40"/>
  <c r="AB23" i="40"/>
  <c r="H23" i="39"/>
  <c r="AB23" i="39" s="1"/>
  <c r="J23" i="39"/>
  <c r="AC23" i="39" s="1"/>
  <c r="S15" i="34"/>
  <c r="AA41" i="33"/>
  <c r="F106" i="33"/>
  <c r="G106" i="33" s="1"/>
  <c r="H106" i="33" s="1"/>
  <c r="I106" i="33" s="1"/>
  <c r="J106" i="33" s="1"/>
  <c r="K106" i="33" s="1"/>
  <c r="L106" i="33" s="1"/>
  <c r="M106" i="33" s="1"/>
  <c r="J34" i="33"/>
  <c r="AC34" i="33" s="1"/>
  <c r="AC39" i="39"/>
  <c r="W39" i="39"/>
  <c r="AC33" i="39"/>
  <c r="AA33" i="39"/>
  <c r="S33" i="39"/>
  <c r="F90" i="34"/>
  <c r="G90" i="34" s="1"/>
  <c r="H90" i="34" s="1"/>
  <c r="I90" i="34" s="1"/>
  <c r="J90" i="34" s="1"/>
  <c r="K90" i="34" s="1"/>
  <c r="L90" i="34" s="1"/>
  <c r="M90" i="34" s="1"/>
  <c r="G96" i="37"/>
  <c r="H96" i="37" s="1"/>
  <c r="I96" i="37" s="1"/>
  <c r="J96" i="37" s="1"/>
  <c r="K96" i="37" s="1"/>
  <c r="L96" i="37" s="1"/>
  <c r="M96" i="37" s="1"/>
  <c r="F32" i="37"/>
  <c r="AA32" i="37" s="1"/>
  <c r="AB11" i="35"/>
  <c r="U14" i="34"/>
  <c r="U12" i="34"/>
  <c r="AB13" i="33"/>
  <c r="F17" i="34"/>
  <c r="AA17" i="34" s="1"/>
  <c r="J17" i="34"/>
  <c r="AC17" i="34" s="1"/>
  <c r="H11" i="34"/>
  <c r="AB11" i="34" s="1"/>
  <c r="J35" i="33"/>
  <c r="W35" i="33" s="1"/>
  <c r="H11" i="33"/>
  <c r="U11" i="33" s="1"/>
  <c r="H10" i="33"/>
  <c r="U10" i="33" s="1"/>
  <c r="J10" i="33"/>
  <c r="W10" i="33" s="1"/>
  <c r="U40" i="21"/>
  <c r="U11" i="37"/>
  <c r="J11" i="34"/>
  <c r="AC36" i="33"/>
  <c r="F25" i="40"/>
  <c r="AA25" i="40" s="1"/>
  <c r="J11" i="33"/>
  <c r="W11" i="33" s="1"/>
  <c r="H33" i="37"/>
  <c r="AB33" i="37" s="1"/>
  <c r="B11" i="1"/>
  <c r="E11" i="1" s="1"/>
  <c r="K11" i="1"/>
  <c r="M11" i="1" s="1"/>
  <c r="B9" i="1"/>
  <c r="E9" i="1" s="1"/>
  <c r="K9" i="1"/>
  <c r="M9" i="1" s="1"/>
  <c r="B7" i="1"/>
  <c r="E7" i="1" s="1"/>
  <c r="AP6" i="1"/>
  <c r="AC25" i="36"/>
  <c r="S23" i="36"/>
  <c r="AA26" i="36"/>
  <c r="AA28" i="36"/>
  <c r="U25" i="36"/>
  <c r="H20" i="36"/>
  <c r="U20" i="36" s="1"/>
  <c r="F68" i="36"/>
  <c r="G68" i="36"/>
  <c r="J20" i="36"/>
  <c r="AC20" i="36" s="1"/>
  <c r="F20" i="36"/>
  <c r="S20" i="36"/>
  <c r="J14" i="36"/>
  <c r="AC14" i="36" s="1"/>
  <c r="H14" i="36"/>
  <c r="U14" i="36" s="1"/>
  <c r="F14" i="36"/>
  <c r="AA14" i="36" s="1"/>
  <c r="S16" i="36"/>
  <c r="S29" i="36"/>
  <c r="U33" i="35"/>
  <c r="S23" i="35"/>
  <c r="AC18" i="35"/>
  <c r="W18" i="35"/>
  <c r="U18" i="35"/>
  <c r="AB18" i="35"/>
  <c r="S30" i="35"/>
  <c r="AA35" i="35"/>
  <c r="AB30" i="35"/>
  <c r="S27" i="35"/>
  <c r="AB9" i="37"/>
  <c r="S17" i="37"/>
  <c r="W28" i="37"/>
  <c r="AB37" i="37"/>
  <c r="AA31" i="37"/>
  <c r="S33" i="37"/>
  <c r="AA33" i="37"/>
  <c r="J33" i="37"/>
  <c r="W33" i="37" s="1"/>
  <c r="S29" i="37"/>
  <c r="J19" i="37"/>
  <c r="AC19" i="37" s="1"/>
  <c r="F19" i="37"/>
  <c r="AA19" i="37" s="1"/>
  <c r="H19" i="37"/>
  <c r="AB19" i="37" s="1"/>
  <c r="J17" i="37"/>
  <c r="S15" i="37"/>
  <c r="AC21" i="37"/>
  <c r="W21" i="37"/>
  <c r="W32" i="37"/>
  <c r="U35" i="37"/>
  <c r="U8" i="37"/>
  <c r="AB25" i="37"/>
  <c r="AB21" i="37"/>
  <c r="U21" i="37"/>
  <c r="S37" i="37"/>
  <c r="AA11" i="37"/>
  <c r="AC45" i="34"/>
  <c r="AA40" i="34"/>
  <c r="W33" i="34"/>
  <c r="U30" i="34"/>
  <c r="S32" i="34"/>
  <c r="AB33" i="34"/>
  <c r="AA12" i="34"/>
  <c r="AC35" i="34"/>
  <c r="AC32" i="34"/>
  <c r="U44" i="34"/>
  <c r="U34" i="34"/>
  <c r="U28" i="34"/>
  <c r="J25" i="34"/>
  <c r="H25" i="34"/>
  <c r="U25" i="34" s="1"/>
  <c r="F25" i="34"/>
  <c r="J23" i="34"/>
  <c r="F86" i="34"/>
  <c r="G86" i="34" s="1"/>
  <c r="F23" i="34"/>
  <c r="AA23" i="34" s="1"/>
  <c r="H23" i="34"/>
  <c r="U11" i="34"/>
  <c r="W37" i="34"/>
  <c r="W44" i="34"/>
  <c r="W19" i="34"/>
  <c r="AC21" i="34"/>
  <c r="W21" i="34"/>
  <c r="AB21" i="34"/>
  <c r="U21" i="34"/>
  <c r="U19" i="34"/>
  <c r="S13" i="34"/>
  <c r="S9" i="34"/>
  <c r="U39" i="33"/>
  <c r="S35" i="33"/>
  <c r="W34" i="33"/>
  <c r="AB41" i="33"/>
  <c r="U36" i="33"/>
  <c r="AC35" i="33"/>
  <c r="W43" i="33"/>
  <c r="U46" i="33"/>
  <c r="W39" i="33"/>
  <c r="U35" i="33"/>
  <c r="W26" i="33"/>
  <c r="H25" i="33"/>
  <c r="AB25" i="33" s="1"/>
  <c r="J25" i="33"/>
  <c r="W25" i="33" s="1"/>
  <c r="F87" i="33"/>
  <c r="G87" i="33" s="1"/>
  <c r="H87" i="33" s="1"/>
  <c r="I87" i="33" s="1"/>
  <c r="J87" i="33" s="1"/>
  <c r="K87" i="33" s="1"/>
  <c r="L87" i="33" s="1"/>
  <c r="M87" i="33" s="1"/>
  <c r="F25" i="33"/>
  <c r="J23" i="33"/>
  <c r="F23" i="33"/>
  <c r="S23" i="33" s="1"/>
  <c r="H23" i="33"/>
  <c r="AB23" i="33" s="1"/>
  <c r="U19" i="33"/>
  <c r="F79" i="33"/>
  <c r="G79" i="33" s="1"/>
  <c r="F17" i="33"/>
  <c r="S17" i="33" s="1"/>
  <c r="H17" i="33"/>
  <c r="AB17" i="33" s="1"/>
  <c r="J17" i="33"/>
  <c r="AB15" i="33"/>
  <c r="AC11" i="33"/>
  <c r="AC21" i="33"/>
  <c r="W21" i="33"/>
  <c r="U25" i="33"/>
  <c r="AB21" i="33"/>
  <c r="U21" i="33"/>
  <c r="AA21" i="33"/>
  <c r="S21" i="33"/>
  <c r="AA36" i="33"/>
  <c r="U35" i="21"/>
  <c r="AB37" i="21"/>
  <c r="AC26" i="21"/>
  <c r="H23" i="21"/>
  <c r="AB23" i="21" s="1"/>
  <c r="F15" i="21"/>
  <c r="S15" i="21" s="1"/>
  <c r="H15" i="21"/>
  <c r="U15" i="21" s="1"/>
  <c r="AB11" i="21"/>
  <c r="AC21" i="21"/>
  <c r="W21" i="21"/>
  <c r="W10" i="21"/>
  <c r="AB21" i="21"/>
  <c r="U21" i="21"/>
  <c r="W33" i="40"/>
  <c r="U33" i="40"/>
  <c r="S35" i="40"/>
  <c r="U15" i="40"/>
  <c r="S14" i="40"/>
  <c r="S15" i="40"/>
  <c r="AB13" i="40"/>
  <c r="S16" i="40"/>
  <c r="W11" i="40"/>
  <c r="AA21" i="40"/>
  <c r="W42"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S30" i="40"/>
  <c r="S25" i="40"/>
  <c r="AA23" i="40"/>
  <c r="F87" i="40"/>
  <c r="G87" i="40" s="1"/>
  <c r="F19" i="40"/>
  <c r="AA19" i="40" s="1"/>
  <c r="H19" i="40"/>
  <c r="U19" i="40" s="1"/>
  <c r="J19" i="40"/>
  <c r="W17" i="40"/>
  <c r="AC17" i="40"/>
  <c r="F17" i="40"/>
  <c r="AA17" i="40" s="1"/>
  <c r="H17" i="40"/>
  <c r="U17" i="40" s="1"/>
  <c r="U10" i="40"/>
  <c r="U27" i="40"/>
  <c r="AB27" i="40"/>
  <c r="S11" i="39"/>
  <c r="AB45" i="39"/>
  <c r="S14" i="39"/>
  <c r="U11" i="39"/>
  <c r="U31" i="39"/>
  <c r="AB31" i="39"/>
  <c r="S38" i="39"/>
  <c r="BA16" i="3"/>
  <c r="BA17" i="3"/>
  <c r="AZ17" i="3" s="1"/>
  <c r="F3" i="35"/>
  <c r="K1" i="43"/>
  <c r="K1" i="12"/>
  <c r="G1" i="44"/>
  <c r="AZ15" i="3"/>
  <c r="BL16" i="3"/>
  <c r="G28" i="12"/>
  <c r="D24" i="44"/>
  <c r="D26" i="44"/>
  <c r="F50" i="46"/>
  <c r="H52" i="46" s="1"/>
  <c r="C6" i="46"/>
  <c r="I5" i="48"/>
  <c r="K21" i="46"/>
  <c r="F42" i="46"/>
  <c r="D74" i="46"/>
  <c r="D87" i="46"/>
  <c r="D72" i="46"/>
  <c r="A4" i="64"/>
  <c r="A4" i="51"/>
  <c r="B6" i="63" s="1"/>
  <c r="C51" i="10"/>
  <c r="A9" i="64" s="1"/>
  <c r="U12" i="35"/>
  <c r="AB12" i="35"/>
  <c r="W11" i="35"/>
  <c r="AA11" i="35"/>
  <c r="C24" i="9"/>
  <c r="C25" i="9"/>
  <c r="B46" i="50"/>
  <c r="B4" i="63" s="1"/>
  <c r="K10" i="1"/>
  <c r="M10" i="1" s="1"/>
  <c r="S13" i="1"/>
  <c r="R13" i="1"/>
  <c r="B6" i="1"/>
  <c r="E6" i="1" s="1"/>
  <c r="B10" i="1"/>
  <c r="E10" i="1" s="1"/>
  <c r="B8" i="1"/>
  <c r="E8" i="1" s="1"/>
  <c r="B12" i="1"/>
  <c r="E12" i="1" s="1"/>
  <c r="G1" i="15"/>
  <c r="F66" i="36"/>
  <c r="G66" i="36" s="1"/>
  <c r="H18" i="36"/>
  <c r="U18" i="36" s="1"/>
  <c r="U16" i="36"/>
  <c r="U23" i="36"/>
  <c r="AC27" i="36"/>
  <c r="W28" i="36"/>
  <c r="AA22" i="36"/>
  <c r="W29" i="36"/>
  <c r="W9" i="36"/>
  <c r="W8" i="36"/>
  <c r="U24" i="35"/>
  <c r="S24" i="35"/>
  <c r="AA33" i="35"/>
  <c r="W22" i="35"/>
  <c r="S32" i="35"/>
  <c r="W35" i="37"/>
  <c r="U33" i="37"/>
  <c r="W38" i="37"/>
  <c r="W36" i="37"/>
  <c r="AB28" i="37"/>
  <c r="S28" i="37"/>
  <c r="U38" i="37"/>
  <c r="AA31" i="34"/>
  <c r="AB35" i="34"/>
  <c r="AB47" i="34"/>
  <c r="AB13" i="34"/>
  <c r="AC13" i="34"/>
  <c r="S47" i="34"/>
  <c r="S19" i="34"/>
  <c r="S8" i="34"/>
  <c r="AA19" i="33"/>
  <c r="S43" i="33"/>
  <c r="AB42" i="33"/>
  <c r="S26" i="33"/>
  <c r="S15" i="33"/>
  <c r="AB25" i="21"/>
  <c r="W25" i="21"/>
  <c r="AA25" i="21"/>
  <c r="AC37" i="21"/>
  <c r="W31" i="21"/>
  <c r="W29" i="21"/>
  <c r="G95" i="40"/>
  <c r="J27" i="40"/>
  <c r="W27" i="40" s="1"/>
  <c r="W30" i="40"/>
  <c r="U38" i="40"/>
  <c r="G104" i="39"/>
  <c r="J31" i="39"/>
  <c r="W31" i="39" s="1"/>
  <c r="S45" i="39"/>
  <c r="AB33" i="39"/>
  <c r="AC46" i="39"/>
  <c r="W36" i="39"/>
  <c r="AC37" i="39"/>
  <c r="W45" i="39"/>
  <c r="AA46" i="39"/>
  <c r="W10" i="39"/>
  <c r="S32" i="40"/>
  <c r="C27" i="39"/>
  <c r="C17" i="40"/>
  <c r="C17" i="39"/>
  <c r="C21" i="39"/>
  <c r="B54" i="46"/>
  <c r="B58" i="46"/>
  <c r="B62" i="46"/>
  <c r="B65" i="46"/>
  <c r="B56" i="46"/>
  <c r="B67" i="46"/>
  <c r="D24" i="15"/>
  <c r="S14" i="36"/>
  <c r="AB20" i="36"/>
  <c r="AA20" i="36"/>
  <c r="S19" i="37"/>
  <c r="AC17" i="37"/>
  <c r="W17" i="37"/>
  <c r="AA25" i="34"/>
  <c r="S25" i="34"/>
  <c r="W25" i="34"/>
  <c r="AC25" i="34"/>
  <c r="U23" i="34"/>
  <c r="AB23" i="34"/>
  <c r="AC23" i="34"/>
  <c r="W23" i="34"/>
  <c r="AA25" i="33"/>
  <c r="S25" i="33"/>
  <c r="U23" i="33"/>
  <c r="W23" i="33"/>
  <c r="AC23" i="33"/>
  <c r="W17" i="33"/>
  <c r="AC17" i="33"/>
  <c r="AB39" i="40"/>
  <c r="AC39" i="40"/>
  <c r="W39" i="40"/>
  <c r="AA39" i="40"/>
  <c r="S39" i="40"/>
  <c r="U37" i="40"/>
  <c r="AB37" i="40"/>
  <c r="AA37" i="40"/>
  <c r="S37" i="40"/>
  <c r="AC29" i="40"/>
  <c r="W29" i="40"/>
  <c r="W19" i="40"/>
  <c r="AC19" i="40"/>
  <c r="S19" i="40"/>
  <c r="AB19" i="40"/>
  <c r="AZ16" i="3"/>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10" i="67"/>
  <c r="E13" i="67"/>
  <c r="E12" i="67"/>
  <c r="J3" i="65"/>
  <c r="N7" i="65"/>
  <c r="F9" i="67"/>
  <c r="I5" i="65"/>
  <c r="E11" i="67"/>
  <c r="J36" i="15"/>
  <c r="J7" i="65"/>
  <c r="B8" i="67"/>
  <c r="F9" i="15"/>
  <c r="M28" i="44"/>
  <c r="E9" i="67"/>
  <c r="F12" i="67"/>
  <c r="N3" i="65"/>
  <c r="I7" i="65"/>
  <c r="M23" i="15"/>
  <c r="F14" i="67"/>
  <c r="J5" i="65"/>
  <c r="J6" i="65"/>
  <c r="F13" i="67"/>
  <c r="L47" i="15"/>
  <c r="F11" i="67"/>
  <c r="F10" i="67"/>
  <c r="B12" i="67"/>
  <c r="M8" i="15"/>
  <c r="M22" i="15"/>
  <c r="M25" i="44"/>
  <c r="M26" i="15"/>
  <c r="E10" i="67"/>
  <c r="I4" i="65"/>
  <c r="N4" i="65"/>
  <c r="F8" i="67"/>
  <c r="B14" i="67"/>
  <c r="B9" i="67"/>
  <c r="F6" i="15"/>
  <c r="N6" i="65"/>
  <c r="F16" i="15"/>
  <c r="J4" i="65"/>
  <c r="F40" i="15"/>
  <c r="B11" i="67"/>
  <c r="E8" i="67"/>
  <c r="E14" i="67"/>
  <c r="N5" i="65"/>
  <c r="I3" i="65"/>
  <c r="I6" i="65"/>
  <c r="F40" i="44"/>
  <c r="B13" i="67"/>
  <c r="L48" i="44"/>
  <c r="AB31" i="35" l="1"/>
  <c r="H26" i="35"/>
  <c r="J26" i="35"/>
  <c r="AC26" i="35" s="1"/>
  <c r="F26" i="35"/>
  <c r="W32" i="35"/>
  <c r="AB28" i="35"/>
  <c r="AC30" i="35"/>
  <c r="AC33" i="35"/>
  <c r="W29" i="35"/>
  <c r="AB20" i="35"/>
  <c r="AC20" i="35"/>
  <c r="AC16" i="35"/>
  <c r="AA14" i="35"/>
  <c r="AB14" i="35"/>
  <c r="W14" i="35"/>
  <c r="S8" i="35"/>
  <c r="H43" i="21"/>
  <c r="J43" i="21"/>
  <c r="F43" i="21"/>
  <c r="AC38" i="21"/>
  <c r="AC34" i="21"/>
  <c r="F23" i="21"/>
  <c r="AA23" i="21" s="1"/>
  <c r="J23" i="21"/>
  <c r="AC23" i="21" s="1"/>
  <c r="J15" i="21"/>
  <c r="AC15" i="21" s="1"/>
  <c r="AC40" i="21"/>
  <c r="W42" i="21"/>
  <c r="AA32" i="21"/>
  <c r="U42" i="21"/>
  <c r="S39" i="21"/>
  <c r="U39" i="21"/>
  <c r="U38" i="21"/>
  <c r="S35" i="21"/>
  <c r="AC35"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AC42" i="33"/>
  <c r="W42" i="33"/>
  <c r="W27" i="35"/>
  <c r="AC27" i="35"/>
  <c r="H9" i="36"/>
  <c r="J39" i="37"/>
  <c r="F39" i="37"/>
  <c r="H39" i="37"/>
  <c r="E100" i="39"/>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W31" i="35"/>
  <c r="AC31" i="35"/>
  <c r="BL569" i="3"/>
  <c r="BL567" i="3"/>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BL562" i="3"/>
  <c r="J47" i="34"/>
  <c r="J46" i="21"/>
  <c r="BL571" i="3"/>
  <c r="BA571" i="3"/>
  <c r="BL570" i="3"/>
  <c r="BN5" i="3"/>
  <c r="D42" i="46"/>
  <c r="H42" i="46" s="1"/>
  <c r="E20" i="6"/>
  <c r="G564" i="3"/>
  <c r="BL560" i="3"/>
  <c r="G547" i="3"/>
  <c r="BA524" i="3"/>
  <c r="BL523" i="3"/>
  <c r="BL522" i="3"/>
  <c r="AZ522" i="3" s="1"/>
  <c r="BL521" i="3"/>
  <c r="AZ521" i="3" s="1"/>
  <c r="BA521" i="3"/>
  <c r="BL520" i="3"/>
  <c r="BL519" i="3"/>
  <c r="BA519" i="3"/>
  <c r="BL517" i="3"/>
  <c r="BA517" i="3"/>
  <c r="AZ517" i="3" s="1"/>
  <c r="BL515" i="3"/>
  <c r="AZ515" i="3" s="1"/>
  <c r="BA514" i="3"/>
  <c r="BL513" i="3"/>
  <c r="BA513" i="3"/>
  <c r="BA512" i="3"/>
  <c r="BL511" i="3"/>
  <c r="AZ511" i="3" s="1"/>
  <c r="BL510" i="3"/>
  <c r="BA510" i="3"/>
  <c r="G510" i="3"/>
  <c r="BL509" i="3"/>
  <c r="AZ509" i="3" s="1"/>
  <c r="BA509" i="3"/>
  <c r="G509" i="3"/>
  <c r="G504" i="3"/>
  <c r="G503" i="3"/>
  <c r="BL501" i="3"/>
  <c r="BA501" i="3"/>
  <c r="BL499" i="3"/>
  <c r="AZ499" i="3" s="1"/>
  <c r="BA499" i="3"/>
  <c r="BL498" i="3"/>
  <c r="BA498" i="3"/>
  <c r="AZ498" i="3" s="1"/>
  <c r="BL497" i="3"/>
  <c r="AZ497" i="3" s="1"/>
  <c r="BA497" i="3"/>
  <c r="BA496" i="3"/>
  <c r="G496" i="3"/>
  <c r="BL495" i="3"/>
  <c r="BA495" i="3"/>
  <c r="BL494" i="3"/>
  <c r="BA494" i="3"/>
  <c r="AZ494" i="3" s="1"/>
  <c r="BA492" i="3"/>
  <c r="BL491" i="3"/>
  <c r="BA491" i="3"/>
  <c r="BA490" i="3"/>
  <c r="G490" i="3"/>
  <c r="G482" i="3"/>
  <c r="BA19" i="3"/>
  <c r="AZ552" i="3"/>
  <c r="AZ305" i="3"/>
  <c r="AZ300" i="3"/>
  <c r="AZ342" i="3"/>
  <c r="BL482" i="3"/>
  <c r="AZ482" i="3" s="1"/>
  <c r="BL502" i="3"/>
  <c r="BL564" i="3"/>
  <c r="U46" i="21"/>
  <c r="H26" i="33"/>
  <c r="U26" i="33" s="1"/>
  <c r="C29" i="39"/>
  <c r="F25" i="37"/>
  <c r="BL551" i="3"/>
  <c r="BA550" i="3"/>
  <c r="AZ550" i="3" s="1"/>
  <c r="G550" i="3"/>
  <c r="BL549" i="3"/>
  <c r="AZ549" i="3" s="1"/>
  <c r="BL548" i="3"/>
  <c r="BA548" i="3"/>
  <c r="BL547" i="3"/>
  <c r="BA546" i="3"/>
  <c r="BA544" i="3"/>
  <c r="BL543" i="3"/>
  <c r="AZ543" i="3" s="1"/>
  <c r="BA543" i="3"/>
  <c r="BL542" i="3"/>
  <c r="BA542" i="3"/>
  <c r="BA541" i="3"/>
  <c r="BA539" i="3"/>
  <c r="G539" i="3"/>
  <c r="BL537" i="3"/>
  <c r="BA537" i="3"/>
  <c r="AZ537" i="3" s="1"/>
  <c r="BL536" i="3"/>
  <c r="BL535" i="3"/>
  <c r="BA535" i="3"/>
  <c r="AZ535" i="3" s="1"/>
  <c r="BA534" i="3"/>
  <c r="BA533" i="3"/>
  <c r="BL531" i="3"/>
  <c r="BA531" i="3"/>
  <c r="BL530" i="3"/>
  <c r="BA530" i="3"/>
  <c r="BL529" i="3"/>
  <c r="BA529" i="3"/>
  <c r="AZ529" i="3" s="1"/>
  <c r="BL527" i="3"/>
  <c r="BA526" i="3"/>
  <c r="BL393" i="3"/>
  <c r="BL410" i="3"/>
  <c r="G424" i="3"/>
  <c r="G431" i="3"/>
  <c r="G434" i="3"/>
  <c r="G435" i="3"/>
  <c r="BL435" i="3"/>
  <c r="BA440" i="3"/>
  <c r="G444" i="3"/>
  <c r="BA464" i="3"/>
  <c r="G468" i="3"/>
  <c r="G472" i="3"/>
  <c r="G476" i="3"/>
  <c r="BA297" i="3"/>
  <c r="AZ297" i="3" s="1"/>
  <c r="BA321" i="3"/>
  <c r="AZ321" i="3" s="1"/>
  <c r="BL342" i="3"/>
  <c r="BL346" i="3"/>
  <c r="AZ346" i="3" s="1"/>
  <c r="G347" i="3"/>
  <c r="G363" i="3"/>
  <c r="BA415" i="3"/>
  <c r="BA417" i="3"/>
  <c r="BL417" i="3"/>
  <c r="BA432" i="3"/>
  <c r="C56" i="59"/>
  <c r="D55" i="59"/>
  <c r="BA556" i="3"/>
  <c r="G551" i="3"/>
  <c r="G523" i="3"/>
  <c r="G505" i="3"/>
  <c r="G497" i="3"/>
  <c r="BA481" i="3"/>
  <c r="AZ481" i="3" s="1"/>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AZ354" i="3" s="1"/>
  <c r="BL354" i="3"/>
  <c r="BA355" i="3"/>
  <c r="BL355" i="3"/>
  <c r="AZ355" i="3" s="1"/>
  <c r="BA356" i="3"/>
  <c r="BL356" i="3"/>
  <c r="G357" i="3"/>
  <c r="BL357" i="3"/>
  <c r="G358" i="3"/>
  <c r="BA358" i="3"/>
  <c r="BA359" i="3"/>
  <c r="BL359" i="3"/>
  <c r="AZ359" i="3" s="1"/>
  <c r="BA360" i="3"/>
  <c r="BA361" i="3"/>
  <c r="BL361" i="3"/>
  <c r="BA362" i="3"/>
  <c r="BL362" i="3"/>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AZ170" i="3" s="1"/>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AZ211" i="3" s="1"/>
  <c r="G215" i="3"/>
  <c r="BA217" i="3"/>
  <c r="G220" i="3"/>
  <c r="G224" i="3"/>
  <c r="G232" i="3"/>
  <c r="G237" i="3"/>
  <c r="G238" i="3"/>
  <c r="BA240" i="3"/>
  <c r="AZ240" i="3" s="1"/>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7"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31" i="3"/>
  <c r="AZ571" i="3"/>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2" i="3" s="1"/>
  <c r="AZ501" i="3"/>
  <c r="BA500" i="3"/>
  <c r="AZ496" i="3"/>
  <c r="AZ495" i="3"/>
  <c r="BA493" i="3"/>
  <c r="AZ493" i="3" s="1"/>
  <c r="AZ491" i="3"/>
  <c r="AZ490" i="3"/>
  <c r="BL481" i="3"/>
  <c r="BK5" i="3"/>
  <c r="AC5" i="3"/>
  <c r="AZ356" i="3"/>
  <c r="AZ358"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AB42" i="40"/>
  <c r="U42"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AA27" i="34"/>
  <c r="U40" i="40"/>
  <c r="AB40" i="40"/>
  <c r="W25" i="39"/>
  <c r="U39" i="39"/>
  <c r="AC15" i="34"/>
  <c r="W15" i="34"/>
  <c r="AC34" i="40"/>
  <c r="W34" i="40"/>
  <c r="S34" i="33"/>
  <c r="AA34" i="33"/>
  <c r="AA33" i="36"/>
  <c r="S33" i="36"/>
  <c r="AA46" i="34"/>
  <c r="W30" i="34"/>
  <c r="AC30" i="34"/>
  <c r="S26" i="21"/>
  <c r="W40" i="34"/>
  <c r="AB16" i="35"/>
  <c r="AA34" i="21"/>
  <c r="S34" i="21"/>
  <c r="AC39" i="21"/>
  <c r="S33" i="33"/>
  <c r="AA33" i="33"/>
  <c r="AA31" i="33"/>
  <c r="S31"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AZ533" i="3" s="1"/>
  <c r="BA532" i="3"/>
  <c r="BA528" i="3"/>
  <c r="AZ528" i="3" s="1"/>
  <c r="G521" i="3"/>
  <c r="AZ563" i="3"/>
  <c r="AC41" i="34"/>
  <c r="S46" i="33"/>
  <c r="J14" i="21"/>
  <c r="F14" i="21"/>
  <c r="AC33" i="33"/>
  <c r="W33" i="33"/>
  <c r="H27" i="33"/>
  <c r="J27" i="33"/>
  <c r="F27" i="33"/>
  <c r="S27" i="33" s="1"/>
  <c r="AA34" i="34"/>
  <c r="S34" i="34"/>
  <c r="U45" i="33"/>
  <c r="AB45" i="33"/>
  <c r="AC23" i="35"/>
  <c r="W23" i="35"/>
  <c r="BA558" i="3"/>
  <c r="AZ558" i="3" s="1"/>
  <c r="BL553" i="3"/>
  <c r="AZ553" i="3" s="1"/>
  <c r="U30" i="40"/>
  <c r="AZ378" i="3"/>
  <c r="AZ331" i="3"/>
  <c r="BL534" i="3"/>
  <c r="AA45" i="21"/>
  <c r="S45" i="21"/>
  <c r="U14" i="21"/>
  <c r="W34" i="36"/>
  <c r="H28" i="33"/>
  <c r="F28" i="33"/>
  <c r="J28" i="33"/>
  <c r="J45" i="33"/>
  <c r="F45" i="33"/>
  <c r="BA569" i="3"/>
  <c r="BA560" i="3"/>
  <c r="AZ560" i="3" s="1"/>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AZ448" i="3" s="1"/>
  <c r="BA458" i="3"/>
  <c r="BL460" i="3"/>
  <c r="BA468" i="3"/>
  <c r="BA478" i="3"/>
  <c r="BL480" i="3"/>
  <c r="BA279" i="3"/>
  <c r="G294" i="3"/>
  <c r="G548" i="3"/>
  <c r="BA395" i="3"/>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AZ248" i="3" s="1"/>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AZ416" i="3" s="1"/>
  <c r="G420" i="3"/>
  <c r="G421" i="3"/>
  <c r="G427" i="3"/>
  <c r="BA436" i="3"/>
  <c r="AZ436" i="3" s="1"/>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AZ255" i="3" s="1"/>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AZ412" i="3" s="1"/>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AZ190" i="3" s="1"/>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AZ54" i="3" s="1"/>
  <c r="BL57" i="3"/>
  <c r="BA64" i="3"/>
  <c r="BA69" i="3"/>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AZ63" i="3" s="1"/>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AZ78" i="3" s="1"/>
  <c r="BA80" i="3"/>
  <c r="BL81" i="3"/>
  <c r="BL82" i="3"/>
  <c r="BA91" i="3"/>
  <c r="BA93" i="3"/>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BA127" i="3"/>
  <c r="AZ127" i="3" s="1"/>
  <c r="G130" i="3"/>
  <c r="BL136" i="3"/>
  <c r="G149" i="3"/>
  <c r="BL149" i="3"/>
  <c r="BA159" i="3"/>
  <c r="G172" i="3"/>
  <c r="G181" i="3"/>
  <c r="BA186" i="3"/>
  <c r="AZ186" i="3" s="1"/>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AZ539" i="3"/>
  <c r="O40" i="9"/>
  <c r="K31" i="9" s="1"/>
  <c r="K32" i="9" s="1"/>
  <c r="AZ526" i="3"/>
  <c r="H5" i="3"/>
  <c r="BA570" i="3"/>
  <c r="AZ570" i="3" s="1"/>
  <c r="BE5" i="3"/>
  <c r="B94" i="46"/>
  <c r="B84" i="46"/>
  <c r="AZ340" i="3"/>
  <c r="AZ329" i="3"/>
  <c r="AC28" i="34"/>
  <c r="AZ514" i="3"/>
  <c r="AZ546" i="3"/>
  <c r="AZ555" i="3"/>
  <c r="AA27" i="33"/>
  <c r="AB40" i="37"/>
  <c r="W35" i="35"/>
  <c r="AC31" i="34"/>
  <c r="J9" i="33"/>
  <c r="F9" i="33"/>
  <c r="H9" i="33"/>
  <c r="AZ506" i="3"/>
  <c r="AZ567" i="3"/>
  <c r="AZ370" i="3"/>
  <c r="AZ362" i="3"/>
  <c r="AZ344" i="3"/>
  <c r="AZ304" i="3"/>
  <c r="AZ323" i="3"/>
  <c r="AZ327" i="3"/>
  <c r="S27" i="37"/>
  <c r="AZ542" i="3"/>
  <c r="AB31" i="33"/>
  <c r="AB30" i="21"/>
  <c r="AA38" i="37"/>
  <c r="W8" i="21"/>
  <c r="J9" i="35"/>
  <c r="F12" i="35"/>
  <c r="H26" i="37"/>
  <c r="F26" i="37"/>
  <c r="AZ372" i="3"/>
  <c r="AZ307" i="3"/>
  <c r="AC23" i="37"/>
  <c r="AZ524" i="3"/>
  <c r="AZ532" i="3"/>
  <c r="AZ556" i="3"/>
  <c r="AB13" i="21"/>
  <c r="W46" i="33"/>
  <c r="BF5" i="3"/>
  <c r="J12" i="33"/>
  <c r="F12" i="33"/>
  <c r="H12" i="33"/>
  <c r="H34" i="35"/>
  <c r="J34" i="35"/>
  <c r="F34" i="35"/>
  <c r="BA572" i="3"/>
  <c r="B101" i="46"/>
  <c r="B79" i="46"/>
  <c r="F9" i="36"/>
  <c r="G567" i="3"/>
  <c r="G563" i="3"/>
  <c r="AZ400" i="3"/>
  <c r="AZ440" i="3"/>
  <c r="AZ456" i="3"/>
  <c r="AZ468" i="3"/>
  <c r="AZ476" i="3"/>
  <c r="AZ480" i="3"/>
  <c r="AZ318" i="3"/>
  <c r="AZ334" i="3"/>
  <c r="BA351" i="3"/>
  <c r="BL360" i="3"/>
  <c r="AZ360" i="3" s="1"/>
  <c r="BL366" i="3"/>
  <c r="AZ366" i="3" s="1"/>
  <c r="BL376" i="3"/>
  <c r="AZ376" i="3" s="1"/>
  <c r="BL382" i="3"/>
  <c r="AZ382" i="3" s="1"/>
  <c r="BL388" i="3"/>
  <c r="BA207" i="3"/>
  <c r="AZ207" i="3" s="1"/>
  <c r="BL208" i="3"/>
  <c r="AZ208" i="3" s="1"/>
  <c r="BL212" i="3"/>
  <c r="AZ212" i="3" s="1"/>
  <c r="BA215" i="3"/>
  <c r="BL216" i="3"/>
  <c r="AZ216" i="3" s="1"/>
  <c r="BL220" i="3"/>
  <c r="AZ220" i="3" s="1"/>
  <c r="BA223" i="3"/>
  <c r="AZ223" i="3" s="1"/>
  <c r="BL224" i="3"/>
  <c r="BL228" i="3"/>
  <c r="AZ228" i="3" s="1"/>
  <c r="BL229" i="3"/>
  <c r="G231" i="3"/>
  <c r="BA389" i="3"/>
  <c r="AZ389" i="3" s="1"/>
  <c r="BA393" i="3"/>
  <c r="AZ393" i="3" s="1"/>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AZ213" i="3" s="1"/>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BL459" i="3"/>
  <c r="AZ459" i="3" s="1"/>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AZ386" i="3" s="1"/>
  <c r="BL387" i="3"/>
  <c r="BA206" i="3"/>
  <c r="BA210" i="3"/>
  <c r="BL211" i="3"/>
  <c r="BA214" i="3"/>
  <c r="AZ214" i="3" s="1"/>
  <c r="BA218" i="3"/>
  <c r="BL219" i="3"/>
  <c r="BA222" i="3"/>
  <c r="BA226" i="3"/>
  <c r="AZ226" i="3" s="1"/>
  <c r="BL227" i="3"/>
  <c r="AZ227" i="3" s="1"/>
  <c r="AZ117" i="3"/>
  <c r="AZ125" i="3"/>
  <c r="BA149" i="3"/>
  <c r="AZ149" i="3" s="1"/>
  <c r="BL233" i="3"/>
  <c r="BL237" i="3"/>
  <c r="BL241" i="3"/>
  <c r="AZ241" i="3" s="1"/>
  <c r="BL245" i="3"/>
  <c r="AZ245" i="3" s="1"/>
  <c r="BL249" i="3"/>
  <c r="AZ249" i="3" s="1"/>
  <c r="BL253" i="3"/>
  <c r="BL257" i="3"/>
  <c r="AZ257" i="3" s="1"/>
  <c r="BL261" i="3"/>
  <c r="BL265" i="3"/>
  <c r="BA272" i="3"/>
  <c r="AZ272" i="3" s="1"/>
  <c r="BA280" i="3"/>
  <c r="BA288" i="3"/>
  <c r="AZ288" i="3" s="1"/>
  <c r="BA296" i="3"/>
  <c r="BL113" i="3"/>
  <c r="BA120" i="3"/>
  <c r="AZ120" i="3" s="1"/>
  <c r="BL122" i="3"/>
  <c r="AZ122" i="3" s="1"/>
  <c r="BA128" i="3"/>
  <c r="AZ128" i="3" s="1"/>
  <c r="BL129" i="3"/>
  <c r="BA136" i="3"/>
  <c r="BL138" i="3"/>
  <c r="AZ138" i="3" s="1"/>
  <c r="BA144" i="3"/>
  <c r="AZ144" i="3" s="1"/>
  <c r="BL145" i="3"/>
  <c r="BL153" i="3"/>
  <c r="AZ153" i="3" s="1"/>
  <c r="BA269" i="3"/>
  <c r="AZ269" i="3" s="1"/>
  <c r="BA273" i="3"/>
  <c r="AZ273" i="3" s="1"/>
  <c r="BA277" i="3"/>
  <c r="AZ277" i="3" s="1"/>
  <c r="BA281" i="3"/>
  <c r="BA285" i="3"/>
  <c r="AZ285" i="3" s="1"/>
  <c r="BA289" i="3"/>
  <c r="AZ289" i="3" s="1"/>
  <c r="BA293" i="3"/>
  <c r="BL294" i="3"/>
  <c r="BL116" i="3"/>
  <c r="AZ116" i="3" s="1"/>
  <c r="BA121" i="3"/>
  <c r="BL124" i="3"/>
  <c r="BL132" i="3"/>
  <c r="BA137" i="3"/>
  <c r="AZ137" i="3" s="1"/>
  <c r="BL140" i="3"/>
  <c r="BL148" i="3"/>
  <c r="BA152" i="3"/>
  <c r="AZ152" i="3" s="1"/>
  <c r="BA230" i="3"/>
  <c r="AZ230" i="3" s="1"/>
  <c r="BA234" i="3"/>
  <c r="AZ234" i="3" s="1"/>
  <c r="BL235" i="3"/>
  <c r="BA238" i="3"/>
  <c r="AZ238" i="3" s="1"/>
  <c r="BA242" i="3"/>
  <c r="AZ242" i="3" s="1"/>
  <c r="BL243" i="3"/>
  <c r="BA246" i="3"/>
  <c r="AZ246" i="3" s="1"/>
  <c r="BA250" i="3"/>
  <c r="BL251" i="3"/>
  <c r="AZ251" i="3" s="1"/>
  <c r="BA254" i="3"/>
  <c r="AZ254" i="3" s="1"/>
  <c r="BA258" i="3"/>
  <c r="BL259" i="3"/>
  <c r="BA262" i="3"/>
  <c r="BA266" i="3"/>
  <c r="AZ266" i="3" s="1"/>
  <c r="BL267" i="3"/>
  <c r="AZ267" i="3" s="1"/>
  <c r="BA270" i="3"/>
  <c r="BL271" i="3"/>
  <c r="AZ271" i="3" s="1"/>
  <c r="BA274" i="3"/>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AZ198" i="3" s="1"/>
  <c r="BA201" i="3"/>
  <c r="AZ201" i="3" s="1"/>
  <c r="BA202" i="3"/>
  <c r="BL23" i="3"/>
  <c r="BL27" i="3"/>
  <c r="BA30" i="3"/>
  <c r="BA34" i="3"/>
  <c r="BL39" i="3"/>
  <c r="AZ39" i="3" s="1"/>
  <c r="BL43" i="3"/>
  <c r="BA46" i="3"/>
  <c r="BA50" i="3"/>
  <c r="BL55" i="3"/>
  <c r="AZ55" i="3" s="1"/>
  <c r="BA57" i="3"/>
  <c r="AZ57" i="3" s="1"/>
  <c r="BL58" i="3"/>
  <c r="AZ58" i="3" s="1"/>
  <c r="BA60" i="3"/>
  <c r="AZ60" i="3" s="1"/>
  <c r="BL61" i="3"/>
  <c r="AZ61" i="3" s="1"/>
  <c r="BA68" i="3"/>
  <c r="BL69" i="3"/>
  <c r="BA75" i="3"/>
  <c r="BL76" i="3"/>
  <c r="BA79" i="3"/>
  <c r="AZ79" i="3" s="1"/>
  <c r="BL80" i="3"/>
  <c r="AZ80" i="3" s="1"/>
  <c r="BA89" i="3"/>
  <c r="AZ89" i="3" s="1"/>
  <c r="BL93" i="3"/>
  <c r="BL99" i="3"/>
  <c r="BA109" i="3"/>
  <c r="AZ109" i="3" s="1"/>
  <c r="G112" i="3"/>
  <c r="AZ172" i="3"/>
  <c r="BL183" i="3"/>
  <c r="BL191" i="3"/>
  <c r="BL199" i="3"/>
  <c r="BL204" i="3"/>
  <c r="AZ204" i="3" s="1"/>
  <c r="BL24" i="3"/>
  <c r="AZ24" i="3" s="1"/>
  <c r="BL36" i="3"/>
  <c r="BL40" i="3"/>
  <c r="AZ40" i="3" s="1"/>
  <c r="BL52" i="3"/>
  <c r="AZ52" i="3" s="1"/>
  <c r="BL56" i="3"/>
  <c r="AZ56" i="3" s="1"/>
  <c r="BL59" i="3"/>
  <c r="BA65" i="3"/>
  <c r="AZ65" i="3" s="1"/>
  <c r="BL70" i="3"/>
  <c r="BA72" i="3"/>
  <c r="BL73" i="3"/>
  <c r="AZ73" i="3" s="1"/>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BL45" i="3"/>
  <c r="BA48" i="3"/>
  <c r="BL49" i="3"/>
  <c r="AZ49" i="3" s="1"/>
  <c r="BA62" i="3"/>
  <c r="AZ62" i="3" s="1"/>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AZ41" i="3" s="1"/>
  <c r="BL42" i="3"/>
  <c r="AZ42" i="3" s="1"/>
  <c r="BA53" i="3"/>
  <c r="AZ53" i="3" s="1"/>
  <c r="BL54" i="3"/>
  <c r="BL84" i="3"/>
  <c r="AZ84" i="3" s="1"/>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AZ97" i="3" s="1"/>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AZ98" i="3" s="1"/>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O23" i="46"/>
  <c r="A1" i="70"/>
  <c r="H50" i="46"/>
  <c r="H51" i="46"/>
  <c r="H56" i="46"/>
  <c r="H55" i="46"/>
  <c r="H58" i="46"/>
  <c r="H53" i="46"/>
  <c r="H54" i="46"/>
  <c r="BA13" i="3"/>
  <c r="AZ20" i="3"/>
  <c r="AZ484" i="3"/>
  <c r="AZ395" i="3"/>
  <c r="AZ405" i="3"/>
  <c r="AZ413" i="3"/>
  <c r="AZ417" i="3"/>
  <c r="AZ437" i="3"/>
  <c r="AZ447" i="3"/>
  <c r="AZ465" i="3"/>
  <c r="AZ473" i="3"/>
  <c r="BT5" i="3"/>
  <c r="BI5" i="3"/>
  <c r="BG5" i="3"/>
  <c r="AZ219" i="3"/>
  <c r="AZ243" i="3"/>
  <c r="AZ259" i="3"/>
  <c r="AZ168" i="3"/>
  <c r="AZ176" i="3"/>
  <c r="AZ29" i="3"/>
  <c r="AZ33" i="3"/>
  <c r="AZ45" i="3"/>
  <c r="AZ69" i="3"/>
  <c r="AZ76"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6" i="46"/>
  <c r="P28" i="46"/>
  <c r="B67" i="40" s="1"/>
  <c r="P27" i="46"/>
  <c r="P29" i="46"/>
  <c r="B72" i="39" s="1"/>
  <c r="P25" i="46"/>
  <c r="J1" i="65"/>
  <c r="F67" i="15"/>
  <c r="L59" i="15"/>
  <c r="L60" i="44"/>
  <c r="Q72" i="15"/>
  <c r="C4" i="65"/>
  <c r="B39" i="1" s="1"/>
  <c r="F15" i="44"/>
  <c r="F13" i="15"/>
  <c r="L49" i="44"/>
  <c r="F43" i="15"/>
  <c r="M9" i="15"/>
  <c r="F28" i="44"/>
  <c r="F10" i="44"/>
  <c r="M29" i="15"/>
  <c r="M11" i="44"/>
  <c r="F43" i="44"/>
  <c r="F42" i="15"/>
  <c r="J17" i="44"/>
  <c r="E2" i="65"/>
  <c r="F7" i="15"/>
  <c r="F18" i="44"/>
  <c r="F9" i="44"/>
  <c r="F37" i="15"/>
  <c r="F26" i="15"/>
  <c r="M26" i="44"/>
  <c r="F38" i="15"/>
  <c r="M8" i="44"/>
  <c r="F8" i="44"/>
  <c r="L48" i="15"/>
  <c r="M24" i="15"/>
  <c r="M31" i="44"/>
  <c r="M30" i="44"/>
  <c r="F38" i="44"/>
  <c r="F11" i="44"/>
  <c r="F45" i="44"/>
  <c r="M10" i="44"/>
  <c r="F8" i="15"/>
  <c r="F39" i="44"/>
  <c r="M24" i="44"/>
  <c r="M6" i="15"/>
  <c r="M28" i="15"/>
  <c r="J15" i="15"/>
  <c r="F36" i="15"/>
  <c r="E3" i="65"/>
  <c r="I54" i="15" l="1"/>
  <c r="W26" i="35"/>
  <c r="S26" i="35"/>
  <c r="AA26" i="35"/>
  <c r="AB26" i="35"/>
  <c r="U26" i="35"/>
  <c r="AA9" i="35"/>
  <c r="AC43" i="21"/>
  <c r="W43" i="21"/>
  <c r="W23" i="21"/>
  <c r="W15" i="21"/>
  <c r="W14" i="39"/>
  <c r="F49" i="15"/>
  <c r="M7" i="15"/>
  <c r="M17" i="15" s="1"/>
  <c r="M6" i="1"/>
  <c r="E8" i="6"/>
  <c r="E53" i="40" s="1"/>
  <c r="F50" i="15"/>
  <c r="C6" i="15"/>
  <c r="C32" i="15" s="1"/>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AZ562" i="3"/>
  <c r="AZ564" i="3"/>
  <c r="AA34" i="40"/>
  <c r="S34" i="40"/>
  <c r="S32" i="36"/>
  <c r="AA32" i="36"/>
  <c r="AC14" i="33"/>
  <c r="W14" i="33"/>
  <c r="AB39" i="37"/>
  <c r="U39" i="37"/>
  <c r="U29" i="21"/>
  <c r="AB29" i="21"/>
  <c r="AB27" i="34"/>
  <c r="U27" i="34"/>
  <c r="C44" i="46"/>
  <c r="G28" i="6"/>
  <c r="G30" i="6" s="1"/>
  <c r="G31" i="6" s="1"/>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E29" i="6" s="1"/>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E61" i="46"/>
  <c r="B59" i="46" s="1"/>
  <c r="E50" i="46"/>
  <c r="B48" i="46" s="1"/>
  <c r="C28" i="46" s="1"/>
  <c r="E17" i="46"/>
  <c r="C17" i="46" s="1"/>
  <c r="C7" i="46"/>
  <c r="E10" i="6"/>
  <c r="E14" i="6"/>
  <c r="E65" i="39" s="1"/>
  <c r="E13" i="6"/>
  <c r="E59" i="40" s="1"/>
  <c r="E11" i="6"/>
  <c r="E28" i="6"/>
  <c r="G5" i="3"/>
  <c r="B3" i="3" s="1"/>
  <c r="AT6" i="3" s="1"/>
  <c r="H7" i="34"/>
  <c r="U7" i="34" s="1"/>
  <c r="F7" i="34"/>
  <c r="AA7" i="34" s="1"/>
  <c r="R49" i="34" s="1"/>
  <c r="J7" i="34"/>
  <c r="W7" i="34" s="1"/>
  <c r="F7" i="21"/>
  <c r="AA7" i="21" s="1"/>
  <c r="H7" i="21"/>
  <c r="AB7" i="21" s="1"/>
  <c r="B12" i="59"/>
  <c r="S13" i="59"/>
  <c r="F58" i="15"/>
  <c r="H7" i="35"/>
  <c r="U7" i="35" s="1"/>
  <c r="B40" i="1"/>
  <c r="L36" i="46" s="1"/>
  <c r="E64" i="40"/>
  <c r="D66" i="40"/>
  <c r="W7" i="33"/>
  <c r="J7" i="37"/>
  <c r="D71" i="39"/>
  <c r="E69" i="39"/>
  <c r="H7" i="33"/>
  <c r="F7" i="33"/>
  <c r="J46" i="36"/>
  <c r="J7" i="35"/>
  <c r="F7" i="35"/>
  <c r="H7" i="37"/>
  <c r="F7" i="37"/>
  <c r="F17" i="11"/>
  <c r="C17" i="11" s="1"/>
  <c r="C19" i="11" s="1"/>
  <c r="Q62" i="15"/>
  <c r="Q75" i="15"/>
  <c r="M13" i="44"/>
  <c r="J12" i="44" s="1"/>
  <c r="F11" i="15"/>
  <c r="M11" i="15"/>
  <c r="F13" i="44"/>
  <c r="C12" i="44" s="1"/>
  <c r="M32" i="46"/>
  <c r="P32" i="46"/>
  <c r="O32" i="46"/>
  <c r="N32" i="46"/>
  <c r="Q63" i="44"/>
  <c r="Q76" i="44"/>
  <c r="AE6" i="1"/>
  <c r="AE12" i="1"/>
  <c r="AE7" i="1"/>
  <c r="AE9" i="1"/>
  <c r="AE10" i="1"/>
  <c r="AE11" i="1"/>
  <c r="AE8" i="1"/>
  <c r="C16" i="15"/>
  <c r="F46" i="44"/>
  <c r="C18" i="44"/>
  <c r="G16" i="1" l="1"/>
  <c r="J12" i="40" s="1"/>
  <c r="E58" i="39"/>
  <c r="E62" i="39"/>
  <c r="E39" i="9"/>
  <c r="G35" i="9" s="1"/>
  <c r="C43" i="9" s="1"/>
  <c r="K47" i="9" s="1"/>
  <c r="A14" i="55" s="1"/>
  <c r="B65" i="63" s="1"/>
  <c r="K14" i="1"/>
  <c r="M14" i="1" s="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O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M27" i="15"/>
  <c r="F41" i="15"/>
  <c r="M29" i="44"/>
  <c r="K16" i="1" l="1"/>
  <c r="D16" i="43"/>
  <c r="C16" i="43" s="1"/>
  <c r="C33" i="21"/>
  <c r="F68" i="15"/>
  <c r="F31" i="6"/>
  <c r="D33" i="46" s="1"/>
  <c r="D1" i="46" s="1"/>
  <c r="J5" i="15"/>
  <c r="J24" i="15" s="1"/>
  <c r="C22" i="11"/>
  <c r="C23" i="11" s="1"/>
  <c r="B2" i="11" s="1"/>
  <c r="B3" i="11" s="1"/>
  <c r="C47" i="15"/>
  <c r="C65" i="15" s="1"/>
  <c r="AB13" i="39"/>
  <c r="U13" i="39"/>
  <c r="S13" i="39"/>
  <c r="AA13" i="39"/>
  <c r="F21" i="43"/>
  <c r="F33" i="12"/>
  <c r="C34" i="12" s="1"/>
  <c r="D33" i="12" s="1"/>
  <c r="AC13" i="39"/>
  <c r="W13" i="39"/>
  <c r="AY6" i="3"/>
  <c r="AY496" i="3" s="1"/>
  <c r="E6" i="6"/>
  <c r="D45" i="9"/>
  <c r="C21" i="4"/>
  <c r="O5" i="54" s="1"/>
  <c r="B45" i="63" s="1"/>
  <c r="L38" i="9"/>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444" i="3"/>
  <c r="AY472" i="3"/>
  <c r="AY557" i="3"/>
  <c r="AY361" i="3"/>
  <c r="AY555" i="3"/>
  <c r="AY248" i="3"/>
  <c r="AY192" i="3"/>
  <c r="AY430" i="3"/>
  <c r="AY402" i="3"/>
  <c r="AY333" i="3"/>
  <c r="AY562" i="3"/>
  <c r="AY494" i="3"/>
  <c r="AY39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17" i="15"/>
  <c r="F7" i="67"/>
  <c r="AY47" i="3" l="1"/>
  <c r="AY283" i="3"/>
  <c r="AY356" i="3"/>
  <c r="AY403" i="3"/>
  <c r="AY569" i="3"/>
  <c r="AY394" i="3"/>
  <c r="AY428" i="3"/>
  <c r="AY161" i="3"/>
  <c r="AY486" i="3"/>
  <c r="AY186" i="3"/>
  <c r="AY173" i="3"/>
  <c r="AY550" i="3"/>
  <c r="AY479" i="3"/>
  <c r="AY458" i="3"/>
  <c r="AY470" i="3"/>
  <c r="AY97" i="3"/>
  <c r="AY544" i="3"/>
  <c r="AY43" i="3"/>
  <c r="AY407" i="3"/>
  <c r="AY274" i="3"/>
  <c r="AY72" i="3"/>
  <c r="AY369" i="3"/>
  <c r="AY469" i="3"/>
  <c r="AY275" i="3"/>
  <c r="AY279" i="3"/>
  <c r="AY290" i="3"/>
  <c r="AY28" i="3"/>
  <c r="AY341" i="3"/>
  <c r="AY265" i="3"/>
  <c r="AY168" i="3"/>
  <c r="AY563" i="3"/>
  <c r="AY180" i="3"/>
  <c r="AY142" i="3"/>
  <c r="AY95" i="3"/>
  <c r="AY15" i="3"/>
  <c r="BJ6" i="3"/>
  <c r="AY81" i="3"/>
  <c r="AY217" i="3"/>
  <c r="AY124" i="3"/>
  <c r="AY316" i="3"/>
  <c r="AY247" i="3"/>
  <c r="AY375" i="3"/>
  <c r="AY475" i="3"/>
  <c r="AY490" i="3"/>
  <c r="AY260" i="3"/>
  <c r="AY568" i="3"/>
  <c r="AY134" i="3"/>
  <c r="AY521" i="3"/>
  <c r="AY476" i="3"/>
  <c r="AY368" i="3"/>
  <c r="AY199" i="3"/>
  <c r="AY440" i="3"/>
  <c r="AY110" i="3"/>
  <c r="AY284" i="3"/>
  <c r="AY491" i="3"/>
  <c r="AY352" i="3"/>
  <c r="AY137" i="3"/>
  <c r="AY358" i="3"/>
  <c r="AY267" i="3"/>
  <c r="AY502" i="3"/>
  <c r="AY296" i="3"/>
  <c r="AY474" i="3"/>
  <c r="AY198" i="3"/>
  <c r="AY397" i="3"/>
  <c r="AY62" i="3"/>
  <c r="AY307" i="3"/>
  <c r="AY191"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144" i="3"/>
  <c r="AY49" i="3"/>
  <c r="AY294" i="3"/>
  <c r="AY302" i="3"/>
  <c r="AY543" i="3"/>
  <c r="AY556" i="3"/>
  <c r="AY424" i="3"/>
  <c r="BD6" i="3"/>
  <c r="AY329" i="3"/>
  <c r="BQ6" i="3"/>
  <c r="AY477" i="3"/>
  <c r="AY541" i="3"/>
  <c r="AY306" i="3"/>
  <c r="AY237" i="3"/>
  <c r="AY48" i="3"/>
  <c r="AY454" i="3"/>
  <c r="AY362" i="3"/>
  <c r="AY512" i="3"/>
  <c r="AY214" i="3"/>
  <c r="AY271" i="3"/>
  <c r="AY245" i="3"/>
  <c r="AY20" i="3"/>
  <c r="AY559" i="3"/>
  <c r="AY281" i="3"/>
  <c r="AY297" i="3"/>
  <c r="AY228" i="3"/>
  <c r="AY54" i="3"/>
  <c r="BG6" i="3"/>
  <c r="AY354" i="3"/>
  <c r="AY256" i="3"/>
  <c r="AY531" i="3"/>
  <c r="AY351" i="3"/>
  <c r="AY495" i="3"/>
  <c r="AY571" i="3"/>
  <c r="AY419" i="3"/>
  <c r="AY98" i="3"/>
  <c r="AY85" i="3"/>
  <c r="BP6" i="3"/>
  <c r="AY344" i="3"/>
  <c r="AY545" i="3"/>
  <c r="AY509" i="3"/>
  <c r="AY338" i="3"/>
  <c r="AY441" i="3"/>
  <c r="AY73" i="3"/>
  <c r="AY116" i="3"/>
  <c r="AY111" i="3"/>
  <c r="AY388" i="3"/>
  <c r="AY208" i="3"/>
  <c r="AY483" i="3"/>
  <c r="AY322" i="3"/>
  <c r="AY468" i="3"/>
  <c r="AY18" i="3"/>
  <c r="AY312" i="3"/>
  <c r="AY165" i="3"/>
  <c r="AY121" i="3"/>
  <c r="AY438" i="3"/>
  <c r="AY485" i="3"/>
  <c r="AY63" i="3"/>
  <c r="AY339" i="3"/>
  <c r="AY532" i="3"/>
  <c r="AY426" i="3"/>
  <c r="AY170" i="3"/>
  <c r="AY471" i="3"/>
  <c r="AY480" i="3"/>
  <c r="AY223" i="3"/>
  <c r="AY433" i="3"/>
  <c r="AY564" i="3"/>
  <c r="AY79" i="3"/>
  <c r="AY530" i="3"/>
  <c r="AY262" i="3"/>
  <c r="AY379" i="3"/>
  <c r="AY155" i="3"/>
  <c r="AY330" i="3"/>
  <c r="AY75" i="3"/>
  <c r="AY393" i="3"/>
  <c r="AY255" i="3"/>
  <c r="AY71" i="3"/>
  <c r="AY366" i="3"/>
  <c r="AY455" i="3"/>
  <c r="AY349" i="3"/>
  <c r="AY450" i="3"/>
  <c r="AY414" i="3"/>
  <c r="AY193" i="3"/>
  <c r="AY131" i="3"/>
  <c r="AY370" i="3"/>
  <c r="AY536" i="3"/>
  <c r="AY102" i="3"/>
  <c r="AY345" i="3"/>
  <c r="AY231" i="3"/>
  <c r="AY270" i="3"/>
  <c r="AY289" i="3"/>
  <c r="AY534" i="3"/>
  <c r="AY497" i="3"/>
  <c r="AY492" i="3"/>
  <c r="AY242" i="3"/>
  <c r="AY500" i="3"/>
  <c r="AY138" i="3"/>
  <c r="AY335" i="3"/>
  <c r="AY464" i="3"/>
  <c r="AY106" i="3"/>
  <c r="AY37" i="3"/>
  <c r="AY83" i="3"/>
  <c r="AY264" i="3"/>
  <c r="AY202" i="3"/>
  <c r="AY169" i="3"/>
  <c r="AY115" i="3"/>
  <c r="AY542" i="3"/>
  <c r="AY143" i="3"/>
  <c r="AY516" i="3"/>
  <c r="AY537" i="3"/>
  <c r="AY381" i="3"/>
  <c r="AY269" i="3"/>
  <c r="BC6" i="3"/>
  <c r="AY114" i="3"/>
  <c r="AY378" i="3"/>
  <c r="AY96" i="3"/>
  <c r="AY360" i="3"/>
  <c r="AY439" i="3"/>
  <c r="AY33" i="3"/>
  <c r="AY23" i="3"/>
  <c r="AY391" i="3"/>
  <c r="AY298"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112" i="3"/>
  <c r="AY252" i="3"/>
  <c r="AY529" i="3"/>
  <c r="AY213" i="3"/>
  <c r="BT6" i="3"/>
  <c r="BB6" i="3"/>
  <c r="AY149" i="3"/>
  <c r="AY201" i="3"/>
  <c r="AY304"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36" i="3"/>
  <c r="AY326" i="3"/>
  <c r="AY389" i="3"/>
  <c r="AY91" i="3"/>
  <c r="AY38" i="3"/>
  <c r="AY27" i="3"/>
  <c r="AY206" i="3"/>
  <c r="AY452" i="3"/>
  <c r="AY167" i="3"/>
  <c r="AY522" i="3"/>
  <c r="AY61" i="3"/>
  <c r="AY499" i="3"/>
  <c r="AY421"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431" i="3"/>
  <c r="B14" i="66"/>
  <c r="B1" i="66" s="1"/>
  <c r="AY211" i="3"/>
  <c r="BA6" i="3"/>
  <c r="AY219" i="3"/>
  <c r="AY158" i="3"/>
  <c r="AY273" i="3"/>
  <c r="AY437" i="3"/>
  <c r="AY254" i="3"/>
  <c r="AY432" i="3"/>
  <c r="AY22" i="3"/>
  <c r="AY176" i="3"/>
  <c r="AY25" i="3"/>
  <c r="AY246" i="3"/>
  <c r="AY442" i="3"/>
  <c r="AY400" i="3"/>
  <c r="AY141" i="3"/>
  <c r="AY416" i="3"/>
  <c r="AY100" i="3"/>
  <c r="AY549" i="3"/>
  <c r="AY295" i="3"/>
  <c r="AY207" i="3"/>
  <c r="AY552" i="3"/>
  <c r="BF6" i="3"/>
  <c r="AY68" i="3"/>
  <c r="AY387" i="3"/>
  <c r="AY514" i="3"/>
  <c r="AY59" i="3"/>
  <c r="AY292" i="3"/>
  <c r="AY160" i="3"/>
  <c r="AY13" i="3"/>
  <c r="AY178" i="3"/>
  <c r="AY109" i="3"/>
  <c r="AY420" i="3"/>
  <c r="AY348" i="3"/>
  <c r="AY425" i="3"/>
  <c r="AY128" i="3"/>
  <c r="AY39" i="3"/>
  <c r="AY320" i="3"/>
  <c r="AY152" i="3"/>
  <c r="AY220" i="3"/>
  <c r="AY478" i="3"/>
  <c r="AY177" i="3"/>
  <c r="AY533" i="3"/>
  <c r="AY517" i="3"/>
  <c r="AY145" i="3"/>
  <c r="AY449" i="3"/>
  <c r="AY373" i="3"/>
  <c r="AY251" i="3"/>
  <c r="AY566" i="3"/>
  <c r="AY26" i="3"/>
  <c r="AY380" i="3"/>
  <c r="AY371" i="3"/>
  <c r="AY46" i="3"/>
  <c r="AY515" i="3"/>
  <c r="AY24" i="3"/>
  <c r="AY282" i="3"/>
  <c r="AY257" i="3"/>
  <c r="AY204" i="3"/>
  <c r="AY147" i="3"/>
  <c r="AY218" i="3"/>
  <c r="AY465" i="3"/>
  <c r="AY123" i="3"/>
  <c r="AY481" i="3"/>
  <c r="AY305" i="3"/>
  <c r="AY50" i="3"/>
  <c r="AY343" i="3"/>
  <c r="AY234" i="3"/>
  <c r="AY159" i="3"/>
  <c r="AY291" i="3"/>
  <c r="AY525" i="3"/>
  <c r="AY29" i="3"/>
  <c r="AY461" i="3"/>
  <c r="AY540" i="3"/>
  <c r="AY84" i="3"/>
  <c r="AY313" i="3"/>
  <c r="AY507" i="3"/>
  <c r="AY473" i="3"/>
  <c r="AY225" i="3"/>
  <c r="AY156" i="3"/>
  <c r="AY457" i="3"/>
  <c r="AY448" i="3"/>
  <c r="AY236" i="3"/>
  <c r="AY230" i="3"/>
  <c r="AY398" i="3"/>
  <c r="AY277" i="3"/>
  <c r="AY82" i="3"/>
  <c r="AY278" i="3"/>
  <c r="AY166" i="3"/>
  <c r="AY417" i="3"/>
  <c r="AY404" i="3"/>
  <c r="AY93" i="3"/>
  <c r="AY300" i="3"/>
  <c r="AY462" i="3"/>
  <c r="AY151" i="3"/>
  <c r="AY14" i="3"/>
  <c r="AY376" i="3"/>
  <c r="AY235" i="3"/>
  <c r="AY244" i="3"/>
  <c r="AY240" i="3"/>
  <c r="AY221" i="3"/>
  <c r="AY446" i="3"/>
  <c r="AY148" i="3"/>
  <c r="AY443" i="3"/>
  <c r="AY64" i="3"/>
  <c r="AY493" i="3"/>
  <c r="AY359" i="3"/>
  <c r="AY172" i="3"/>
  <c r="BI6" i="3"/>
  <c r="AY318" i="3"/>
  <c r="AY34" i="3"/>
  <c r="AY321" i="3"/>
  <c r="AY374" i="3"/>
  <c r="AY99" i="3"/>
  <c r="AY272" i="3"/>
  <c r="AY459" i="3"/>
  <c r="AY250" i="3"/>
  <c r="AY118" i="3"/>
  <c r="AY58" i="3"/>
  <c r="AY422" i="3"/>
  <c r="AY386" i="3"/>
  <c r="AY319" i="3"/>
  <c r="AY519" i="3"/>
  <c r="AY484" i="3"/>
  <c r="AY276" i="3"/>
  <c r="AY125" i="3"/>
  <c r="AY215" i="3"/>
  <c r="AY551" i="3"/>
  <c r="AY249" i="3"/>
  <c r="AY558" i="3"/>
  <c r="AY122" i="3"/>
  <c r="AY232" i="3"/>
  <c r="AY308" i="3"/>
  <c r="AY30" i="3"/>
  <c r="AY364" i="3"/>
  <c r="AY45" i="3"/>
  <c r="D3" i="6"/>
  <c r="F1" i="46" s="1"/>
  <c r="AY35" i="3"/>
  <c r="AY32" i="3"/>
  <c r="AY287" i="3"/>
  <c r="AY327" i="3"/>
  <c r="AY334" i="3"/>
  <c r="AY19" i="3"/>
  <c r="AY51" i="3"/>
  <c r="AY453" i="3"/>
  <c r="AY266" i="3"/>
  <c r="AY135" i="3"/>
  <c r="AY90" i="3"/>
  <c r="AY200" i="3"/>
  <c r="AY153" i="3"/>
  <c r="H33" i="21"/>
  <c r="J33" i="21"/>
  <c r="F33" i="21"/>
  <c r="C59" i="15"/>
  <c r="B5" i="11"/>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7" i="66" l="1"/>
  <c r="C8" i="66"/>
  <c r="U33" i="21"/>
  <c r="AB33" i="21"/>
  <c r="T48" i="21" s="1"/>
  <c r="G48" i="21" s="1"/>
  <c r="H21" i="6"/>
  <c r="S33" i="21"/>
  <c r="AA33" i="21"/>
  <c r="R48" i="21" s="1"/>
  <c r="B2" i="66"/>
  <c r="D7" i="66" s="1"/>
  <c r="C14" i="66"/>
  <c r="AC33" i="21"/>
  <c r="V48" i="21" s="1"/>
  <c r="I48" i="21" s="1"/>
  <c r="W33" i="21"/>
  <c r="B2" i="35"/>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8" i="66"/>
  <c r="D16" i="6"/>
  <c r="R20" i="6"/>
  <c r="R7" i="1" s="1"/>
  <c r="C17" i="43"/>
  <c r="C14" i="43"/>
  <c r="C14" i="12"/>
  <c r="C17" i="12"/>
  <c r="I64" i="40"/>
  <c r="H66" i="40"/>
  <c r="H71" i="39"/>
  <c r="I69" i="39"/>
  <c r="N46" i="36"/>
  <c r="E3" i="67"/>
  <c r="B2" i="67"/>
  <c r="F35" i="15"/>
  <c r="F37" i="44"/>
  <c r="M23" i="44"/>
  <c r="M21" i="15"/>
  <c r="G53" i="21" l="1"/>
  <c r="H53" i="21" s="1"/>
  <c r="G52" i="21"/>
  <c r="H52" i="21" s="1"/>
  <c r="R49" i="21"/>
  <c r="E48" i="21"/>
  <c r="I52" i="21"/>
  <c r="J52" i="21" s="1"/>
  <c r="T10" i="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F7" i="36"/>
  <c r="H7" i="36"/>
  <c r="J64" i="40"/>
  <c r="I66" i="40"/>
  <c r="J69" i="39"/>
  <c r="I71" i="39"/>
  <c r="B3" i="67"/>
  <c r="B4" i="67"/>
  <c r="C16" i="44"/>
  <c r="C14" i="15"/>
  <c r="E53" i="21" l="1"/>
  <c r="F53" i="21" s="1"/>
  <c r="E52" i="21"/>
  <c r="F52" i="21" s="1"/>
  <c r="C48" i="21"/>
  <c r="C8" i="12" s="1"/>
  <c r="C10" i="12" s="1"/>
  <c r="C49" i="21"/>
  <c r="B3" i="21" s="1"/>
  <c r="B2" i="21" s="1"/>
  <c r="I53" i="21"/>
  <c r="J53" i="21" s="1"/>
  <c r="Z7" i="46"/>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1" i="9"/>
  <c r="D20"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<sst xmlns="http://schemas.openxmlformats.org/spreadsheetml/2006/main" count="8302" uniqueCount="3713">
  <si>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</si>
  <si>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</si>
  <si>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</si>
  <si>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</si>
  <si>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</si>
  <si>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</si>
  <si>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</si>
  <si>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</si>
  <si>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</si>
  <si>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</si>
  <si>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</si>
  <si>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</si>
  <si>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</si>
  <si>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</si>
  <si>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</si>
  <si>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</si>
  <si>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</si>
  <si>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</si>
  <si>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</si>
  <si>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</si>
  <si>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</si>
  <si>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</si>
  <si>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</si>
  <si>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</si>
  <si>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</si>
  <si>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</si>
  <si>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</si>
  <si>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</si>
  <si>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</si>
  <si>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</si>
  <si>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</si>
  <si>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</si>
  <si>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</si>
  <si>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</si>
  <si>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</si>
  <si>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</si>
  <si>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</si>
  <si>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</si>
  <si>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</si>
  <si>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</si>
  <si>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</si>
  <si>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</si>
  <si>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</si>
  <si>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</si>
  <si>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</si>
  <si>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</si>
  <si>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</si>
  <si>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</si>
  <si>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</si>
  <si>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</si>
  <si>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</si>
  <si>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</si>
  <si>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</si>
  <si>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</si>
  <si>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</si>
  <si>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</si>
  <si>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</si>
  <si>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</si>
  <si>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</si>
  <si>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</si>
  <si>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</si>
  <si>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</si>
  <si>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</si>
  <si>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</si>
  <si>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</si>
  <si>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</si>
  <si>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</si>
  <si>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</si>
  <si>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</si>
  <si>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</si>
  <si>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</si>
  <si>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</si>
  <si>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</si>
  <si>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</si>
  <si>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</si>
  <si>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</si>
  <si>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</si>
  <si>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</si>
  <si>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</si>
  <si>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</si>
  <si>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</si>
  <si>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</si>
  <si>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</si>
  <si>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</si>
  <si>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</si>
  <si>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</si>
  <si>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</si>
  <si>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</si>
  <si>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</si>
  <si>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</si>
  <si>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</si>
  <si>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</si>
  <si>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</si>
  <si>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</si>
  <si>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</si>
  <si>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</si>
  <si>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</si>
  <si>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</si>
  <si>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</si>
  <si>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</si>
  <si>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</si>
  <si>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</si>
  <si>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</si>
  <si>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</si>
  <si>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</si>
  <si>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</si>
  <si>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</si>
  <si>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</si>
  <si>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</si>
  <si>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</si>
  <si>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</si>
  <si>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</si>
  <si>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</si>
  <si>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</si>
  <si>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</si>
  <si>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</si>
  <si>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</si>
  <si>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</si>
  <si>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</si>
  <si>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</si>
  <si>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</si>
  <si>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</si>
  <si>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</si>
  <si>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</si>
  <si>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</si>
  <si>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</si>
  <si>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</si>
  <si>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</si>
  <si>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</si>
  <si>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</si>
  <si>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</si>
  <si>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</si>
  <si>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</si>
  <si>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</si>
  <si>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</si>
  <si>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</si>
  <si>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</si>
  <si>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</si>
  <si>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</si>
  <si>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</si>
  <si>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</si>
  <si>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</si>
  <si>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</si>
  <si>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</si>
  <si>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</si>
  <si>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</si>
  <si>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</si>
  <si>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</si>
  <si>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</si>
  <si>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</si>
  <si>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</si>
  <si>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</si>
  <si>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</si>
  <si>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</si>
  <si>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</si>
  <si>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</si>
  <si>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</si>
  <si>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</si>
  <si>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</si>
  <si>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</si>
  <si>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</si>
  <si>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</si>
  <si>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</si>
  <si>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</si>
  <si>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</si>
  <si>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</si>
  <si>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</si>
  <si>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</si>
  <si>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</si>
  <si>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</si>
  <si>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</si>
  <si>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</si>
  <si>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</si>
  <si>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</si>
  <si>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</si>
  <si>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</si>
  <si>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</si>
  <si>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</si>
  <si>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</si>
  <si>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</si>
  <si>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</si>
  <si>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</si>
  <si>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</si>
  <si>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</si>
  <si>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</si>
  <si>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</si>
  <si>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</si>
  <si>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</si>
  <si>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</si>
  <si>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</si>
  <si>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</si>
  <si>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</si>
  <si>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</si>
  <si>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</si>
  <si>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</si>
  <si>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</si>
  <si>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</si>
  <si>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</si>
  <si>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</si>
  <si>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</si>
  <si>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</si>
  <si>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</si>
  <si>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</si>
  <si>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</si>
  <si>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</si>
  <si>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</si>
  <si>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</si>
  <si>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</si>
  <si>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</si>
  <si>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</si>
  <si>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</si>
  <si>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</si>
  <si>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</si>
  <si>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</si>
  <si>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</si>
  <si>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</si>
  <si>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</si>
  <si>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</si>
  <si>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</si>
  <si>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</si>
  <si>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</si>
  <si>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</si>
  <si>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</si>
  <si>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</si>
  <si>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</si>
  <si>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</si>
  <si>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</si>
  <si>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</si>
  <si>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</si>
  <si>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</si>
  <si>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</si>
  <si>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</si>
  <si>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</si>
  <si>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</si>
  <si>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</si>
  <si>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</si>
  <si>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</si>
  <si>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</si>
  <si>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</si>
  <si>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</si>
  <si>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</si>
  <si>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</si>
  <si>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</si>
  <si>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</si>
  <si>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</si>
  <si>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</si>
  <si>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</si>
  <si>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</si>
  <si>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</si>
  <si>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</si>
  <si>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</si>
  <si>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</si>
  <si>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</si>
  <si>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</si>
  <si>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</si>
  <si>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</si>
  <si>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</si>
  <si>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</si>
  <si>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</si>
  <si>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</si>
  <si>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</si>
  <si>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</si>
  <si>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</si>
  <si>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</si>
  <si>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</si>
  <si>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</si>
  <si>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</si>
  <si>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</si>
  <si>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</si>
  <si>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</si>
  <si>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</si>
  <si>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</si>
  <si>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</si>
  <si>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</si>
  <si>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</si>
  <si>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</si>
  <si>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</si>
  <si>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</si>
  <si>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</si>
  <si>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</si>
  <si>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</si>
  <si>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</si>
  <si>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</si>
  <si>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</si>
  <si>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</si>
  <si>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</si>
  <si>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</si>
  <si>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</si>
  <si>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</si>
  <si>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</si>
  <si>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</si>
  <si>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</si>
  <si>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</si>
  <si>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</si>
  <si>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</si>
  <si>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</si>
  <si>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</si>
  <si>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</si>
  <si>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</si>
  <si>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</si>
  <si>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</si>
  <si>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</si>
  <si>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</si>
  <si>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</si>
  <si>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</si>
  <si>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</si>
  <si>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</si>
  <si>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</si>
  <si>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</si>
  <si>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</si>
  <si>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</si>
  <si>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</si>
  <si>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</si>
  <si>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</si>
  <si>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</si>
  <si>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</si>
  <si>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</si>
  <si>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</si>
  <si>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</si>
  <si>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</si>
  <si>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</si>
  <si>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</si>
  <si>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</si>
  <si>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</si>
  <si>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</si>
  <si>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</si>
  <si>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</si>
  <si>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</si>
  <si>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</si>
  <si>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</si>
  <si>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</si>
  <si>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</si>
  <si>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</si>
  <si>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</si>
  <si>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</si>
  <si>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</si>
  <si>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</si>
  <si>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</si>
  <si>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</si>
  <si>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</si>
  <si>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</si>
  <si>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</si>
  <si>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</si>
  <si>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</si>
  <si>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</si>
  <si>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</si>
  <si>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</si>
  <si>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</si>
  <si>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</si>
  <si>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</si>
  <si>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</si>
  <si>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</si>
  <si>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</si>
  <si>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</si>
  <si>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</si>
  <si>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</si>
  <si>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</si>
  <si>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</si>
  <si>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</si>
  <si>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</si>
  <si>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</si>
  <si>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</si>
  <si>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</si>
  <si>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</si>
  <si>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</si>
  <si>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</si>
  <si>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</si>
  <si>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</si>
  <si>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</si>
  <si>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</si>
  <si>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</si>
  <si>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</si>
  <si>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</si>
  <si>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</si>
  <si>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</si>
  <si>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</si>
  <si>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</si>
  <si>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</si>
  <si>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</si>
  <si>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</si>
  <si>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</si>
  <si>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</si>
  <si>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</si>
  <si>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</si>
  <si>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</si>
  <si>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</si>
  <si>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</si>
  <si>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</si>
  <si>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</si>
  <si>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</si>
  <si>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</si>
  <si>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</si>
  <si>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</si>
  <si>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</si>
  <si>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</si>
  <si>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</si>
  <si>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</si>
  <si>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</si>
  <si>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</si>
  <si>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</si>
  <si>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</si>
  <si>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</si>
  <si>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</si>
  <si>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</si>
  <si>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</si>
  <si>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</si>
  <si>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</si>
  <si>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</si>
  <si>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</si>
  <si>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</si>
  <si>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</si>
  <si>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</si>
  <si>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</si>
  <si>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</si>
  <si>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</si>
  <si>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</si>
  <si>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</si>
  <si>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</si>
  <si>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</si>
  <si>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</si>
  <si>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</si>
  <si>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</si>
  <si>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</si>
  <si>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</si>
  <si>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</si>
  <si>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</si>
  <si>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</si>
  <si>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</si>
  <si>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</si>
  <si>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</si>
  <si>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</si>
  <si>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</si>
  <si>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</si>
  <si>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</si>
  <si>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</si>
  <si>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</si>
  <si>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</si>
  <si>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</si>
  <si>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</si>
  <si>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</si>
  <si>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</si>
  <si>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</si>
  <si>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</si>
  <si>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</si>
  <si>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</si>
  <si>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</si>
  <si>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</si>
  <si>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</si>
  <si>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</si>
  <si>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</si>
  <si>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</si>
  <si>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</si>
  <si>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</si>
  <si>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</si>
  <si>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</si>
  <si>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</si>
  <si>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</si>
  <si>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</si>
  <si>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</si>
  <si>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</si>
  <si>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</si>
  <si>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</si>
  <si>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</si>
  <si>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</si>
  <si>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</si>
  <si>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</si>
  <si>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</si>
  <si>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</si>
  <si>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</si>
  <si>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</si>
  <si>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</si>
  <si>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</si>
  <si>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</si>
  <si>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</si>
  <si>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</si>
  <si>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</si>
  <si>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</si>
  <si>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</si>
  <si>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</si>
  <si>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</si>
  <si>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</si>
  <si>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</si>
  <si>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</si>
  <si>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</si>
  <si>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</si>
  <si>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</si>
  <si>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</si>
  <si>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</si>
  <si>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</si>
  <si>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</si>
  <si>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</si>
  <si>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</si>
  <si>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</si>
  <si>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</si>
  <si>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</si>
  <si>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</si>
  <si>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</si>
  <si>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</si>
  <si>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</si>
  <si>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</si>
  <si>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</si>
  <si>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</si>
  <si>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</si>
  <si>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</si>
  <si>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</si>
  <si>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</si>
  <si>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</si>
  <si>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</si>
  <si>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</si>
  <si>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</si>
  <si>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</si>
  <si>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</si>
  <si>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</si>
  <si>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</si>
  <si>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</si>
  <si>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</si>
  <si>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</si>
  <si>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</si>
  <si>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</si>
  <si>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</si>
  <si>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</si>
  <si>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</si>
  <si>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</si>
  <si>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</si>
  <si>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</si>
  <si>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</si>
  <si>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</si>
  <si>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</si>
  <si>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</si>
  <si>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</si>
  <si>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</si>
  <si>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</si>
  <si>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</si>
  <si>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</si>
  <si>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</si>
  <si>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</si>
  <si>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</si>
  <si>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</si>
  <si>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</si>
  <si>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</si>
  <si>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</si>
  <si>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</si>
  <si>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</si>
  <si>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</si>
  <si>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</si>
  <si>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</si>
  <si>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</si>
  <si>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</si>
  <si>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</si>
  <si>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</si>
  <si>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</si>
  <si>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</si>
  <si>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</si>
  <si>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</si>
  <si>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</si>
  <si>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</si>
  <si>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</si>
  <si>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</si>
  <si>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</si>
  <si>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</si>
  <si>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</si>
  <si>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</si>
  <si>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</si>
  <si>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</si>
  <si>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</si>
  <si>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</si>
  <si>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</si>
  <si>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</si>
  <si>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</si>
  <si>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</si>
  <si>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</si>
  <si>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</si>
  <si>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</si>
  <si>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</si>
  <si>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</si>
  <si>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</si>
  <si>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</si>
  <si>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</si>
  <si>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</si>
  <si>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</si>
  <si>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</si>
  <si>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</si>
  <si>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</si>
  <si>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</si>
  <si>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</si>
  <si>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</si>
  <si>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</si>
  <si>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</si>
  <si>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</si>
  <si>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</si>
  <si>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</si>
  <si>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</si>
  <si>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</si>
  <si>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</si>
  <si>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</si>
  <si>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</si>
  <si>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</si>
  <si>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</si>
  <si>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</si>
  <si>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</si>
  <si>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</si>
  <si>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</si>
  <si>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</si>
  <si>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</si>
  <si>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</si>
  <si>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</si>
  <si>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</si>
  <si>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</si>
  <si>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</si>
  <si>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</si>
  <si>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</si>
  <si>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</si>
  <si>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</si>
  <si>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</si>
  <si>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</si>
  <si>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</si>
  <si>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</si>
  <si>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</si>
  <si>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</si>
  <si>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</si>
  <si>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</si>
  <si>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</si>
  <si>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</si>
  <si>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</si>
  <si>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</si>
  <si>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</si>
  <si>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</si>
  <si>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</si>
  <si>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</si>
  <si>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</si>
  <si>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</si>
  <si>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</si>
  <si>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</si>
  <si>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</si>
  <si>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</si>
  <si>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</si>
  <si>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</si>
  <si>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</si>
  <si>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</si>
  <si>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</si>
  <si>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</si>
  <si>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</si>
  <si>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</si>
  <si>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</si>
  <si>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</si>
  <si>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</si>
  <si>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</si>
  <si>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</si>
  <si>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</si>
  <si>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</si>
  <si>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</si>
  <si>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</si>
  <si>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</si>
  <si>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</si>
  <si>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</si>
  <si>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</si>
  <si>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</si>
  <si>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</si>
  <si>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</si>
  <si>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</si>
  <si>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</si>
  <si>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</si>
  <si>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</si>
  <si>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</si>
  <si>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</si>
  <si>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</si>
  <si>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</si>
  <si>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</si>
  <si>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</si>
  <si>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</si>
  <si>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</si>
  <si>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</si>
  <si>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</si>
  <si>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</si>
  <si>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</si>
  <si>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</si>
  <si>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</si>
  <si>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</si>
  <si>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</si>
  <si>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</si>
  <si>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</si>
  <si>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</si>
  <si>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</si>
  <si>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</si>
  <si>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</si>
  <si>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</si>
  <si>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</si>
  <si>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</si>
  <si>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</si>
  <si>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</si>
  <si>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</si>
  <si>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</si>
  <si>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</si>
  <si>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</si>
  <si>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</si>
  <si>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</si>
  <si>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</si>
  <si>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</si>
  <si>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</si>
  <si>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</si>
  <si>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</si>
  <si>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</si>
  <si>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</si>
  <si>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</si>
  <si>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</si>
  <si>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</si>
  <si>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</si>
  <si>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</si>
  <si>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</si>
  <si>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</si>
  <si>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</si>
  <si>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</si>
  <si>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</si>
  <si>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</si>
  <si>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</si>
  <si>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</si>
  <si>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</si>
  <si>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</si>
  <si>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</si>
  <si>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</si>
  <si>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</si>
  <si>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</si>
  <si>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</si>
  <si>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</si>
  <si>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</si>
  <si>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</si>
  <si>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</si>
  <si>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</si>
  <si>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</si>
  <si>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</si>
  <si>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</si>
  <si>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</si>
  <si>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</si>
  <si>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</si>
  <si>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</si>
  <si>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</si>
  <si>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</si>
  <si>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</si>
  <si>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</si>
  <si>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</si>
  <si>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</si>
  <si>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</si>
  <si>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</si>
  <si>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</si>
  <si>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</si>
  <si>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</si>
  <si>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</si>
  <si>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</si>
  <si>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</si>
  <si>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</si>
  <si>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</si>
  <si>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</si>
  <si>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</si>
  <si>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</si>
  <si>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</si>
  <si>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</si>
  <si>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</si>
  <si>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</si>
  <si>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</si>
  <si>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</si>
  <si>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</si>
  <si>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</si>
  <si>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</si>
  <si>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</si>
  <si>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</si>
  <si>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</si>
  <si>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</si>
  <si>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</si>
  <si>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</si>
  <si>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</si>
  <si>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</si>
  <si>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</si>
  <si>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</si>
  <si>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</si>
  <si>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</si>
  <si>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</si>
  <si>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</si>
  <si>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</si>
  <si>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</si>
  <si>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</si>
  <si>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</si>
  <si>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</si>
  <si>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</si>
  <si>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</si>
  <si>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</si>
  <si>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</si>
  <si>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</si>
  <si>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</si>
  <si>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</si>
  <si>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</si>
  <si>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</si>
  <si>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</si>
  <si>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</si>
  <si>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</si>
  <si>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</si>
  <si>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</si>
  <si>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</si>
  <si>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</si>
  <si>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</si>
  <si>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</si>
  <si>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</si>
  <si>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</si>
  <si>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</si>
  <si>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</si>
  <si>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</si>
  <si>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</si>
  <si>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</si>
  <si>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</si>
  <si>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</si>
  <si>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</si>
  <si>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</si>
  <si>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</si>
  <si>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</si>
  <si>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</si>
  <si>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</si>
  <si>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</si>
  <si>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</si>
  <si>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</si>
  <si>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</si>
  <si>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</si>
  <si>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</si>
  <si>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</si>
  <si>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</si>
  <si>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</si>
  <si>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</si>
  <si>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</si>
  <si>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</si>
  <si>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</si>
  <si>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</si>
  <si>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</si>
  <si>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</si>
  <si>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</si>
  <si>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</si>
  <si>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</si>
  <si>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</si>
  <si>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</si>
  <si>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</si>
  <si>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</si>
  <si>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</si>
  <si>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</si>
  <si>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</si>
  <si>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</si>
  <si>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</si>
  <si>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</si>
  <si>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</si>
  <si>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</si>
  <si>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</si>
  <si>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</si>
  <si>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</si>
  <si>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</si>
  <si>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</si>
  <si>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</si>
  <si>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</si>
  <si>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</si>
  <si>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</si>
  <si>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</si>
  <si>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</si>
  <si>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</si>
  <si>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</si>
  <si>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</si>
  <si>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</si>
  <si>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</si>
  <si>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</si>
  <si>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</si>
  <si>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</si>
  <si>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</si>
  <si>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</si>
  <si>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</si>
  <si>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</si>
  <si>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</si>
  <si>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</si>
  <si>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</si>
  <si>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</si>
  <si>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</si>
  <si>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</si>
  <si>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</si>
  <si>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</si>
  <si>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</si>
  <si>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</si>
  <si>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</si>
  <si>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</si>
  <si>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</si>
  <si>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</si>
  <si>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</si>
  <si>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</si>
  <si>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</si>
  <si>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</si>
  <si>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</si>
  <si>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</si>
  <si>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</si>
  <si>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</si>
  <si>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</si>
  <si>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</si>
  <si>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</si>
  <si>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</si>
  <si>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</si>
  <si>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</si>
  <si>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</si>
  <si>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</si>
  <si>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</si>
  <si>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</si>
  <si>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</si>
  <si>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</si>
  <si>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</si>
  <si>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</si>
  <si>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</si>
  <si>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</si>
  <si>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</si>
  <si>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</si>
  <si>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</si>
  <si>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</si>
  <si>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</si>
  <si>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</si>
  <si>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</si>
  <si>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</si>
  <si>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</si>
  <si>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</si>
  <si>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</si>
  <si>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</si>
  <si>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</si>
  <si>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</si>
  <si>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</si>
  <si>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</si>
  <si>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</si>
  <si>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</si>
  <si>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</si>
  <si>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</si>
  <si>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</si>
  <si>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</si>
  <si>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</si>
  <si>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</si>
  <si>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</si>
  <si>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</si>
  <si>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</si>
  <si>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</si>
  <si>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</si>
  <si>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</si>
  <si>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</si>
  <si>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</si>
  <si>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</si>
  <si>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</si>
  <si>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</si>
  <si>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</si>
  <si>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</si>
  <si>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</si>
  <si>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</si>
  <si>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</si>
  <si>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</si>
  <si>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</si>
  <si>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</si>
  <si>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</si>
  <si>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</si>
  <si>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</si>
  <si>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</si>
  <si>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</si>
  <si>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</si>
  <si>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</si>
  <si>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</si>
  <si>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</si>
  <si>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</si>
  <si>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</si>
  <si>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</si>
  <si>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</si>
  <si>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</si>
  <si>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</si>
  <si>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</si>
  <si>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</si>
  <si>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</si>
  <si>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</si>
  <si>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</si>
  <si>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</si>
  <si>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</si>
  <si>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</si>
  <si>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</si>
  <si>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</si>
  <si>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</si>
  <si>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</si>
  <si>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</si>
  <si>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</si>
  <si>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</si>
  <si>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</si>
  <si>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</si>
  <si>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</si>
  <si>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</si>
  <si>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</si>
  <si>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</si>
  <si>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</si>
  <si>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</si>
  <si>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</si>
  <si>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</si>
  <si>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</si>
  <si>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</si>
  <si>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</si>
  <si>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</si>
  <si>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</si>
  <si>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</si>
  <si>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</si>
  <si>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</si>
  <si>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</si>
  <si>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</si>
  <si>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</si>
  <si>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</si>
  <si>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</si>
  <si>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</si>
  <si>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</si>
  <si>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</si>
  <si>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</si>
  <si>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</si>
  <si>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</si>
  <si>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</si>
  <si>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</si>
  <si>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</si>
  <si>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</si>
  <si>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</si>
  <si>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</si>
  <si>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</si>
  <si>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</si>
  <si>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</si>
  <si>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</si>
  <si>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</si>
  <si>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</si>
  <si>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</si>
  <si>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</si>
  <si>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</si>
  <si>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</si>
  <si>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</si>
  <si>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</si>
  <si>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</si>
  <si>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</si>
  <si>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</si>
  <si>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</si>
  <si>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</si>
  <si>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</si>
  <si>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</si>
  <si>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</si>
  <si>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</si>
  <si>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</si>
  <si>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</si>
  <si>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</si>
  <si>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</si>
  <si>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</si>
  <si>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</si>
  <si>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</si>
  <si>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</si>
  <si>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</si>
  <si>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</si>
  <si>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</si>
  <si>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</si>
  <si>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</si>
  <si>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</si>
  <si>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</si>
  <si>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</si>
  <si>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</si>
  <si>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</si>
  <si>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</si>
  <si>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</si>
  <si>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</si>
  <si>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</si>
  <si>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</si>
  <si>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</si>
  <si>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</si>
  <si>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</si>
  <si>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</si>
  <si>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</si>
  <si>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</si>
  <si>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</si>
  <si>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</si>
  <si>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</si>
  <si>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</si>
  <si>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</si>
  <si>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</si>
  <si>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</si>
  <si>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</si>
  <si>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</si>
  <si>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</si>
  <si>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</si>
  <si>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</si>
  <si>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</si>
  <si>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</si>
  <si>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</si>
  <si>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</si>
  <si>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</si>
  <si>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</si>
  <si>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</si>
  <si>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</si>
  <si>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</si>
  <si>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</si>
  <si>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</si>
  <si>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</si>
  <si>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</si>
  <si>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</si>
  <si>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</si>
  <si>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</si>
  <si>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</si>
  <si>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</si>
  <si>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</si>
  <si>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</si>
  <si>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</si>
  <si>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</si>
  <si>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</si>
  <si>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</si>
  <si>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</si>
  <si>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</si>
  <si>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</si>
  <si>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</si>
  <si>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</si>
  <si>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</si>
  <si>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</si>
  <si>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</si>
  <si>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</si>
  <si>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</si>
  <si>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</si>
  <si>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</si>
  <si>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</si>
  <si>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</si>
  <si>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</si>
  <si>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</si>
  <si>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</si>
  <si>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</si>
  <si>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</si>
  <si>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</si>
  <si>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</si>
  <si>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</si>
  <si>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</si>
  <si>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</si>
  <si>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</si>
  <si>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</si>
  <si>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</si>
  <si>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</si>
  <si>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</si>
  <si>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</si>
  <si>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</si>
  <si>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</si>
  <si>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</si>
  <si>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</si>
  <si>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</si>
  <si>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</si>
  <si>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</si>
  <si>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</si>
  <si>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</si>
  <si>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</si>
  <si>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</si>
  <si>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</si>
  <si>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</si>
  <si>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</si>
  <si>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</si>
  <si>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</si>
  <si>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</si>
  <si>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</si>
  <si>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</si>
  <si>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</si>
  <si>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</si>
  <si>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</si>
  <si>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</si>
  <si>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</si>
  <si>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</si>
  <si>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</si>
  <si>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</si>
  <si>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</si>
  <si>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</si>
  <si>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</si>
  <si>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</si>
  <si>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</si>
  <si>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</si>
  <si>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</si>
  <si>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</si>
  <si>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</si>
  <si>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</si>
  <si>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</si>
  <si>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</si>
  <si>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</si>
  <si>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</si>
  <si>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</si>
  <si>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</si>
  <si>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</si>
  <si>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</si>
  <si>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</si>
  <si>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</si>
  <si>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</si>
  <si>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</si>
  <si>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</si>
  <si>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</si>
  <si>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</si>
  <si>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</si>
  <si>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</si>
  <si>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</si>
  <si>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</si>
  <si>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</si>
  <si>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</si>
  <si>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</si>
  <si>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</si>
  <si>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</si>
  <si>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</si>
  <si>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</si>
  <si>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</si>
  <si>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</si>
  <si>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</si>
  <si>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</si>
  <si>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</si>
  <si>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</si>
  <si>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</si>
  <si>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</si>
  <si>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</si>
  <si>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</si>
  <si>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</si>
  <si>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</si>
  <si>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</si>
  <si>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</si>
  <si>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</si>
  <si>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</si>
  <si>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</si>
  <si>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</si>
  <si>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</si>
  <si>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</si>
  <si>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</si>
  <si>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</si>
  <si>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</si>
  <si>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</si>
  <si>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</si>
  <si>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</si>
  <si>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</si>
  <si>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</si>
  <si>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</si>
  <si>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</si>
  <si>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</si>
  <si>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</si>
  <si>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</si>
  <si>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</si>
  <si>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</si>
  <si>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</si>
  <si>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</si>
  <si>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</si>
  <si>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</si>
  <si>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</si>
  <si>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</si>
  <si>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</si>
  <si>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</si>
  <si>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</si>
  <si>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</si>
  <si>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</si>
  <si>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</si>
  <si>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</si>
  <si>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</si>
  <si>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</si>
  <si>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</si>
  <si>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</si>
  <si>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</si>
  <si>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</si>
  <si>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</si>
  <si>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</si>
  <si>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</si>
  <si>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</si>
  <si>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</si>
  <si>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</si>
  <si>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</si>
  <si>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</si>
  <si>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</si>
  <si>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</si>
  <si>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</si>
  <si>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</si>
  <si>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</si>
  <si>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</si>
  <si>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</si>
  <si>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</si>
  <si>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</si>
  <si>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</si>
  <si>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</si>
  <si>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</si>
  <si>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</si>
  <si>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</si>
  <si>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</si>
  <si>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</si>
  <si>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</si>
  <si>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</si>
  <si>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</si>
  <si>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</si>
  <si>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</si>
  <si>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</si>
  <si>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</si>
  <si>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</si>
  <si>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</si>
  <si>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</si>
  <si>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</si>
  <si>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</si>
  <si>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</si>
  <si>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</si>
  <si>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</si>
  <si>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</si>
  <si>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</si>
  <si>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</si>
  <si>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</si>
  <si>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</si>
  <si>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</si>
  <si>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</si>
  <si>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</si>
  <si>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</si>
  <si>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</si>
  <si>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</si>
  <si>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</si>
  <si>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</si>
  <si>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</si>
  <si>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</si>
  <si>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</si>
  <si>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</si>
  <si>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</si>
  <si>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</si>
  <si>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</si>
  <si>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</si>
  <si>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</si>
  <si>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</si>
  <si>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</si>
  <si>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</si>
  <si>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</si>
  <si>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</si>
  <si>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</si>
  <si>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</si>
  <si>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</si>
  <si>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</si>
  <si>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</si>
  <si>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</si>
  <si>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</si>
  <si>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</si>
  <si>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</si>
  <si>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</si>
  <si>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</si>
  <si>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</si>
  <si>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</si>
  <si>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</si>
  <si>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</si>
  <si>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</si>
  <si>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</si>
  <si>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</si>
  <si>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</si>
  <si>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</si>
  <si>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</si>
  <si>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</si>
  <si>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</si>
  <si>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</si>
  <si>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</si>
  <si>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</si>
  <si>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</si>
  <si>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</si>
  <si>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</si>
  <si>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</si>
  <si>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</si>
  <si>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</si>
  <si>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</si>
  <si>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</si>
  <si>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</si>
  <si>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</si>
  <si>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</si>
  <si>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</si>
  <si>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</si>
  <si>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</si>
  <si>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</si>
  <si>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</si>
  <si>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</si>
  <si>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</si>
  <si>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</si>
  <si>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</si>
  <si>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</si>
  <si>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</si>
  <si>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</si>
  <si>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</si>
  <si>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</si>
  <si>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</si>
  <si>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</si>
  <si>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</si>
  <si>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</si>
  <si>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</si>
  <si>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</si>
  <si>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</si>
  <si>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</si>
  <si>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</si>
  <si>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</si>
  <si>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</si>
  <si>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</si>
  <si>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</si>
  <si>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</si>
  <si>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</si>
  <si>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</si>
  <si>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</si>
  <si>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</si>
  <si>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</si>
  <si>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</si>
  <si>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</si>
  <si>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</si>
  <si>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</si>
  <si>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</si>
  <si>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</si>
  <si>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</si>
  <si>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</si>
  <si>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</si>
  <si>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</si>
  <si>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</si>
  <si>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</si>
  <si>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</si>
  <si>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</si>
  <si>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</si>
  <si>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</si>
  <si>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</si>
  <si>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</si>
  <si>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</si>
  <si>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</si>
  <si>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</si>
  <si>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</si>
  <si>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</si>
  <si>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</si>
  <si>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</si>
  <si>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</si>
  <si>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</si>
  <si>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</si>
  <si>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</si>
  <si>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</si>
  <si>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</si>
  <si>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</si>
  <si>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</si>
  <si>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</si>
  <si>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</si>
  <si>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</si>
  <si>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</si>
  <si>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</si>
  <si>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</si>
  <si>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</si>
  <si>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</si>
  <si>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</si>
  <si>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</si>
  <si>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</si>
  <si>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</si>
  <si>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</si>
  <si>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</si>
  <si>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</si>
  <si>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</si>
  <si>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</si>
  <si>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</si>
  <si>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</si>
  <si>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</si>
  <si>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</si>
  <si>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</si>
  <si>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</si>
  <si>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</si>
  <si>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</si>
  <si>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</si>
  <si>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</si>
  <si>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</si>
  <si>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</si>
  <si>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</si>
  <si>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</si>
  <si>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</si>
  <si>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</si>
  <si>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</si>
  <si>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</si>
  <si>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</si>
  <si>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</si>
  <si>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</si>
  <si>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</si>
  <si>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</si>
  <si>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</si>
  <si>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</si>
  <si>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</si>
  <si>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</si>
  <si>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</si>
  <si>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</si>
  <si>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</si>
  <si>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</si>
  <si>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</si>
  <si>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</si>
  <si>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</si>
  <si>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</si>
  <si>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</si>
  <si>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</si>
  <si>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</si>
  <si>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</si>
  <si>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</si>
  <si>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</si>
  <si>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</si>
  <si>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</si>
  <si>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</si>
  <si>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</si>
  <si>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</si>
  <si>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</si>
  <si>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</si>
  <si>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</si>
  <si>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</si>
  <si>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</si>
  <si>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</si>
  <si>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</si>
  <si>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</si>
  <si>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</si>
  <si>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</si>
  <si>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</si>
  <si>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</si>
  <si>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</si>
  <si>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</si>
  <si>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</si>
  <si>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</si>
  <si>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</si>
  <si>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</si>
  <si>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</si>
  <si>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</si>
  <si>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</si>
  <si>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</si>
  <si>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</si>
  <si>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</si>
  <si>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</si>
  <si>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</si>
  <si>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</si>
  <si>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</si>
  <si>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</si>
  <si>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</si>
  <si>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</si>
  <si>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</si>
  <si>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</si>
  <si>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</si>
  <si>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</si>
  <si>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</si>
  <si>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</si>
  <si>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</si>
  <si>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</si>
  <si>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</si>
  <si>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</si>
  <si>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</si>
  <si>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</si>
  <si>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</si>
  <si>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</si>
  <si>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</si>
  <si>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</si>
  <si>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</si>
  <si>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</si>
  <si>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</si>
  <si>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</si>
  <si>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</si>
  <si>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</si>
  <si>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</si>
  <si>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</si>
  <si>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</si>
  <si>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</si>
  <si>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</si>
  <si>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</si>
  <si>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</si>
  <si>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</si>
  <si>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</si>
  <si>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</si>
  <si>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</si>
  <si>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</si>
  <si>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</si>
  <si>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</si>
  <si>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</si>
  <si>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</si>
  <si>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</si>
  <si>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</si>
  <si>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</si>
  <si>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</si>
  <si>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</si>
  <si>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</si>
  <si>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</si>
  <si>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</si>
  <si>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</si>
  <si>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</si>
  <si>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</si>
  <si>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</si>
  <si>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</si>
  <si>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</si>
  <si>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</si>
  <si>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</si>
  <si>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</si>
  <si>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</si>
  <si>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</si>
  <si>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</si>
  <si>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</si>
  <si>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</si>
  <si>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</si>
  <si>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</si>
  <si>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</si>
  <si>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</si>
  <si>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</si>
  <si>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</si>
  <si>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</si>
  <si>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</si>
  <si>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</si>
  <si>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</si>
  <si>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</si>
  <si>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</si>
  <si>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</si>
  <si>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</si>
  <si>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</si>
  <si>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</si>
  <si>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</si>
  <si>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</si>
  <si>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</si>
  <si>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</si>
  <si>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</si>
  <si>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</si>
  <si>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</si>
  <si>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</si>
  <si>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</si>
  <si>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</si>
  <si>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</si>
  <si>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</si>
  <si>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</si>
  <si>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</si>
  <si>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</si>
  <si>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</si>
  <si>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</si>
  <si>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</si>
  <si>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</si>
  <si>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</si>
  <si>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</si>
  <si>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</si>
  <si>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</si>
  <si>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</si>
  <si>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</si>
  <si>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</si>
  <si>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</si>
  <si>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</si>
  <si>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</si>
  <si>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</si>
  <si>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</si>
  <si>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</si>
  <si>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</si>
  <si>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</si>
  <si>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</si>
  <si>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</si>
  <si>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</si>
  <si>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</si>
  <si>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</si>
  <si>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</si>
  <si>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</si>
  <si>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</si>
  <si>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</si>
  <si>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</si>
  <si>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</si>
  <si>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</si>
  <si>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</si>
  <si>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</si>
  <si>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</si>
  <si>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</si>
  <si>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</si>
  <si>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</si>
  <si>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</si>
  <si>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</si>
  <si>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</si>
  <si>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</si>
  <si>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</si>
  <si>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</si>
  <si>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</si>
  <si>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</si>
  <si>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</si>
  <si>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</si>
  <si>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</si>
  <si>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</si>
  <si>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</si>
  <si>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</si>
  <si>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</si>
  <si>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</si>
  <si>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</si>
  <si>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</si>
  <si>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</si>
  <si>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</si>
  <si>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</si>
  <si>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</si>
  <si>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</si>
  <si>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</si>
  <si>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</si>
  <si>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</si>
  <si>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</si>
  <si>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</si>
  <si>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</si>
  <si>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</si>
  <si>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</si>
  <si>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</si>
  <si>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</si>
  <si>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</si>
  <si>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</si>
  <si>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</si>
  <si>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</si>
  <si>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</si>
  <si>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</si>
  <si>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</si>
  <si>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</si>
  <si>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</si>
  <si>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</si>
  <si>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</si>
  <si>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</si>
  <si>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</si>
  <si>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</si>
  <si>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</si>
  <si>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</si>
  <si>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</si>
  <si>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</si>
  <si>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</si>
  <si>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</si>
  <si>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</si>
  <si>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</si>
  <si>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</si>
  <si>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</si>
  <si>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</si>
  <si>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</si>
  <si>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</si>
  <si>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</si>
  <si>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</si>
  <si>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</si>
  <si>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</si>
  <si>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</si>
  <si>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</si>
  <si>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</si>
  <si>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</si>
  <si>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</si>
  <si>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</si>
  <si>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</si>
  <si>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</si>
  <si>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</si>
  <si>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</si>
  <si>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</si>
  <si>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</si>
  <si>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</si>
  <si>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</si>
  <si>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</si>
  <si>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</si>
  <si>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</si>
  <si>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</si>
  <si>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</si>
  <si>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</si>
  <si>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</si>
  <si>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</si>
  <si>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</si>
  <si>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</si>
  <si>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</si>
  <si>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</si>
  <si>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</si>
  <si>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</si>
  <si>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</si>
  <si>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</si>
  <si>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</si>
  <si>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</si>
  <si>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</si>
  <si>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</si>
  <si>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</si>
  <si>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</si>
  <si>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</si>
  <si>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</si>
  <si>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</si>
  <si>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</si>
  <si>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</si>
  <si>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</si>
  <si>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</si>
  <si>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</si>
  <si>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</si>
  <si>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</si>
  <si>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</si>
  <si>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</si>
  <si>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</si>
  <si>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</si>
  <si>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</si>
  <si>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</si>
  <si>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</si>
  <si>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</si>
  <si>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</si>
  <si>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</si>
  <si>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</si>
  <si>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</si>
  <si>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</si>
  <si>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</si>
  <si>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</si>
  <si>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</si>
  <si>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</si>
  <si>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</si>
  <si>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</si>
  <si>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</si>
  <si>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</si>
  <si>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</si>
  <si>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</si>
  <si>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</si>
  <si>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</si>
  <si>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</si>
  <si>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</si>
  <si>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</si>
  <si>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</si>
  <si>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</si>
  <si>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</si>
  <si>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</si>
  <si>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</si>
  <si>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</si>
  <si>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</si>
  <si>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</si>
  <si>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</si>
  <si>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</si>
  <si>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</si>
  <si>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</si>
  <si>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</si>
  <si>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</si>
  <si>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</si>
  <si>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</si>
  <si>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</si>
  <si>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</si>
  <si>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</si>
  <si>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</si>
  <si>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</si>
  <si>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</si>
  <si>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</si>
  <si>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</si>
  <si>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</si>
  <si>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</si>
  <si>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</si>
  <si>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</si>
  <si>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</si>
  <si>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</si>
  <si>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</si>
  <si>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</si>
  <si>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</si>
  <si>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</si>
  <si>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</si>
  <si>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</si>
  <si>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</si>
  <si>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</si>
  <si>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</si>
  <si>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</si>
  <si>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</si>
  <si>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</si>
  <si>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</si>
  <si>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</si>
  <si>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</si>
  <si>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</si>
  <si>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</si>
  <si>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</si>
  <si>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</si>
  <si>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</si>
  <si>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</si>
  <si>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</si>
  <si>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</si>
  <si>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</si>
  <si>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</si>
  <si>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</si>
  <si>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</si>
  <si>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</si>
  <si>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</si>
  <si>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</si>
  <si>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</si>
  <si>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</si>
  <si>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</si>
  <si>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</si>
  <si>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</si>
  <si>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</si>
  <si>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</si>
  <si>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</si>
  <si>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</si>
  <si>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</si>
  <si>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</si>
  <si>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</si>
  <si>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</si>
  <si>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</si>
  <si>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</si>
  <si>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</si>
  <si>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</si>
  <si>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</si>
  <si>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</si>
  <si>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</si>
  <si>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</si>
  <si>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</si>
  <si>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</si>
  <si>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</si>
  <si>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</si>
  <si>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</si>
  <si>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</si>
  <si>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</si>
  <si>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</si>
  <si>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</si>
  <si>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</si>
  <si>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</si>
  <si>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</si>
  <si>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</si>
  <si>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</si>
  <si>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</si>
  <si>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</si>
  <si>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</si>
  <si>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</si>
  <si>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</si>
  <si>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</si>
  <si>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</si>
  <si>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</si>
  <si>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</si>
  <si>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</si>
  <si>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</si>
  <si>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</si>
  <si>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</si>
  <si>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</si>
  <si>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</si>
  <si>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</si>
  <si>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</si>
  <si>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</si>
  <si>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</si>
  <si>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</si>
  <si>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</si>
  <si>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</si>
  <si>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</si>
  <si>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</si>
  <si>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</si>
  <si>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</si>
  <si>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</si>
  <si>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</si>
  <si>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</si>
  <si>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</si>
  <si>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</si>
  <si>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</si>
  <si>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</si>
  <si>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</si>
  <si>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</si>
  <si>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</si>
  <si>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</si>
  <si>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</si>
  <si>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</si>
  <si>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</si>
  <si>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</si>
  <si>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</si>
  <si>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</si>
  <si>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</si>
  <si>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</si>
  <si>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</si>
  <si>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</si>
  <si>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</si>
  <si>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</si>
  <si>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</si>
  <si>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</si>
  <si>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</si>
  <si>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</si>
  <si>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</si>
  <si>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</si>
  <si>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</si>
  <si>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</si>
  <si>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</si>
  <si>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</si>
  <si>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</si>
  <si>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</si>
  <si>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</si>
  <si>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</si>
  <si>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</si>
  <si>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</si>
  <si>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</si>
  <si>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</si>
  <si>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</si>
  <si>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</si>
  <si>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</si>
  <si>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</si>
  <si>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</si>
  <si>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</si>
  <si>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</si>
  <si>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</si>
  <si>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</si>
  <si>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</si>
  <si>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</si>
  <si>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</si>
  <si>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</si>
  <si>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</si>
  <si>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</si>
  <si>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</si>
  <si>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</si>
  <si>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</si>
  <si>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</si>
  <si>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</si>
  <si>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</si>
  <si>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</si>
  <si>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</si>
  <si>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</si>
  <si>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</si>
  <si>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</si>
  <si>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</si>
  <si>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</si>
  <si>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</si>
  <si>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</si>
  <si>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</si>
  <si>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</si>
  <si>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</si>
  <si>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</si>
  <si>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</si>
  <si>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</si>
  <si>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</si>
  <si>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</si>
  <si>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</si>
  <si>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</si>
  <si>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</si>
  <si>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</si>
  <si>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</si>
  <si>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</si>
  <si>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</si>
  <si>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</si>
  <si>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</si>
  <si>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</si>
  <si>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</si>
  <si>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</si>
  <si>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</si>
  <si>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</si>
  <si>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</si>
  <si>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</si>
  <si>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</si>
  <si>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</si>
  <si>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</si>
  <si>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</si>
  <si>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</si>
  <si>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</si>
  <si>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</si>
  <si>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</si>
  <si>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</si>
  <si>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</si>
  <si>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</si>
  <si>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</si>
  <si>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</si>
  <si>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</si>
  <si>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</si>
  <si>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</si>
  <si>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</si>
  <si>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</si>
  <si>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</si>
  <si>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</si>
  <si>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</si>
  <si>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</si>
  <si>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</si>
  <si>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</si>
  <si>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</si>
  <si>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</si>
  <si>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</si>
  <si>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</si>
  <si>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</si>
  <si>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</si>
  <si>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</si>
  <si>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</si>
  <si>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</si>
  <si>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</si>
  <si>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</si>
  <si>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</si>
  <si>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</si>
  <si>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</si>
  <si>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</si>
  <si>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</si>
  <si>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</si>
  <si>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</si>
  <si>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</si>
  <si>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</si>
  <si>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</si>
  <si>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</si>
  <si>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</si>
  <si>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</si>
  <si>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</si>
  <si>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</si>
  <si>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</si>
  <si>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</si>
  <si>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</si>
  <si>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</si>
  <si>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</si>
  <si>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</si>
  <si>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</si>
  <si>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</si>
  <si>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</si>
  <si>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</si>
  <si>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</si>
  <si>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</si>
  <si>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</si>
  <si>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</si>
  <si>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</si>
  <si>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</si>
  <si>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</si>
  <si>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</si>
  <si>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</si>
  <si>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</si>
  <si>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</si>
  <si>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</si>
  <si>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</si>
  <si>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</si>
  <si>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</si>
  <si>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</si>
  <si>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</si>
  <si>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</si>
  <si>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</si>
  <si>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</si>
  <si>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</si>
  <si>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</si>
  <si>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</si>
  <si>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</si>
  <si>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</si>
  <si>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</si>
  <si>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</si>
  <si>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</si>
  <si>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</si>
  <si>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</si>
  <si>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</si>
  <si>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</si>
  <si>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</si>
  <si>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</si>
  <si>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</si>
  <si>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</si>
  <si>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</si>
  <si>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</si>
  <si>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</si>
  <si>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</si>
  <si>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</si>
  <si>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</si>
  <si>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</si>
  <si>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</si>
  <si>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</si>
  <si>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</si>
  <si>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</si>
  <si>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</si>
  <si>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</si>
  <si>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</si>
  <si>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</si>
  <si>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</si>
  <si>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</si>
  <si>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</si>
  <si>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</si>
  <si>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</si>
  <si>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</si>
  <si>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</si>
  <si>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</si>
  <si>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</si>
  <si>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</si>
  <si>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</si>
  <si>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</si>
  <si>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</si>
  <si>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</si>
  <si>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</si>
  <si>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</si>
  <si>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</si>
  <si>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</si>
  <si>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</si>
  <si>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</si>
  <si>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</si>
  <si>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</si>
  <si>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</si>
  <si>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</si>
  <si>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</si>
  <si>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</si>
  <si>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</si>
  <si>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</si>
  <si>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</si>
  <si>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</si>
  <si>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</si>
  <si>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</si>
  <si>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</si>
  <si>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</si>
  <si>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</si>
  <si>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</si>
  <si>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</si>
  <si>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</si>
  <si>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</si>
  <si>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</si>
  <si>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</si>
  <si>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</si>
  <si>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</si>
  <si>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</si>
  <si>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</si>
  <si>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</si>
  <si>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</si>
  <si>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</si>
  <si>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</si>
  <si>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</si>
  <si>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</si>
  <si>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</si>
  <si>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</si>
  <si>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</si>
  <si>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</si>
  <si>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</si>
  <si>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</si>
  <si>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</si>
  <si>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</si>
  <si>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</si>
  <si>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</si>
  <si>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</si>
  <si>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</si>
  <si>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</si>
  <si>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</si>
  <si>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</si>
  <si>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</si>
  <si>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</si>
  <si>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</si>
  <si>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</si>
  <si>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</si>
  <si>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</si>
  <si>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</si>
  <si>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</si>
  <si>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</si>
  <si>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</si>
  <si>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</si>
  <si>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</si>
  <si>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</si>
  <si>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</si>
  <si>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</si>
  <si>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</si>
  <si>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</si>
  <si>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</si>
  <si>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</si>
  <si>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</si>
  <si>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</si>
  <si>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</si>
  <si>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</si>
  <si>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</si>
  <si>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</si>
  <si>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</si>
  <si>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</si>
  <si>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</si>
  <si>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</si>
  <si>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</si>
  <si>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</si>
  <si>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</si>
  <si>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</si>
  <si>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</si>
  <si>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</si>
  <si>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</si>
  <si>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</si>
  <si>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</si>
  <si>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</si>
  <si>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</si>
  <si>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</si>
  <si>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</si>
  <si>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</si>
  <si>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</si>
  <si>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</si>
  <si>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</si>
  <si>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</si>
  <si>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</si>
  <si>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</si>
  <si>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</si>
  <si>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</si>
  <si>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</si>
  <si>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</si>
  <si>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</si>
  <si>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</si>
  <si>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</si>
  <si>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</si>
  <si>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</si>
  <si>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</si>
  <si>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</si>
  <si>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</si>
  <si>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</si>
  <si>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</si>
  <si>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</si>
  <si>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</si>
  <si>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</si>
  <si>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</si>
  <si>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</si>
  <si>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</si>
  <si>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</si>
  <si>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</si>
  <si>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</si>
  <si>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</si>
  <si>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</si>
  <si>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</si>
  <si>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</si>
  <si>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</si>
  <si>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</si>
  <si>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</si>
  <si>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</si>
  <si>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</si>
  <si>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</si>
  <si>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</si>
  <si>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</si>
  <si>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</si>
  <si>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</si>
  <si>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</si>
  <si>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</si>
  <si>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</si>
  <si>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</si>
  <si>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</si>
  <si>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</si>
  <si>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</si>
  <si>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</si>
  <si>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</si>
  <si>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</si>
  <si>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</si>
  <si>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</si>
  <si>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</si>
  <si>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</si>
  <si>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</si>
  <si>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</si>
  <si>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</si>
  <si>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</si>
  <si>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</si>
  <si>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</si>
  <si>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</si>
  <si>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</si>
  <si>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</si>
  <si>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</si>
  <si>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</si>
  <si>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</si>
  <si>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</si>
  <si>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</si>
  <si>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</si>
  <si>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</si>
  <si>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</si>
  <si>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</si>
  <si>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</si>
  <si>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</si>
  <si>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</si>
  <si>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</si>
  <si>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</si>
  <si>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</si>
  <si>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</si>
  <si>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</si>
  <si>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</si>
  <si>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</si>
  <si>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</si>
  <si>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</si>
  <si>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</si>
  <si>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</si>
  <si>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</si>
  <si>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</si>
  <si>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</si>
  <si>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</si>
  <si>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</si>
  <si>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</si>
  <si>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</si>
  <si>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</si>
  <si>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</si>
  <si>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</si>
  <si>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</si>
  <si>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</si>
  <si>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</si>
  <si>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</si>
  <si>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</si>
  <si>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</si>
  <si>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</si>
  <si>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</si>
  <si>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</si>
  <si>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</si>
  <si>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</si>
  <si>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</si>
  <si>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</si>
  <si>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</si>
  <si>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</si>
  <si>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</si>
  <si>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</si>
  <si>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</si>
  <si>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</si>
  <si>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</si>
  <si>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</si>
  <si>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</si>
  <si>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</si>
  <si>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</si>
  <si>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</si>
  <si>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</si>
  <si>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</si>
  <si>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</si>
  <si>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</si>
  <si>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</si>
  <si>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</si>
  <si>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</si>
  <si>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</si>
  <si>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</si>
  <si>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</si>
  <si>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</si>
  <si>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</si>
  <si>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</si>
  <si>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</si>
  <si>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</si>
  <si>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</si>
  <si>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</si>
  <si>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</si>
  <si>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</si>
  <si>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</si>
  <si>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</si>
  <si>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</si>
  <si>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</si>
  <si>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</si>
  <si>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</si>
  <si>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</si>
  <si>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</si>
  <si>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</si>
  <si>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</si>
  <si>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</si>
  <si>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</si>
  <si>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</si>
  <si>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</si>
  <si>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</si>
  <si>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</si>
  <si>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</si>
  <si>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</si>
  <si>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</si>
  <si>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</si>
  <si>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</si>
  <si>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</si>
  <si>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</si>
  <si>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</si>
  <si>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</si>
  <si>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</si>
  <si>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</si>
  <si>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</si>
  <si>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</si>
  <si>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</si>
  <si>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</si>
  <si>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</si>
  <si>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</si>
  <si>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</si>
  <si>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</si>
  <si>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</si>
  <si>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</si>
  <si>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</si>
  <si>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</si>
  <si>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</si>
  <si>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</si>
  <si>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</si>
  <si>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</si>
  <si>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</si>
  <si>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</si>
  <si>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</si>
  <si>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</si>
  <si>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</si>
  <si>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</si>
  <si>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</si>
  <si>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</si>
  <si>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</si>
  <si>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</si>
  <si>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</si>
  <si>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</si>
  <si>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</si>
  <si>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</si>
  <si>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</si>
  <si>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</si>
  <si>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</si>
  <si>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</si>
  <si>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</si>
  <si>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</si>
  <si>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</si>
  <si>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</si>
  <si>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</si>
  <si>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</si>
  <si>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</si>
  <si>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</si>
  <si>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</si>
  <si>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</si>
  <si>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</si>
  <si>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</si>
  <si>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</si>
  <si>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</si>
  <si>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</si>
  <si>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</si>
  <si>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</si>
  <si>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</si>
  <si>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</si>
  <si>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</si>
  <si>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</si>
  <si>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</si>
  <si>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</si>
  <si>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</si>
  <si>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</si>
  <si>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</si>
  <si>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</si>
  <si>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</si>
  <si>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</si>
  <si>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</si>
  <si>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</si>
  <si>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</si>
  <si>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</si>
  <si>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</si>
  <si>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</si>
  <si>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</si>
  <si>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</si>
  <si>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</si>
  <si>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</si>
  <si>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</si>
  <si>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</si>
  <si>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</si>
  <si>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</si>
  <si>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</si>
  <si>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</si>
  <si>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</si>
  <si>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</si>
  <si>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</si>
  <si>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</si>
  <si>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</si>
  <si>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</si>
  <si>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</si>
  <si>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</si>
  <si>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</si>
  <si>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</si>
  <si>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</si>
  <si>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</si>
  <si>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</si>
  <si>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</si>
  <si>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</si>
  <si>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</si>
  <si>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</si>
  <si>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</si>
  <si>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</si>
  <si>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</si>
  <si>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</si>
  <si>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</si>
  <si>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</si>
  <si>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</si>
  <si>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</si>
  <si>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</si>
  <si>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</si>
  <si>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</si>
  <si>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</si>
  <si>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</si>
  <si>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</si>
  <si>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</si>
  <si>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</si>
  <si>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</si>
  <si>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</si>
  <si>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</si>
  <si>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</si>
  <si>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</si>
  <si>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</si>
  <si>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</si>
  <si>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</si>
  <si>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</si>
  <si>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</si>
  <si>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</si>
  <si>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</si>
  <si>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</si>
  <si>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</si>
  <si>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</si>
  <si>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</si>
  <si>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</si>
  <si>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</si>
  <si>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</si>
  <si>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</si>
  <si>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</si>
  <si>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</si>
  <si>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</si>
  <si>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</si>
  <si>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</si>
  <si>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</si>
  <si>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</si>
  <si>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</si>
  <si>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</si>
  <si>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</si>
  <si>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</si>
  <si>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</si>
  <si>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</si>
  <si>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</si>
  <si>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</si>
  <si>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</si>
  <si>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</si>
  <si>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</si>
  <si>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</si>
  <si>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</si>
  <si>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</si>
  <si>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</si>
  <si>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</si>
  <si>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</si>
  <si>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</si>
  <si>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</si>
  <si>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</si>
  <si>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</si>
  <si>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</si>
  <si>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</si>
  <si>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</si>
  <si>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</si>
  <si>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</si>
  <si>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</si>
  <si>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</si>
  <si>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</si>
  <si>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</si>
  <si>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</si>
  <si>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</si>
  <si>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</si>
  <si>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</si>
  <si>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</si>
  <si>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</si>
  <si>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</si>
  <si>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</si>
  <si>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</si>
  <si>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</si>
  <si>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</si>
  <si>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</si>
  <si>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</si>
  <si>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</si>
  <si>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</si>
  <si>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</si>
  <si>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</si>
  <si>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</si>
  <si>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</si>
  <si>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</si>
  <si>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</si>
  <si>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</si>
  <si>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</si>
  <si>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</si>
  <si>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</si>
  <si>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</si>
  <si>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</si>
  <si>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</si>
  <si>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</si>
  <si>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</si>
  <si>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</si>
  <si>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</si>
  <si>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</si>
  <si>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</si>
  <si>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</si>
  <si>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</si>
  <si>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</si>
  <si>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</si>
  <si>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</si>
  <si>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</si>
  <si>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</si>
  <si>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</si>
  <si>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</si>
  <si>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</si>
  <si>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</si>
  <si>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</si>
  <si>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</si>
  <si>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</si>
  <si>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</si>
  <si>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</si>
  <si>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</si>
  <si>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</si>
  <si>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</si>
  <si>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</si>
  <si>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</si>
  <si>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</si>
  <si>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</si>
  <si>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</si>
  <si>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</si>
  <si>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</si>
  <si>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</si>
  <si>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</si>
  <si>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</si>
  <si>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</si>
  <si>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</si>
  <si>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</si>
  <si>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</si>
  <si>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</si>
  <si>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</si>
  <si>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</si>
  <si>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</si>
  <si>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</si>
  <si>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</si>
  <si>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</si>
  <si>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</si>
  <si>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</si>
  <si>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</si>
  <si>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</si>
  <si>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</si>
  <si>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</si>
  <si>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</si>
  <si>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</si>
  <si>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</si>
  <si>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</si>
  <si>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</si>
  <si>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</si>
  <si>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</si>
  <si>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</si>
  <si>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</si>
  <si>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</si>
  <si>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</si>
  <si>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</si>
  <si>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</si>
  <si>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</si>
  <si>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</si>
  <si>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</si>
  <si>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</si>
  <si>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</si>
  <si>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</si>
  <si>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</si>
  <si>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</si>
  <si>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</si>
  <si>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</si>
  <si>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</si>
  <si>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</si>
  <si>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</si>
  <si>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</si>
  <si>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</si>
  <si>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</si>
  <si>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</si>
  <si>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</si>
  <si>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</si>
  <si>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</si>
  <si>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</si>
  <si>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</si>
  <si>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</si>
  <si>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</si>
  <si>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</si>
  <si>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</si>
  <si>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</si>
  <si>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</si>
  <si>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</si>
  <si>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</si>
  <si>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</si>
  <si>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</si>
  <si>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</si>
  <si>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</si>
  <si>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</si>
  <si>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</si>
  <si>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</si>
  <si>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</si>
  <si>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</si>
  <si>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</si>
  <si>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</si>
  <si>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</si>
  <si>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</si>
  <si>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</si>
  <si>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</si>
  <si>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</si>
  <si>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</si>
  <si>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</si>
  <si>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</si>
  <si>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</si>
  <si>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</si>
  <si>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</si>
  <si>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</si>
  <si>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</si>
  <si>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</si>
  <si>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</si>
  <si>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</si>
  <si>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</si>
  <si>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</si>
  <si>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</si>
  <si>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</si>
  <si>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</si>
  <si>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</si>
  <si>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</si>
  <si>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</si>
  <si>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</si>
  <si>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</si>
  <si>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</si>
  <si>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</si>
  <si>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</si>
  <si>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</si>
  <si>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</si>
  <si>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</si>
  <si>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</si>
  <si>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</si>
  <si>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</si>
  <si>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</si>
  <si>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</si>
  <si>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</si>
  <si>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</si>
  <si>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</si>
  <si>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</si>
  <si>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</si>
  <si>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</si>
  <si>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</si>
  <si>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</si>
  <si>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</si>
  <si>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</si>
  <si>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</si>
  <si>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</si>
  <si>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</si>
  <si>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</si>
  <si>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</si>
  <si>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</si>
  <si>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</si>
  <si>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</si>
  <si>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</si>
  <si>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</si>
  <si>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</si>
  <si>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</si>
  <si>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</si>
  <si>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</si>
  <si>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</si>
  <si>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</si>
  <si>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</si>
  <si>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</si>
  <si>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</si>
  <si>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</si>
  <si>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</si>
  <si>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</si>
  <si>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</si>
  <si>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</si>
  <si>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</si>
  <si>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</si>
  <si>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</si>
  <si>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</si>
  <si>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</si>
  <si>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</si>
  <si>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</si>
  <si>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</si>
  <si>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</si>
  <si>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</si>
  <si>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</si>
  <si>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</si>
  <si>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</si>
  <si>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</si>
  <si>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</si>
  <si>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</si>
  <si>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</si>
  <si>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</si>
  <si>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</si>
  <si>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</si>
  <si>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</si>
  <si>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</si>
  <si>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</si>
  <si>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</si>
  <si>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</si>
  <si>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</si>
  <si>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</si>
  <si>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</si>
  <si>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</si>
  <si>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</si>
  <si>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</si>
  <si>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</si>
  <si>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</si>
  <si>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</si>
  <si>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</si>
  <si>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</si>
  <si>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</si>
  <si>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</si>
  <si>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</si>
  <si>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</si>
  <si>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</si>
  <si>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</si>
  <si>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</si>
  <si>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</si>
  <si>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</si>
  <si>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</si>
  <si>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</si>
  <si>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</si>
  <si>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</si>
  <si>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</si>
  <si>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</si>
  <si>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</si>
  <si>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</si>
  <si>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</si>
  <si>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</si>
  <si>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</si>
  <si>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</si>
  <si>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</si>
  <si>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</si>
  <si>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</si>
  <si>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</si>
  <si>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</si>
  <si>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</si>
  <si>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</si>
  <si>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</si>
  <si>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</si>
  <si>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</si>
  <si>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</si>
  <si>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</si>
  <si>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</si>
  <si>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</si>
  <si>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</si>
  <si>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</si>
  <si>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</si>
  <si>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</si>
  <si>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</si>
  <si>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</si>
  <si>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</si>
  <si>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</si>
  <si>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</si>
  <si>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</si>
  <si>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</si>
  <si>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</si>
  <si>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</si>
  <si>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</si>
  <si>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</si>
  <si>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</si>
  <si>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</si>
  <si>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</si>
  <si>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</si>
  <si>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</si>
  <si>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</si>
  <si>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</si>
  <si>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</si>
  <si>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</si>
  <si>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</si>
  <si>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</si>
  <si>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</si>
  <si>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</si>
  <si>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</si>
  <si>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</si>
  <si>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</si>
  <si>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</si>
  <si>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</si>
  <si>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</si>
  <si>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</si>
  <si>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</si>
  <si>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</si>
  <si>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</si>
  <si>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</si>
  <si>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</si>
  <si>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</si>
  <si>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</si>
  <si>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</si>
  <si>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</si>
  <si>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</si>
  <si>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</si>
  <si>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</si>
  <si>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</si>
  <si>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</si>
  <si>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</si>
  <si>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</si>
  <si>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</si>
  <si>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</si>
  <si>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</si>
  <si>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</si>
  <si>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</si>
  <si>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</si>
  <si>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</si>
  <si>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</si>
  <si>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</si>
  <si>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</si>
  <si>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</si>
  <si>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</si>
  <si>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</si>
  <si>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</si>
  <si>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</si>
  <si>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</si>
  <si>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</si>
  <si>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</si>
  <si>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</si>
  <si>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</si>
  <si>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</si>
  <si>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</si>
  <si>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</si>
  <si>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</si>
  <si>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</si>
  <si>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</si>
  <si>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</si>
  <si>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</si>
  <si>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</si>
  <si>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</si>
  <si>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</si>
  <si>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</si>
  <si>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</si>
  <si>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</si>
  <si>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</si>
  <si>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</si>
  <si>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</si>
  <si>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</si>
  <si>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</si>
  <si>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</si>
  <si>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</si>
  <si>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</si>
  <si>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</si>
  <si>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</si>
  <si>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</si>
  <si>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</si>
  <si>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</si>
  <si>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</si>
  <si>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</si>
  <si>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</si>
  <si>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</si>
  <si>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</si>
  <si>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</si>
  <si>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</si>
  <si>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</si>
  <si>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</si>
  <si>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</si>
  <si>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</si>
  <si>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</si>
  <si>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</si>
  <si>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</si>
  <si>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</si>
  <si>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</si>
  <si>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</si>
  <si>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</si>
  <si>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</si>
  <si>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</si>
  <si>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</si>
  <si>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</si>
  <si>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</si>
  <si>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</si>
  <si>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</si>
  <si>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</si>
  <si>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</si>
  <si>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</si>
  <si>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</si>
  <si>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</si>
  <si>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</si>
  <si>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</si>
  <si>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</si>
  <si>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</si>
  <si>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</si>
  <si>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</si>
  <si>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</si>
  <si>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</si>
  <si>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</si>
  <si>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</si>
  <si>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</si>
  <si>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</si>
  <si>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</si>
  <si>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</si>
  <si>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</si>
  <si>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</si>
  <si>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</si>
  <si>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</si>
  <si>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</si>
  <si>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</si>
  <si>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</si>
  <si>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</si>
  <si>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</si>
  <si>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</si>
  <si>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</si>
  <si>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</si>
  <si>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</si>
  <si>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</si>
  <si>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</si>
  <si>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</si>
  <si>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</si>
  <si>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</si>
  <si>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</si>
  <si>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</si>
  <si>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</si>
  <si>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</si>
  <si>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</si>
  <si>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</si>
  <si>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</si>
  <si>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</si>
  <si>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</si>
  <si>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</si>
  <si>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</si>
  <si>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</si>
  <si>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</si>
  <si>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</si>
  <si>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</si>
  <si>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</si>
  <si>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</si>
  <si>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</si>
  <si>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</si>
  <si>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</si>
  <si>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</si>
  <si>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</si>
  <si>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</si>
  <si>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</si>
  <si>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</si>
  <si>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</si>
  <si>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</si>
  <si>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</si>
  <si>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</si>
  <si>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</si>
  <si>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</si>
  <si>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</si>
  <si>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</si>
  <si>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</si>
  <si>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</si>
  <si>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</si>
  <si>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</si>
  <si>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</si>
  <si>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</si>
  <si>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</si>
  <si>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</si>
  <si>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</si>
  <si>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</si>
  <si>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</si>
  <si>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</si>
  <si>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</si>
  <si>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</si>
  <si>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</si>
  <si>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</si>
  <si>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</si>
  <si>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</si>
  <si>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</si>
  <si>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</si>
  <si>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</si>
  <si>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</si>
  <si>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</si>
  <si>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</si>
  <si>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</si>
  <si>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</si>
  <si>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</si>
  <si>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</si>
  <si>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</si>
  <si>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</si>
  <si>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</si>
  <si>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</si>
  <si>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</si>
  <si>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</si>
  <si>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</si>
  <si>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</si>
  <si>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</si>
  <si>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</si>
  <si>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</si>
  <si>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</si>
  <si>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</si>
  <si>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</si>
  <si>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</si>
  <si>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</si>
  <si>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</si>
  <si>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</si>
  <si>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</si>
  <si>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</si>
  <si>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</si>
  <si>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</si>
  <si>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</si>
  <si>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</si>
  <si>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</si>
  <si>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</si>
  <si>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</si>
  <si>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</si>
  <si>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</si>
  <si>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</si>
  <si>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</si>
  <si>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</si>
  <si>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</si>
  <si>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</si>
  <si>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</si>
  <si>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</si>
  <si>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</si>
  <si>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</si>
  <si>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</si>
  <si>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</si>
  <si>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</si>
  <si>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</si>
  <si>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</si>
  <si>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</si>
  <si>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</si>
  <si>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</si>
  <si>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</si>
  <si>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</si>
  <si>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</si>
  <si>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</si>
  <si>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</si>
  <si>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</si>
  <si>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</si>
  <si>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</si>
  <si>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</si>
  <si>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</si>
  <si>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</si>
  <si>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</si>
  <si>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</si>
  <si>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</si>
  <si>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</si>
  <si>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</si>
  <si>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</si>
  <si>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</si>
  <si>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</si>
  <si>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</si>
  <si>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</si>
  <si>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</si>
  <si>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</si>
  <si>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</si>
  <si>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</si>
  <si>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</si>
  <si>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</si>
  <si>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</si>
  <si>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</si>
  <si>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</si>
  <si>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</si>
  <si>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</si>
  <si>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</si>
  <si>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</si>
  <si>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</si>
  <si>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</si>
  <si>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</si>
  <si>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</si>
  <si>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</si>
  <si>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</si>
  <si>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</si>
  <si>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</si>
  <si>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</si>
  <si>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</si>
  <si>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</si>
  <si>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</si>
  <si>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</si>
  <si>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</si>
  <si>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</si>
  <si>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</si>
  <si>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</si>
  <si>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</si>
  <si>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</si>
  <si>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</si>
  <si>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</si>
  <si>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</si>
  <si>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</si>
  <si>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</si>
  <si>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</si>
  <si>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</si>
  <si>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</si>
  <si>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</si>
  <si>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</si>
  <si>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</si>
  <si>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</si>
  <si>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</si>
  <si>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</si>
  <si>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</si>
  <si>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</si>
  <si>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</si>
  <si>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</si>
  <si>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</si>
  <si>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</si>
  <si>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</si>
  <si>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</si>
  <si>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</si>
  <si>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</si>
  <si>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</si>
  <si>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</si>
  <si>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</si>
  <si>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</si>
  <si>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</si>
  <si>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</si>
  <si>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</si>
  <si>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</si>
  <si>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</si>
  <si>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</si>
  <si>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</si>
  <si>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</si>
  <si>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</si>
  <si>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</si>
  <si>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</si>
  <si>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</si>
  <si>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</si>
  <si>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</si>
  <si>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</si>
  <si>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</si>
  <si>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</si>
  <si>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</si>
  <si>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</si>
  <si>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</si>
  <si>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</si>
  <si>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</si>
  <si>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</si>
  <si>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</si>
  <si>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</si>
  <si>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</si>
  <si>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</si>
  <si>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</si>
  <si>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</si>
  <si>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</si>
  <si>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</si>
  <si>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</si>
  <si>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</si>
  <si>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</si>
  <si>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</si>
  <si>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</si>
  <si>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</si>
  <si>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</si>
  <si>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</si>
  <si>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</si>
  <si>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</si>
  <si>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</si>
  <si>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</si>
  <si>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</si>
  <si>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</si>
  <si>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</si>
  <si>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</si>
  <si>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</si>
  <si>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</si>
  <si>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</si>
  <si>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</si>
  <si>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</si>
  <si>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</si>
  <si>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</si>
  <si>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</si>
  <si>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</si>
  <si>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</si>
  <si>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</si>
  <si>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</si>
  <si>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</si>
  <si>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</si>
  <si>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</si>
  <si>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</si>
  <si>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</si>
  <si>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</si>
  <si>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</si>
  <si>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</si>
  <si>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</si>
  <si>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</si>
  <si>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</si>
  <si>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</si>
  <si>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</si>
  <si>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</si>
  <si>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</si>
  <si>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</si>
  <si>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</si>
  <si>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</si>
  <si>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</si>
  <si>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</si>
  <si>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</si>
  <si>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</si>
  <si>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</si>
  <si>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</si>
  <si>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</si>
  <si>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</si>
  <si>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</si>
  <si>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</si>
  <si>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</si>
  <si>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</si>
  <si>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</si>
  <si>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</si>
  <si>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</si>
  <si>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</si>
  <si>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</si>
  <si>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</si>
  <si>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</si>
  <si>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</si>
  <si>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</si>
  <si>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</si>
  <si>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</si>
  <si>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</si>
  <si>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</si>
  <si>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</si>
  <si>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</si>
  <si>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</si>
  <si>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</si>
  <si>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</si>
  <si>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</si>
  <si>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</si>
  <si>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</si>
  <si>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</si>
  <si>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</si>
  <si>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</si>
  <si>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</si>
  <si>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</si>
  <si>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</si>
  <si>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</si>
  <si>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</si>
  <si>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</si>
  <si>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</si>
  <si>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</si>
  <si>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</si>
  <si>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</si>
  <si>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</si>
  <si>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</si>
  <si>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</si>
  <si>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</si>
  <si>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</si>
  <si>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</si>
  <si>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</si>
  <si>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</si>
  <si>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</si>
  <si>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</si>
  <si>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</si>
  <si>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</si>
  <si>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</si>
  <si>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</si>
  <si>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</si>
  <si>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</si>
  <si>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</si>
  <si>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</si>
  <si>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</si>
  <si>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</si>
  <si>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</si>
  <si>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</si>
  <si>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</si>
  <si>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</si>
  <si>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</si>
  <si>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</si>
  <si>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</si>
  <si>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</si>
  <si>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</si>
  <si>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</si>
  <si>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</si>
  <si>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</si>
  <si>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</si>
  <si>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</si>
  <si>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</si>
  <si>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</si>
  <si>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</si>
  <si>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</si>
  <si>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</si>
  <si>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</si>
  <si>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</si>
  <si>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</si>
  <si>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</si>
  <si>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</si>
  <si>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</si>
  <si>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</si>
  <si>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</si>
  <si>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</si>
  <si>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</si>
  <si>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</si>
  <si>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</si>
  <si>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</si>
  <si>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</si>
  <si>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</si>
  <si>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</si>
  <si>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</si>
  <si>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</si>
  <si>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</si>
  <si>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</si>
  <si>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</si>
  <si>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</si>
  <si>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</si>
  <si>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</si>
  <si>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</si>
  <si>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</si>
  <si>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</si>
  <si>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</si>
  <si>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</si>
  <si>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</si>
  <si>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</si>
  <si>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</si>
  <si>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</si>
  <si>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</si>
  <si>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</si>
  <si>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</si>
  <si>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</si>
  <si>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</si>
  <si>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</si>
  <si>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</si>
  <si>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</si>
  <si>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</si>
  <si>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</si>
  <si>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</si>
  <si>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</si>
  <si>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</si>
  <si>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</si>
  <si>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</si>
  <si>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</si>
  <si>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</si>
  <si>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</si>
  <si>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</si>
  <si>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</si>
  <si>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</si>
  <si>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</si>
  <si>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</si>
  <si>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</si>
  <si>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</si>
  <si>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</si>
  <si>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</si>
  <si>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</si>
  <si>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</si>
  <si>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</si>
  <si>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</si>
  <si>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</si>
  <si>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</si>
  <si>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</si>
  <si>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</si>
  <si>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</si>
  <si>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</si>
  <si>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</si>
  <si>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</si>
  <si>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</si>
  <si>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</si>
  <si>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</si>
  <si>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</si>
  <si>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</si>
  <si>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</si>
  <si>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</si>
  <si>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</si>
  <si>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</si>
  <si>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</si>
  <si>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</si>
  <si>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</si>
  <si>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</si>
  <si>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</si>
  <si>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</si>
  <si>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</si>
  <si>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</si>
  <si>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</si>
  <si>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</si>
  <si>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</si>
  <si>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</si>
  <si>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</si>
  <si>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</si>
  <si>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</si>
  <si>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</si>
  <si>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</si>
  <si>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</si>
  <si>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</si>
  <si>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</si>
  <si>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</si>
  <si>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</si>
  <si>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</si>
  <si>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</si>
  <si>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</si>
  <si>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</si>
  <si>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</si>
  <si>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</si>
  <si>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</si>
  <si>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</si>
  <si>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</si>
  <si>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</si>
  <si>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</si>
  <si>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</si>
  <si>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</si>
  <si>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</si>
  <si>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</si>
  <si>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</si>
  <si>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</si>
  <si>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</si>
  <si>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</si>
  <si>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</si>
  <si>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</si>
  <si>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</si>
  <si>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</si>
  <si>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</si>
  <si>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</si>
  <si>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</si>
  <si>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</si>
  <si>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</si>
  <si>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</si>
  <si>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</si>
  <si>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</si>
  <si>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</si>
  <si>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</si>
  <si>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</si>
  <si>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</si>
  <si>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</si>
  <si>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</si>
  <si>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</si>
  <si>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</si>
  <si>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</si>
  <si>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</si>
  <si>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</si>
  <si>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</si>
  <si>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</si>
  <si>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</si>
  <si>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</si>
  <si>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</si>
  <si>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</si>
  <si>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</si>
  <si>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</si>
  <si>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</si>
  <si>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</si>
  <si>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</si>
  <si>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</si>
  <si>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</si>
  <si>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</si>
  <si>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</si>
  <si>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</si>
  <si>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</si>
  <si>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</si>
  <si>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</si>
  <si>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</si>
  <si>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</si>
  <si>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</si>
  <si>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</si>
  <si>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</si>
  <si>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</si>
  <si>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</si>
  <si>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</si>
  <si>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</si>
  <si>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</si>
  <si>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</si>
  <si>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</si>
  <si>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</si>
  <si>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</si>
  <si>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</si>
  <si>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</si>
  <si>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</si>
  <si>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</si>
  <si>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</si>
  <si>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</si>
  <si>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</si>
  <si>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</si>
  <si>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</si>
  <si>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</si>
  <si>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</si>
  <si>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</si>
  <si>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</si>
  <si>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</si>
  <si>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</si>
  <si>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</si>
  <si>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</si>
  <si>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</si>
  <si>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</si>
  <si>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</si>
  <si>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</si>
  <si>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</si>
  <si>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</si>
  <si>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</si>
  <si>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</si>
  <si>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</si>
  <si>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</si>
  <si>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</si>
  <si>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</si>
  <si>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</si>
  <si>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</si>
  <si>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</si>
  <si>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</si>
  <si>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</si>
  <si>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</si>
  <si>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</si>
  <si>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</si>
  <si>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</si>
  <si>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</si>
  <si>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</si>
  <si>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</si>
  <si>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</si>
  <si>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</si>
  <si>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</si>
  <si>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</si>
  <si>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</si>
  <si>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</si>
  <si>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</si>
  <si>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</si>
  <si>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</si>
  <si>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</si>
  <si>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</si>
  <si>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</si>
  <si>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</si>
  <si>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</si>
  <si>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</si>
  <si>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</si>
  <si>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</si>
  <si>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</si>
  <si>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</si>
  <si>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</si>
  <si>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</si>
  <si>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</si>
  <si>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</si>
  <si>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</si>
  <si>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</si>
  <si>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</si>
  <si>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</si>
  <si>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</si>
  <si>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</si>
  <si>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</si>
  <si>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</si>
  <si>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</si>
  <si>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</si>
  <si>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</si>
  <si>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</si>
  <si>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</si>
  <si>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</si>
  <si>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</si>
  <si>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</si>
  <si>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</si>
  <si>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</si>
  <si>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</si>
  <si>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</si>
  <si>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</si>
  <si>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</si>
  <si>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</si>
  <si>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</si>
  <si>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</si>
  <si>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</si>
  <si>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</si>
  <si>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</si>
  <si>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</si>
  <si>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</si>
  <si>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</si>
  <si>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</si>
  <si>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</si>
  <si>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</si>
  <si>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</si>
  <si>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</si>
  <si>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</si>
  <si>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</si>
  <si>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</si>
  <si>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</si>
  <si>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</si>
  <si>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</si>
  <si>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</si>
  <si>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</si>
  <si>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</si>
  <si>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</si>
  <si>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</si>
  <si>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</si>
  <si>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</si>
  <si>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</si>
  <si>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</si>
  <si>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</si>
  <si>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</si>
  <si>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</si>
  <si>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</si>
  <si>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</si>
  <si>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</si>
  <si>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</si>
  <si>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</si>
  <si>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</si>
  <si>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</si>
  <si>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</si>
  <si>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</si>
  <si>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</si>
  <si>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</si>
  <si>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</si>
  <si>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</si>
  <si>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</si>
  <si>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</si>
  <si>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</si>
  <si>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</si>
  <si>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</si>
  <si>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</si>
  <si>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</si>
  <si>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</si>
  <si>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</si>
  <si>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</si>
  <si>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</si>
  <si>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</si>
  <si>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</si>
  <si>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</si>
  <si>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</si>
  <si>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</si>
  <si>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</si>
  <si>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</si>
  <si>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</si>
  <si>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</si>
  <si>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</si>
  <si>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</si>
  <si>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</si>
  <si>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</si>
  <si>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</si>
  <si>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</si>
  <si>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</si>
  <si>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</si>
  <si>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</si>
  <si>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</si>
  <si>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</si>
  <si>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</si>
  <si>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</si>
  <si>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</si>
  <si>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</si>
  <si>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</si>
  <si>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</si>
  <si>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</si>
  <si>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</si>
  <si>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</si>
  <si>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</si>
  <si>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</si>
  <si>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</si>
  <si>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</si>
  <si>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</si>
  <si>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</si>
  <si>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</si>
  <si>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</si>
  <si>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</si>
  <si>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</si>
  <si>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</si>
  <si>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</si>
  <si>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</si>
  <si>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</si>
  <si>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</si>
  <si>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</si>
  <si>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</si>
  <si>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</si>
  <si>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</si>
  <si>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</si>
  <si>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</si>
  <si>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</si>
  <si>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t>北京奥林匹克花园</t>
    <phoneticPr fontId="3" type="noConversion"/>
  </si>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</sst>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7" fontId="72" fillId="26" borderId="2" xfId="0" applyNumberFormat="1" applyFont="1" applyFill="1" applyBorder="1" applyAlignment="1" applyProtection="1">
      <alignment vertical="center" wrapText="1"/>
      <protection locked="0"/>
    </xf>
    <xf numFmtId="177" fontId="11" fillId="26" borderId="2" xfId="0" applyNumberFormat="1" applyFont="1" applyFill="1" applyBorder="1" applyAlignment="1" applyProtection="1">
      <alignment horizontal="center" vertical="center" wrapText="1"/>
      <protection locked="0"/>
    </xf>
    <xf numFmtId="178" fontId="72" fillId="26" borderId="2" xfId="2" applyNumberFormat="1" applyFont="1" applyFill="1" applyBorder="1" applyAlignment="1" applyProtection="1">
      <alignment horizontal="center" vertical="center"/>
      <protection locked="0"/>
    </xf>
    <xf numFmtId="0" fontId="82" fillId="26" borderId="25" xfId="2" applyFont="1" applyFill="1" applyBorder="1" applyAlignment="1" applyProtection="1">
      <alignment horizontal="center" vertical="center"/>
      <protection locked="0"/>
    </xf>
    <xf numFmtId="0" fontId="129" fillId="26" borderId="63" xfId="0" applyFont="1" applyFill="1" applyBorder="1" applyAlignment="1" applyProtection="1">
      <alignment horizontal="left" vertical="center" wrapText="1"/>
      <protection locked="0"/>
    </xf>
    <xf numFmtId="0" fontId="71" fillId="26" borderId="44" xfId="0"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cellXfs>
  <cellStyles count="23">
    <cellStyle name="百分比" xfId="16" builtinId="5"/>
    <cellStyle name="百分比 2" xfId="11"/>
    <cellStyle name="百分比 3" xfId="22"/>
    <cellStyle name="常规" xfId="0" builtinId="0"/>
    <cellStyle name="常规 10" xfId="18"/>
    <cellStyle name="常规 11" xfId="17"/>
    <cellStyle name="常规 13" xfId="20"/>
    <cellStyle name="常规 16" xfId="1"/>
    <cellStyle name="常规 16 2" xfId="2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xmlns=""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xmlns=""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xmlns=""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xmlns=""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xmlns=""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4" customWidth="1"/>
    <col min="2" max="2" width="78.25" style="2185" customWidth="1"/>
    <col min="3" max="18" width="9" style="2178"/>
    <col min="19" max="19" width="17.875" style="2178" customWidth="1"/>
    <col min="20" max="51" width="9" style="2178"/>
    <col min="52" max="52" width="13.25" style="2178" customWidth="1"/>
    <col min="53" max="53" width="13.5" style="2178" bestFit="1" customWidth="1"/>
    <col min="54" max="54" width="11.625" style="2178" bestFit="1" customWidth="1"/>
    <col min="55" max="55" width="13.5" style="2178" bestFit="1" customWidth="1"/>
    <col min="56" max="16384" width="9" style="2178"/>
  </cols>
  <sheetData>
    <row r="1" spans="1:55" s="2190" customFormat="1" ht="16.5" thickBot="1">
      <c r="A1" s="2188" t="s">
        <v>1933</v>
      </c>
      <c r="B1" s="2189" t="s">
        <v>2030</v>
      </c>
    </row>
    <row r="2" spans="1:55" s="2193" customFormat="1" ht="15" thickTop="1">
      <c r="A2" s="2191" t="s">
        <v>1937</v>
      </c>
      <c r="B2" s="2192" t="str">
        <f>'预评函-封皮'!B37</f>
        <v>北京市朝阳区三间房D区棚户区改造出让国有建设用地使用权抵押价格预评估</v>
      </c>
      <c r="AX2" s="2194"/>
      <c r="AZ2" s="2194"/>
      <c r="BA2" s="2195"/>
      <c r="BC2" s="2195"/>
    </row>
    <row r="3" spans="1:55">
      <c r="A3" s="2179" t="s">
        <v>1938</v>
      </c>
      <c r="B3" s="2180" t="str">
        <f>'预评函-封皮'!B40</f>
        <v>光大东高地</v>
      </c>
    </row>
    <row r="4" spans="1:55" s="2181" customFormat="1">
      <c r="A4" s="2179" t="s">
        <v>1939</v>
      </c>
      <c r="B4" s="2180" t="str">
        <f>'预评函-封皮'!B46</f>
        <v>赵雯、郑燚</v>
      </c>
      <c r="N4" s="2181" t="str">
        <f>'预评函-1'!A28</f>
        <v/>
      </c>
    </row>
    <row r="5" spans="1:55" s="2190" customFormat="1" ht="15" thickBot="1">
      <c r="A5" s="2196" t="s">
        <v>1940</v>
      </c>
      <c r="B5" s="2197" t="str">
        <f>'预评函-封皮'!B49</f>
        <v>康正预评字号</v>
      </c>
    </row>
    <row r="6" spans="1:55" s="2198" customFormat="1" ht="15" thickTop="1">
      <c r="A6" s="2191" t="s">
        <v>1982</v>
      </c>
      <c r="B6" s="2192" t="str">
        <f>'预评函-1'!A4</f>
        <v>受贵公司委托，我公司对北京市朝阳区三间房D区棚户区改造出让国有建设用地使用权抵押价格进行了预评估。</v>
      </c>
      <c r="AM6" s="2199"/>
    </row>
    <row r="7" spans="1:55">
      <c r="A7" s="2179" t="s">
        <v>1934</v>
      </c>
      <c r="B7" s="2180"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79" t="s">
        <v>1935</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1985</v>
      </c>
      <c r="B9" s="2180" t="e">
        <f>'预评函-1'!A9</f>
        <v>#REF!</v>
      </c>
    </row>
    <row r="10" spans="1:55">
      <c r="A10" s="2179" t="s">
        <v>1936</v>
      </c>
      <c r="B10" s="2180" t="str">
        <f>'预评函-1'!A11</f>
        <v>2025年5月12日（评估专业人员勘察现场之日）</v>
      </c>
    </row>
    <row r="11" spans="1:55">
      <c r="A11" s="2179" t="s">
        <v>1942</v>
      </c>
      <c r="B11" s="2180" t="str">
        <f>'预评函-1'!A14</f>
        <v>根据合同，本次评估估价对象证载（地类）用途为。</v>
      </c>
    </row>
    <row r="12" spans="1:55">
      <c r="A12" s="2179" t="s">
        <v>1943</v>
      </c>
      <c r="B12" s="2180" t="str">
        <f>'预评函-1'!A15</f>
        <v>本次评估设定用途即为证载用途。</v>
      </c>
    </row>
    <row r="13" spans="1:55">
      <c r="A13" s="2179" t="s">
        <v>1944</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1945</v>
      </c>
      <c r="B14" s="2180" t="str">
        <f>'预评函-1'!A18</f>
        <v>本次评估设定土地开发程度为红线外市政基础设施达“七通”、宗地红线内场地平整。</v>
      </c>
    </row>
    <row r="15" spans="1:55">
      <c r="A15" s="2179" t="s">
        <v>1941</v>
      </c>
      <c r="B15" s="2180" t="str">
        <f>'预评函-1'!A20</f>
        <v>根据《出让合同》[]，估价对象（分摊）出让国有建设用地使用权面积为36842.3平方米。根据指标，估价对象规划建筑面积为122231.91平方米。</v>
      </c>
    </row>
    <row r="16" spans="1:55">
      <c r="A16" s="2179" t="s">
        <v>1946</v>
      </c>
      <c r="B16" s="2180" t="str">
        <f>'预评函-1'!A22</f>
        <v>本次估价对象为出让国有建设用地使用权，合同证载土地终止日期为商业2065年2月16日车库2075年2月16日、仓储2075年2月16日公共服务2075年2月16日。截至估价期日，出让国有建设用地使用权剩余土地使用年限为。</v>
      </c>
    </row>
    <row r="17" spans="1:48">
      <c r="A17" s="2179" t="s">
        <v>1947</v>
      </c>
      <c r="B17" s="2180" t="str">
        <f>'预评函-1'!A23</f>
        <v>本次评估设定估价对象剩余土地使用年限为。</v>
      </c>
    </row>
    <row r="18" spans="1:48">
      <c r="A18" s="2179" t="s">
        <v>1948</v>
      </c>
      <c r="B18" s="2180" t="str">
        <f>'预评函-1'!A25</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19" spans="1:48">
      <c r="A19" s="2179" t="s">
        <v>1949</v>
      </c>
      <c r="B19" s="2180" t="str">
        <f>'预评函-1'!A26</f>
        <v>本次估价的“抵押价格”是指估价对象在估价期日的“出让国有建设用地使用权价格”扣减估价师于估价期日所知悉的法定优先受偿款后的余额。</v>
      </c>
    </row>
    <row r="20" spans="1:48">
      <c r="A20" s="2179" t="s">
        <v>1950</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5" thickBot="1">
      <c r="A21" s="2196" t="s">
        <v>1951</v>
      </c>
      <c r="B21" s="2197" t="str">
        <f>'预评函-1'!A28</f>
        <v/>
      </c>
    </row>
    <row r="22" spans="1:48" ht="15" thickTop="1">
      <c r="A22" s="2186" t="s">
        <v>1952</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1953</v>
      </c>
      <c r="B23" s="2180" t="str">
        <f>'预评函-2'!K2</f>
        <v>估价期日：2025年5月12日</v>
      </c>
    </row>
    <row r="24" spans="1:48">
      <c r="A24" s="2179" t="s">
        <v>1954</v>
      </c>
      <c r="B24" s="2180" t="str">
        <f>'预评函-2'!R2</f>
        <v>估价期日的国有建设用地使用权性质：出让</v>
      </c>
    </row>
    <row r="25" spans="1:48">
      <c r="A25" s="2179" t="s">
        <v>2010</v>
      </c>
      <c r="B25" s="2180" t="str">
        <f>'预评函-2'!A3</f>
        <v>估价期日土地使用者</v>
      </c>
    </row>
    <row r="26" spans="1:48">
      <c r="A26" s="2179" t="s">
        <v>1986</v>
      </c>
      <c r="B26" s="2180" t="str">
        <f>'预评函-2'!A5</f>
        <v>中信开发</v>
      </c>
    </row>
    <row r="27" spans="1:48">
      <c r="A27" s="2179" t="s">
        <v>2011</v>
      </c>
      <c r="B27" s="2180" t="str">
        <f>'预评函-2'!B3</f>
        <v>宗地编号/不动产单元号</v>
      </c>
    </row>
    <row r="28" spans="1:48">
      <c r="A28" s="2179" t="s">
        <v>1987</v>
      </c>
      <c r="B28" s="2180" t="str">
        <f>'预评函-2'!B5</f>
        <v>11111111111</v>
      </c>
    </row>
    <row r="29" spans="1:48">
      <c r="A29" s="2179" t="s">
        <v>2013</v>
      </c>
      <c r="B29" s="2180">
        <f>'预评函-2'!C5</f>
        <v>22</v>
      </c>
    </row>
    <row r="30" spans="1:48">
      <c r="A30" s="2179" t="s">
        <v>2014</v>
      </c>
      <c r="B30" s="2180" t="str">
        <f>'预评函-2'!D3</f>
        <v>土地使用证编号/不动产权证书编号</v>
      </c>
    </row>
    <row r="31" spans="1:48">
      <c r="A31" s="2179" t="s">
        <v>1988</v>
      </c>
      <c r="B31" s="2180" t="str">
        <f>'预评函-2'!D5</f>
        <v>京国土字第111号</v>
      </c>
    </row>
    <row r="32" spans="1:48">
      <c r="A32" s="2179" t="s">
        <v>1989</v>
      </c>
      <c r="B32" s="2180">
        <f>'预评函-2'!E5</f>
        <v>0</v>
      </c>
      <c r="AV32" s="2182"/>
    </row>
    <row r="33" spans="1:2">
      <c r="A33" s="2179" t="s">
        <v>1990</v>
      </c>
      <c r="B33" s="2180">
        <f>'预评函-2'!F5</f>
        <v>258</v>
      </c>
    </row>
    <row r="34" spans="1:2">
      <c r="A34" s="2179" t="s">
        <v>1991</v>
      </c>
      <c r="B34" s="2180">
        <f>'预评函-2'!G5</f>
        <v>0</v>
      </c>
    </row>
    <row r="35" spans="1:2">
      <c r="A35" s="2179" t="s">
        <v>1992</v>
      </c>
      <c r="B35" s="2180">
        <f>'预评函-2'!H5</f>
        <v>1.5</v>
      </c>
    </row>
    <row r="36" spans="1:2">
      <c r="A36" s="2179" t="s">
        <v>1993</v>
      </c>
      <c r="B36" s="2180">
        <f>'预评函-2'!I5</f>
        <v>1.5</v>
      </c>
    </row>
    <row r="37" spans="1:2">
      <c r="A37" s="2179" t="s">
        <v>1994</v>
      </c>
      <c r="B37" s="2180">
        <f>'预评函-2'!J5</f>
        <v>1.5</v>
      </c>
    </row>
    <row r="38" spans="1:2">
      <c r="A38" s="2179" t="s">
        <v>1995</v>
      </c>
      <c r="B38" s="2180" t="str">
        <f>'预评函-2'!K5</f>
        <v>红线外七通、宗地红线内场地平整</v>
      </c>
    </row>
    <row r="39" spans="1:2">
      <c r="A39" s="2179" t="s">
        <v>1996</v>
      </c>
      <c r="B39" s="2180" t="str">
        <f>'预评函-2'!L5</f>
        <v>红线外七通、宗地红线内场地平整</v>
      </c>
    </row>
    <row r="40" spans="1:2">
      <c r="A40" s="2179" t="s">
        <v>2015</v>
      </c>
      <c r="B40" s="2180" t="str">
        <f>'预评函-2'!M3</f>
        <v>（剩余）土地使用年限/年</v>
      </c>
    </row>
    <row r="41" spans="1:2">
      <c r="A41" s="2179" t="s">
        <v>1997</v>
      </c>
      <c r="B41" s="2180">
        <f>'预评函-2'!M5</f>
        <v>0</v>
      </c>
    </row>
    <row r="42" spans="1:2">
      <c r="A42" s="2179" t="s">
        <v>2016</v>
      </c>
      <c r="B42" s="2180" t="str">
        <f>'预评函-2'!N3</f>
        <v>（分摊）出让国有建设用地使用权面积/㎡</v>
      </c>
    </row>
    <row r="43" spans="1:2">
      <c r="A43" s="2179" t="s">
        <v>1998</v>
      </c>
      <c r="B43" s="2180">
        <f>'预评函-2'!N5</f>
        <v>36842.300000000003</v>
      </c>
    </row>
    <row r="44" spans="1:2">
      <c r="A44" s="2179" t="s">
        <v>2017</v>
      </c>
      <c r="B44" s="2180" t="str">
        <f>'预评函-2'!O3</f>
        <v>规划建筑面积/㎡</v>
      </c>
    </row>
    <row r="45" spans="1:2">
      <c r="A45" s="2179" t="s">
        <v>1999</v>
      </c>
      <c r="B45" s="2180">
        <f>'预评函-2'!O5</f>
        <v>122231.91</v>
      </c>
    </row>
    <row r="46" spans="1:2">
      <c r="A46" s="2179" t="s">
        <v>2000</v>
      </c>
      <c r="B46" s="2180">
        <f ca="1">'预评函-2'!P5</f>
        <v>122318</v>
      </c>
    </row>
    <row r="47" spans="1:2">
      <c r="A47" s="2179" t="s">
        <v>2001</v>
      </c>
      <c r="B47" s="2180">
        <f ca="1">'预评函-2'!Q5</f>
        <v>36868</v>
      </c>
    </row>
    <row r="48" spans="1:2">
      <c r="A48" s="2179" t="s">
        <v>2002</v>
      </c>
      <c r="B48" s="2180">
        <f ca="1">'预评函-2'!R5</f>
        <v>450648</v>
      </c>
    </row>
    <row r="49" spans="1:2">
      <c r="A49" s="2179" t="s">
        <v>2018</v>
      </c>
      <c r="B49" s="2180" t="str">
        <f>'预评函-2'!A6</f>
        <v>抵押价格</v>
      </c>
    </row>
    <row r="50" spans="1:2">
      <c r="A50" s="2179" t="s">
        <v>2003</v>
      </c>
      <c r="B50" s="2180">
        <f ca="1">'预评函-2'!R6</f>
        <v>446078</v>
      </c>
    </row>
    <row r="51" spans="1:2">
      <c r="A51" s="2179" t="s">
        <v>2019</v>
      </c>
      <c r="B51" s="2180" t="str">
        <f>'预评函-2'!A7</f>
        <v>——</v>
      </c>
    </row>
    <row r="52" spans="1:2">
      <c r="A52" s="2179" t="s">
        <v>2004</v>
      </c>
      <c r="B52" s="2180" t="str">
        <f>'预评函-2'!R7</f>
        <v>——</v>
      </c>
    </row>
    <row r="53" spans="1:2">
      <c r="A53" s="2179" t="s">
        <v>2020</v>
      </c>
      <c r="B53" s="2180" t="str">
        <f>'预评函-2'!A8</f>
        <v>——</v>
      </c>
    </row>
    <row r="54" spans="1:2" s="2190" customFormat="1" ht="15" thickBot="1">
      <c r="A54" s="2196" t="s">
        <v>2005</v>
      </c>
      <c r="B54" s="2197" t="str">
        <f>'预评函-2'!R8</f>
        <v>——</v>
      </c>
    </row>
    <row r="55" spans="1:2" ht="15" thickTop="1">
      <c r="A55" s="2186" t="s">
        <v>1955</v>
      </c>
      <c r="B55" s="2187" t="str">
        <f>'预评函-3'!A2</f>
        <v>1.权利限制：根据估价对象、，截至估价期日，估价对象抵押权未见登记。未设定租赁等其他他项权利。</v>
      </c>
    </row>
    <row r="56" spans="1:2">
      <c r="A56" s="2179" t="s">
        <v>1956</v>
      </c>
      <c r="B56" s="2180" t="str">
        <f>'预评函-3'!A3</f>
        <v>2.基础设施条件：估价对象实际开发程度为红线外七通、宗地红线内场地平整；本次评估设定开发程度为红线外七通、宗地红线内场地平整。</v>
      </c>
    </row>
    <row r="57" spans="1:2">
      <c r="A57" s="2179" t="s">
        <v>1957</v>
      </c>
      <c r="B57" s="2180" t="str">
        <f>'预评函-3'!A4</f>
        <v>3.估价规划限制条件：详见指标。</v>
      </c>
    </row>
    <row r="58" spans="1:2" s="2190" customFormat="1" ht="15" thickBot="1">
      <c r="A58" s="2196" t="s">
        <v>2006</v>
      </c>
      <c r="B58" s="2197" t="str">
        <f>'预评函-3'!A5</f>
        <v>4.影响价格的其他限定条件：无。</v>
      </c>
    </row>
    <row r="59" spans="1:2" ht="15" thickTop="1">
      <c r="A59" s="2186" t="s">
        <v>1958</v>
      </c>
      <c r="B59" s="2187" t="str">
        <f>'预评函-3'!A8</f>
        <v>2.本《评估意见函》仅供金融机构进行内部审核使用，不做其他目的之用。</v>
      </c>
    </row>
    <row r="60" spans="1:2">
      <c r="A60" s="2179" t="s">
        <v>1959</v>
      </c>
      <c r="B60" s="2180" t="str">
        <f>'预评函-3'!A9</f>
        <v>3.抵押双方在办理抵押登记手续时，应使用本公司出具的正式《土地估价报告》，特提请报告使用者注意。</v>
      </c>
    </row>
    <row r="61" spans="1:2">
      <c r="A61" s="2179" t="s">
        <v>1961</v>
      </c>
      <c r="B61" s="2180" t="str">
        <f>'预评函-3'!A10</f>
        <v>4.估价师所知悉的法定优先受偿款情况为：</v>
      </c>
    </row>
    <row r="62" spans="1:2">
      <c r="A62" s="2179" t="s">
        <v>1960</v>
      </c>
      <c r="B62" s="2180" t="str">
        <f>'预评函-3'!A11</f>
        <v>（1）根据估价对象、，截至估价期日，估价对象抵押权未见登记。</v>
      </c>
    </row>
    <row r="63" spans="1:2">
      <c r="A63" s="2179" t="s">
        <v>1962</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1963</v>
      </c>
      <c r="B64" s="2183" t="str">
        <f>'预评函-3'!A13</f>
        <v>（3）。</v>
      </c>
    </row>
    <row r="65" spans="1:2">
      <c r="A65" s="2179" t="s">
        <v>1964</v>
      </c>
      <c r="B65" s="2180" t="str">
        <f>'预评函-3'!A14</f>
        <v>综上，本次评估估价师知悉的法定优先受偿款为人民币4570万元整。</v>
      </c>
    </row>
    <row r="66" spans="1:2">
      <c r="A66" s="2179" t="s">
        <v>1965</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1966</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5" thickBot="1">
      <c r="A68" s="2196" t="s">
        <v>1969</v>
      </c>
      <c r="B68" s="2200">
        <f>'预评函-3'!D30</f>
        <v>42558</v>
      </c>
    </row>
    <row r="69" spans="1:2" ht="15" thickTop="1">
      <c r="A69" s="2186" t="s">
        <v>1967</v>
      </c>
      <c r="B69" s="2187" t="str">
        <f>'预评函-3'!A20</f>
        <v>赵雯</v>
      </c>
    </row>
    <row r="70" spans="1:2">
      <c r="A70" s="2179" t="s">
        <v>1967</v>
      </c>
      <c r="B70" s="2180">
        <f ca="1">'预评函-3'!B20</f>
        <v>2011110090</v>
      </c>
    </row>
    <row r="71" spans="1:2">
      <c r="A71" s="2179" t="s">
        <v>1968</v>
      </c>
      <c r="B71" s="2180" t="str">
        <f>'预评函-3'!A21</f>
        <v>郑燚</v>
      </c>
    </row>
    <row r="72" spans="1:2" s="2190" customFormat="1" ht="15" thickBot="1">
      <c r="A72" s="2196" t="s">
        <v>1968</v>
      </c>
      <c r="B72" s="2197">
        <f ca="1">'预评函-3'!B21</f>
        <v>2014110011</v>
      </c>
    </row>
    <row r="73" spans="1:2" ht="15" thickTop="1">
      <c r="A73" s="2186" t="s">
        <v>2027</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2028</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5" thickBot="1">
      <c r="A75" s="2196" t="s">
        <v>2029</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4" t="s">
        <v>2059</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1"/>
    <col min="9" max="18" width="9.625" style="2691" customWidth="1"/>
    <col min="19" max="16384" width="15.25" style="2691"/>
  </cols>
  <sheetData>
    <row r="1" spans="1:18">
      <c r="A1" s="3027" t="s">
        <v>2655</v>
      </c>
      <c r="B1" s="3028"/>
      <c r="C1" s="3028"/>
      <c r="D1" s="3028"/>
      <c r="E1" s="3028"/>
      <c r="F1" s="3029"/>
      <c r="I1" s="3046" t="s">
        <v>3268</v>
      </c>
      <c r="J1" s="3059"/>
      <c r="K1" s="3059"/>
      <c r="L1" s="3059"/>
      <c r="M1" s="3059"/>
      <c r="N1" s="3192"/>
      <c r="O1" s="3192"/>
      <c r="P1" s="3192"/>
      <c r="Q1" s="3192"/>
      <c r="R1" s="3192"/>
    </row>
    <row r="2" spans="1:18">
      <c r="A2" s="3030"/>
      <c r="B2" s="3031"/>
      <c r="C2" s="3031"/>
      <c r="D2" s="3031"/>
      <c r="E2" s="3031"/>
      <c r="F2" s="3032"/>
      <c r="I2" s="3535" t="s">
        <v>3269</v>
      </c>
      <c r="J2" s="3535"/>
      <c r="K2" s="3535"/>
      <c r="L2" s="3535"/>
      <c r="M2" s="3535"/>
      <c r="N2" s="3535"/>
      <c r="O2" s="3535"/>
      <c r="P2" s="3535"/>
      <c r="Q2" s="3535"/>
      <c r="R2" s="3535"/>
    </row>
    <row r="3" spans="1:18">
      <c r="A3" s="2984" t="s">
        <v>2656</v>
      </c>
      <c r="B3" s="3033">
        <f>项目基本情况!D3</f>
        <v>45789</v>
      </c>
      <c r="C3" s="3034"/>
      <c r="D3" s="3034"/>
      <c r="E3" s="3034"/>
      <c r="F3" s="3032"/>
      <c r="I3" s="3050"/>
      <c r="J3" s="3050" t="s">
        <v>3270</v>
      </c>
      <c r="K3" s="3050" t="s">
        <v>3271</v>
      </c>
      <c r="L3" s="3050" t="s">
        <v>3272</v>
      </c>
      <c r="M3" s="3050" t="s">
        <v>3273</v>
      </c>
      <c r="N3" s="3389" t="s">
        <v>3274</v>
      </c>
      <c r="O3" s="3389" t="s">
        <v>3275</v>
      </c>
      <c r="P3" s="3389" t="s">
        <v>3276</v>
      </c>
      <c r="Q3" s="3389" t="s">
        <v>3277</v>
      </c>
      <c r="R3" s="3389" t="s">
        <v>3266</v>
      </c>
    </row>
    <row r="4" spans="1:18">
      <c r="A4" s="2984" t="s">
        <v>2657</v>
      </c>
      <c r="B4" s="3035" t="s">
        <v>2658</v>
      </c>
      <c r="C4" s="3035" t="s">
        <v>2659</v>
      </c>
      <c r="D4" s="3035" t="s">
        <v>2660</v>
      </c>
      <c r="E4" s="3035" t="s">
        <v>2661</v>
      </c>
      <c r="F4" s="3032"/>
      <c r="I4" s="3050" t="s">
        <v>3278</v>
      </c>
      <c r="J4" s="3050">
        <v>80</v>
      </c>
      <c r="K4" s="3050">
        <v>70</v>
      </c>
      <c r="L4" s="3050">
        <v>20</v>
      </c>
      <c r="M4" s="3050">
        <v>30</v>
      </c>
      <c r="N4" s="3035">
        <v>45</v>
      </c>
      <c r="O4" s="3035">
        <v>60</v>
      </c>
      <c r="P4" s="3035">
        <v>50</v>
      </c>
      <c r="Q4" s="3035">
        <v>20</v>
      </c>
      <c r="R4" s="3035">
        <v>375</v>
      </c>
    </row>
    <row r="5" spans="1:18">
      <c r="A5" s="3036"/>
      <c r="B5" s="3033"/>
      <c r="C5" s="3035">
        <f>ROUNDDOWN(MIN((B5-B3)/365,A5),2)</f>
        <v>-125.44</v>
      </c>
      <c r="D5" s="3037">
        <f>IF(ISERROR(ROUND(POWER(1+E5,A5-C5)*(POWER(1+E5,C5)-1)/(POWER(1+E5,A5)-1),3)),0,ROUND(POWER(1+E5,A5-C5)*(POWER(1+E5,C5)-1)/(POWER(1+E5,A5)-1),4))</f>
        <v>0</v>
      </c>
      <c r="E5" s="3038"/>
      <c r="F5" s="3032"/>
      <c r="I5" s="3050" t="s">
        <v>3279</v>
      </c>
      <c r="J5" s="3050">
        <v>70</v>
      </c>
      <c r="K5" s="3050">
        <v>60</v>
      </c>
      <c r="L5" s="3050">
        <v>15</v>
      </c>
      <c r="M5" s="3050">
        <v>25</v>
      </c>
      <c r="N5" s="3035">
        <v>40</v>
      </c>
      <c r="O5" s="3035">
        <v>50</v>
      </c>
      <c r="P5" s="3035">
        <v>40</v>
      </c>
      <c r="Q5" s="3035">
        <v>15</v>
      </c>
      <c r="R5" s="3035">
        <v>315</v>
      </c>
    </row>
    <row r="6" spans="1:18">
      <c r="A6" s="3036"/>
      <c r="B6" s="3033"/>
      <c r="C6" s="3035">
        <f>ROUNDDOWN(MIN((B6-B3)/365,A6),2)</f>
        <v>-125.44</v>
      </c>
      <c r="D6" s="3037">
        <f>IF(ISERROR(ROUND(POWER(1+E6,A6-C6)*(POWER(1+E6,C6)-1)/(POWER(1+E6,A6)-1),3)),0,ROUND(POWER(1+E6,A6-C6)*(POWER(1+E6,C6)-1)/(POWER(1+E6,A6)-1),4))</f>
        <v>0</v>
      </c>
      <c r="E6" s="3038"/>
      <c r="F6" s="3032"/>
      <c r="I6" s="3050" t="s">
        <v>3280</v>
      </c>
      <c r="J6" s="3050">
        <v>60</v>
      </c>
      <c r="K6" s="3050">
        <v>50</v>
      </c>
      <c r="L6" s="3050">
        <v>10</v>
      </c>
      <c r="M6" s="3050">
        <v>20</v>
      </c>
      <c r="N6" s="3035">
        <v>35</v>
      </c>
      <c r="O6" s="3035">
        <v>40</v>
      </c>
      <c r="P6" s="3035">
        <v>30</v>
      </c>
      <c r="Q6" s="3035">
        <v>10</v>
      </c>
      <c r="R6" s="3035">
        <v>255</v>
      </c>
    </row>
    <row r="7" spans="1:18">
      <c r="A7" s="3036"/>
      <c r="B7" s="3033"/>
      <c r="C7" s="3035">
        <f>ROUNDDOWN(MIN((B7-B3)/365,A7),2)</f>
        <v>-125.44</v>
      </c>
      <c r="D7" s="3037">
        <f>IF(ISERROR(ROUND(POWER(1+E7,A7-C7)*(POWER(1+E7,C7)-1)/(POWER(1+E7,A7)-1),3)),0,ROUND(POWER(1+E7,A7-C7)*(POWER(1+E7,C7)-1)/(POWER(1+E7,A7)-1),4))</f>
        <v>0</v>
      </c>
      <c r="E7" s="3038"/>
      <c r="F7" s="3032"/>
    </row>
    <row r="8" spans="1:18">
      <c r="A8" s="3030"/>
      <c r="B8" s="3031"/>
      <c r="C8" s="3031"/>
      <c r="D8" s="3031"/>
      <c r="E8" s="3031"/>
      <c r="F8" s="3032"/>
    </row>
    <row r="9" spans="1:18">
      <c r="A9" s="2984" t="s">
        <v>2662</v>
      </c>
      <c r="B9" s="3035"/>
      <c r="C9" s="3035"/>
      <c r="D9" s="3035"/>
      <c r="E9" s="3035"/>
      <c r="F9" s="3039"/>
    </row>
    <row r="10" spans="1:18">
      <c r="A10" s="2984" t="s">
        <v>2663</v>
      </c>
      <c r="B10" s="3035"/>
      <c r="C10" s="3035"/>
      <c r="D10" s="3035" t="s">
        <v>2661</v>
      </c>
      <c r="E10" s="3035"/>
      <c r="F10" s="3039" t="s">
        <v>2660</v>
      </c>
    </row>
    <row r="11" spans="1:18">
      <c r="A11" s="2984" t="s">
        <v>2664</v>
      </c>
      <c r="B11" s="3040"/>
      <c r="C11" s="3035" t="s">
        <v>2665</v>
      </c>
      <c r="D11" s="3040"/>
      <c r="E11" s="3035" t="s">
        <v>2666</v>
      </c>
      <c r="F11" s="3041">
        <f>ROUND(1-(1/(POWER(1+D11,B11))),4)</f>
        <v>0</v>
      </c>
    </row>
    <row r="12" spans="1:18">
      <c r="A12" s="2984" t="s">
        <v>2667</v>
      </c>
      <c r="B12" s="3040"/>
      <c r="C12" s="3035" t="s">
        <v>2668</v>
      </c>
      <c r="D12" s="3040"/>
      <c r="E12" s="3035" t="s">
        <v>2669</v>
      </c>
      <c r="F12" s="3041">
        <f>ROUND(1-(1/(POWER(1+D12,B12))),4)</f>
        <v>0</v>
      </c>
    </row>
    <row r="13" spans="1:18">
      <c r="A13" s="2984" t="s">
        <v>2670</v>
      </c>
      <c r="B13" s="3035"/>
      <c r="C13" s="3034"/>
      <c r="D13" s="3031"/>
      <c r="E13" s="3031"/>
      <c r="F13" s="3032"/>
    </row>
    <row r="14" spans="1:18">
      <c r="A14" s="2984" t="s">
        <v>2671</v>
      </c>
      <c r="B14" s="3040"/>
      <c r="C14" s="3034"/>
      <c r="D14" s="3031"/>
      <c r="E14" s="3031"/>
      <c r="F14" s="3032"/>
    </row>
    <row r="15" spans="1:18">
      <c r="A15" s="2984" t="s">
        <v>2672</v>
      </c>
      <c r="B15" s="3035" t="e">
        <f>ROUND(B14*F12/F11,2)</f>
        <v>#DIV/0!</v>
      </c>
      <c r="C15" s="3035" t="e">
        <f>ROUND(F12/F11,4)</f>
        <v>#DIV/0!</v>
      </c>
      <c r="D15" s="3031"/>
      <c r="E15" s="3031"/>
      <c r="F15" s="3032"/>
    </row>
    <row r="16" spans="1:18">
      <c r="A16" s="2984" t="s">
        <v>2673</v>
      </c>
      <c r="B16" s="3035"/>
      <c r="C16" s="3034"/>
      <c r="D16" s="3031"/>
      <c r="E16" s="3031"/>
      <c r="F16" s="3032"/>
    </row>
    <row r="17" spans="1:14">
      <c r="A17" s="2984" t="s">
        <v>2672</v>
      </c>
      <c r="B17" s="3040"/>
      <c r="C17" s="3034"/>
      <c r="D17" s="3031"/>
      <c r="E17" s="3031"/>
      <c r="F17" s="3032"/>
    </row>
    <row r="18" spans="1:14" ht="14.25" thickBot="1">
      <c r="A18" s="3042" t="s">
        <v>2671</v>
      </c>
      <c r="B18" s="3043" t="e">
        <f>ROUND(B17*F11/F12,2)</f>
        <v>#DIV/0!</v>
      </c>
      <c r="C18" s="3043" t="e">
        <f>ROUND(F11/F12,4)</f>
        <v>#DIV/0!</v>
      </c>
      <c r="D18" s="3044"/>
      <c r="E18" s="3044"/>
      <c r="F18" s="3045"/>
    </row>
    <row r="19" spans="1:14" ht="14.25" thickBot="1"/>
    <row r="20" spans="1:14" ht="14.25" thickTop="1">
      <c r="A20" s="3046" t="s">
        <v>2674</v>
      </c>
      <c r="B20" s="3047"/>
      <c r="C20" s="3047"/>
      <c r="D20" s="3047"/>
      <c r="E20" s="3047"/>
      <c r="F20" s="3047"/>
      <c r="G20" s="3048"/>
      <c r="I20" s="3392" t="s">
        <v>3281</v>
      </c>
      <c r="J20" s="3392" t="s">
        <v>3282</v>
      </c>
      <c r="K20" s="3392"/>
      <c r="L20" s="3392"/>
      <c r="M20" s="3392"/>
      <c r="N20" s="3393"/>
    </row>
    <row r="21" spans="1:14">
      <c r="A21" s="3049"/>
      <c r="B21" s="3050" t="s">
        <v>2675</v>
      </c>
      <c r="C21" s="3050" t="s">
        <v>2676</v>
      </c>
      <c r="D21" s="3050" t="s">
        <v>2677</v>
      </c>
      <c r="E21" s="3050" t="s">
        <v>2678</v>
      </c>
      <c r="F21" s="3050" t="s">
        <v>2679</v>
      </c>
      <c r="G21" s="3051" t="s">
        <v>2680</v>
      </c>
      <c r="I21" s="3394">
        <v>5</v>
      </c>
      <c r="J21" s="3394">
        <v>54.2</v>
      </c>
      <c r="K21" s="3394"/>
      <c r="L21" s="3394"/>
      <c r="M21" s="3394"/>
    </row>
    <row r="22" spans="1:14">
      <c r="A22" s="3049" t="s">
        <v>2681</v>
      </c>
      <c r="B22" s="3052">
        <v>50</v>
      </c>
      <c r="C22" s="3052">
        <v>32</v>
      </c>
      <c r="D22" s="3053">
        <v>0.05</v>
      </c>
      <c r="E22" s="3050">
        <f>ROUND(POWER(1+D22,B22-C22)*(POWER(1+D22,C22)-1)/(POWER(1+D22,B22)-1),3)</f>
        <v>0.86599999999999999</v>
      </c>
      <c r="F22" s="3053">
        <v>0.6</v>
      </c>
      <c r="G22" s="3051">
        <f>ROUND(100*(1-(1-E22)*F22),1)</f>
        <v>92</v>
      </c>
      <c r="I22" s="3394">
        <v>10</v>
      </c>
      <c r="J22" s="3394">
        <v>65.400000000000006</v>
      </c>
      <c r="K22" s="3394">
        <f>J22-J21</f>
        <v>11.200000000000003</v>
      </c>
      <c r="L22" s="3394"/>
      <c r="M22" s="3394"/>
    </row>
    <row r="23" spans="1:14">
      <c r="A23" s="3054" t="s">
        <v>2682</v>
      </c>
      <c r="B23" s="3052">
        <v>50</v>
      </c>
      <c r="C23" s="3052">
        <v>35</v>
      </c>
      <c r="D23" s="3053">
        <v>0.05</v>
      </c>
      <c r="E23" s="3050">
        <f>ROUND(POWER(1+D23,B23-C23)*(POWER(1+D23,C23)-1)/(POWER(1+D23,B23)-1),3)</f>
        <v>0.89700000000000002</v>
      </c>
      <c r="F23" s="3053">
        <f>F22</f>
        <v>0.6</v>
      </c>
      <c r="G23" s="3051">
        <f>ROUND(100*(1-(1-E23)*F23),1)</f>
        <v>93.8</v>
      </c>
      <c r="I23" s="3394">
        <v>15</v>
      </c>
      <c r="J23" s="3394">
        <v>74.099999999999994</v>
      </c>
      <c r="K23" s="3394">
        <f t="shared" ref="K23:K30" si="0">J23-J22</f>
        <v>8.6999999999999886</v>
      </c>
      <c r="L23" s="3394" t="s">
        <v>3283</v>
      </c>
      <c r="M23" s="3394"/>
      <c r="N23" s="3395" t="s">
        <v>3284</v>
      </c>
    </row>
    <row r="24" spans="1:14">
      <c r="A24" s="3054" t="s">
        <v>2683</v>
      </c>
      <c r="B24" s="3052">
        <v>50</v>
      </c>
      <c r="C24" s="3052">
        <v>25</v>
      </c>
      <c r="D24" s="3053">
        <v>0.05</v>
      </c>
      <c r="E24" s="3050">
        <f>ROUND(POWER(1+D24,B24-C24)*(POWER(1+D24,C24)-1)/(POWER(1+D24,B24)-1),3)</f>
        <v>0.77200000000000002</v>
      </c>
      <c r="F24" s="3053">
        <f>F23</f>
        <v>0.6</v>
      </c>
      <c r="G24" s="3051">
        <f>ROUND(100*(1-(1-E24)*F24),1)</f>
        <v>86.3</v>
      </c>
      <c r="I24" s="3394">
        <v>20</v>
      </c>
      <c r="J24" s="3394">
        <v>81</v>
      </c>
      <c r="K24" s="3394">
        <f t="shared" si="0"/>
        <v>6.9000000000000057</v>
      </c>
      <c r="L24" s="3394" t="s">
        <v>3285</v>
      </c>
      <c r="M24" s="3394"/>
      <c r="N24" s="3395">
        <v>10</v>
      </c>
    </row>
    <row r="25" spans="1:14">
      <c r="A25" s="3054" t="s">
        <v>2684</v>
      </c>
      <c r="B25" s="3052">
        <v>50</v>
      </c>
      <c r="C25" s="3052">
        <v>40</v>
      </c>
      <c r="D25" s="3053">
        <v>0.05</v>
      </c>
      <c r="E25" s="3050">
        <f>ROUND(POWER(1+D25,B25-C25)*(POWER(1+D25,C25)-1)/(POWER(1+D25,B25)-1),3)</f>
        <v>0.94</v>
      </c>
      <c r="F25" s="3053">
        <f>F24</f>
        <v>0.6</v>
      </c>
      <c r="G25" s="3051">
        <f>ROUND(100*(1-(1-E25)*F25),1)</f>
        <v>96.4</v>
      </c>
      <c r="I25" s="3394">
        <v>25</v>
      </c>
      <c r="J25" s="3394">
        <v>86.3</v>
      </c>
      <c r="K25" s="3394">
        <f t="shared" si="0"/>
        <v>5.2999999999999972</v>
      </c>
      <c r="L25" s="3394" t="s">
        <v>3286</v>
      </c>
      <c r="M25" s="3394"/>
      <c r="N25" s="3395">
        <v>8</v>
      </c>
    </row>
    <row r="26" spans="1:14">
      <c r="A26" s="3055"/>
      <c r="B26" s="3056"/>
      <c r="C26" s="3056"/>
      <c r="D26" s="3056"/>
      <c r="E26" s="3056"/>
      <c r="F26" s="3056"/>
      <c r="G26" s="3057"/>
      <c r="I26" s="3394">
        <v>30</v>
      </c>
      <c r="J26" s="3394">
        <v>90.5</v>
      </c>
      <c r="K26" s="3394">
        <f t="shared" si="0"/>
        <v>4.2000000000000028</v>
      </c>
      <c r="L26" s="3394" t="s">
        <v>3287</v>
      </c>
      <c r="M26" s="3394"/>
      <c r="N26" s="3395">
        <v>5</v>
      </c>
    </row>
    <row r="27" spans="1:14">
      <c r="A27" s="3058" t="s">
        <v>2685</v>
      </c>
      <c r="B27" s="3059"/>
      <c r="C27" s="3059"/>
      <c r="D27" s="3059"/>
      <c r="E27" s="3059"/>
      <c r="F27" s="3059"/>
      <c r="G27" s="3060"/>
      <c r="I27" s="3394">
        <v>35</v>
      </c>
      <c r="J27" s="3394">
        <v>93.8</v>
      </c>
      <c r="K27" s="3394">
        <f t="shared" si="0"/>
        <v>3.2999999999999972</v>
      </c>
      <c r="L27" s="3394" t="s">
        <v>3288</v>
      </c>
      <c r="M27" s="3394"/>
      <c r="N27" s="3395">
        <v>3</v>
      </c>
    </row>
    <row r="28" spans="1:14">
      <c r="A28" s="3058" t="s">
        <v>2686</v>
      </c>
      <c r="B28" s="3059"/>
      <c r="C28" s="3059"/>
      <c r="D28" s="3059"/>
      <c r="E28" s="3059"/>
      <c r="F28" s="3059"/>
      <c r="G28" s="3060"/>
      <c r="I28" s="3394">
        <v>40</v>
      </c>
      <c r="J28" s="3394">
        <v>96.4</v>
      </c>
      <c r="K28" s="3394">
        <f t="shared" si="0"/>
        <v>2.6000000000000085</v>
      </c>
      <c r="L28" s="3394" t="s">
        <v>3289</v>
      </c>
      <c r="M28" s="3394"/>
      <c r="N28" s="3395">
        <v>2</v>
      </c>
    </row>
    <row r="29" spans="1:14">
      <c r="A29" s="3058" t="s">
        <v>2687</v>
      </c>
      <c r="B29" s="3059"/>
      <c r="C29" s="3059"/>
      <c r="D29" s="3059"/>
      <c r="E29" s="3059"/>
      <c r="F29" s="3059"/>
      <c r="G29" s="3060"/>
      <c r="I29" s="3394">
        <v>45</v>
      </c>
      <c r="J29" s="3394">
        <v>98.4</v>
      </c>
      <c r="K29" s="3394">
        <f t="shared" si="0"/>
        <v>2</v>
      </c>
      <c r="L29" s="3394"/>
      <c r="M29" s="3394"/>
    </row>
    <row r="30" spans="1:14">
      <c r="A30" s="3058" t="s">
        <v>2688</v>
      </c>
      <c r="B30" s="3059"/>
      <c r="C30" s="3059"/>
      <c r="D30" s="3059"/>
      <c r="E30" s="3059"/>
      <c r="F30" s="3059"/>
      <c r="G30" s="3060"/>
      <c r="I30" s="3394">
        <v>50</v>
      </c>
      <c r="J30" s="3394">
        <v>100</v>
      </c>
      <c r="K30" s="3394">
        <f t="shared" si="0"/>
        <v>1.5999999999999943</v>
      </c>
      <c r="L30" s="3394"/>
      <c r="M30" s="3394"/>
    </row>
    <row r="31" spans="1:14">
      <c r="A31" s="3058" t="s">
        <v>2689</v>
      </c>
      <c r="B31" s="3059"/>
      <c r="C31" s="3059"/>
      <c r="D31" s="3059"/>
      <c r="E31" s="3059"/>
      <c r="F31" s="3059"/>
      <c r="G31" s="3060"/>
      <c r="I31" s="3394" t="s">
        <v>3290</v>
      </c>
      <c r="J31" s="3394"/>
      <c r="K31" s="3394"/>
      <c r="L31" s="3394"/>
      <c r="M31" s="3394"/>
    </row>
    <row r="32" spans="1:14">
      <c r="A32" s="3058" t="s">
        <v>2690</v>
      </c>
      <c r="B32" s="3059"/>
      <c r="C32" s="3059"/>
      <c r="D32" s="3059"/>
      <c r="E32" s="3059"/>
      <c r="F32" s="3059"/>
      <c r="G32" s="3060"/>
      <c r="I32" s="3394"/>
      <c r="J32" s="3394"/>
      <c r="K32" s="3394"/>
      <c r="L32" s="3394"/>
      <c r="M32" s="3394"/>
    </row>
    <row r="33" spans="1:14">
      <c r="A33" s="3058" t="s">
        <v>2691</v>
      </c>
      <c r="B33" s="3059"/>
      <c r="C33" s="3059"/>
      <c r="D33" s="3059"/>
      <c r="E33" s="3059"/>
      <c r="F33" s="3059"/>
      <c r="G33" s="3060"/>
      <c r="I33" s="3394" t="s">
        <v>3281</v>
      </c>
      <c r="J33" s="3394" t="s">
        <v>3291</v>
      </c>
      <c r="K33" s="3394"/>
      <c r="L33" s="3394"/>
      <c r="M33" s="3394"/>
    </row>
    <row r="34" spans="1:14">
      <c r="A34" s="3058" t="s">
        <v>2692</v>
      </c>
      <c r="B34" s="3059"/>
      <c r="C34" s="3059"/>
      <c r="D34" s="3059"/>
      <c r="E34" s="3059"/>
      <c r="F34" s="3059"/>
      <c r="G34" s="3060"/>
      <c r="I34" s="3394">
        <v>5</v>
      </c>
      <c r="J34" s="3394">
        <v>55.1</v>
      </c>
      <c r="K34" s="3394"/>
      <c r="L34" s="3394"/>
      <c r="M34" s="3394"/>
    </row>
    <row r="35" spans="1:14">
      <c r="A35" s="3058" t="s">
        <v>2693</v>
      </c>
      <c r="B35" s="3059"/>
      <c r="C35" s="3059"/>
      <c r="D35" s="3059"/>
      <c r="E35" s="3059"/>
      <c r="F35" s="3059"/>
      <c r="G35" s="3060"/>
      <c r="I35" s="3394">
        <v>10</v>
      </c>
      <c r="J35" s="3394">
        <v>67</v>
      </c>
      <c r="K35" s="3394">
        <f>J35-J34</f>
        <v>11.899999999999999</v>
      </c>
      <c r="L35" s="3394"/>
      <c r="M35" s="3394"/>
    </row>
    <row r="36" spans="1:14">
      <c r="A36" s="3058" t="s">
        <v>2694</v>
      </c>
      <c r="B36" s="3059"/>
      <c r="C36" s="3059"/>
      <c r="D36" s="3059"/>
      <c r="E36" s="3059"/>
      <c r="F36" s="3059"/>
      <c r="G36" s="3060"/>
      <c r="I36" s="3394">
        <v>15</v>
      </c>
      <c r="J36" s="3394">
        <v>76.3</v>
      </c>
      <c r="K36" s="3394">
        <f t="shared" ref="K36:K41" si="1">J36-J35</f>
        <v>9.2999999999999972</v>
      </c>
      <c r="L36" s="3394" t="s">
        <v>3283</v>
      </c>
      <c r="M36" s="3394"/>
      <c r="N36" s="3395" t="s">
        <v>3284</v>
      </c>
    </row>
    <row r="37" spans="1:14">
      <c r="A37" s="3058" t="s">
        <v>2695</v>
      </c>
      <c r="B37" s="3059"/>
      <c r="C37" s="3059"/>
      <c r="D37" s="3059"/>
      <c r="E37" s="3059"/>
      <c r="F37" s="3059"/>
      <c r="G37" s="3060"/>
      <c r="I37" s="3394">
        <v>20</v>
      </c>
      <c r="J37" s="3394">
        <v>83.6</v>
      </c>
      <c r="K37" s="3394">
        <f t="shared" si="1"/>
        <v>7.2999999999999972</v>
      </c>
      <c r="L37" s="3394" t="s">
        <v>3285</v>
      </c>
      <c r="M37" s="3394"/>
      <c r="N37" s="3395">
        <v>10</v>
      </c>
    </row>
    <row r="38" spans="1:14">
      <c r="A38" s="3058" t="s">
        <v>2696</v>
      </c>
      <c r="B38" s="3059"/>
      <c r="C38" s="3059"/>
      <c r="D38" s="3059"/>
      <c r="E38" s="3059"/>
      <c r="F38" s="3059"/>
      <c r="G38" s="3060"/>
      <c r="I38" s="3394">
        <v>25</v>
      </c>
      <c r="J38" s="3394">
        <v>89.3</v>
      </c>
      <c r="K38" s="3394">
        <f t="shared" si="1"/>
        <v>5.7000000000000028</v>
      </c>
      <c r="L38" s="3394" t="s">
        <v>3286</v>
      </c>
      <c r="M38" s="3394"/>
      <c r="N38" s="3395">
        <v>8</v>
      </c>
    </row>
    <row r="39" spans="1:14">
      <c r="A39" s="3058"/>
      <c r="B39" s="3059"/>
      <c r="C39" s="3059"/>
      <c r="D39" s="3059"/>
      <c r="E39" s="3059"/>
      <c r="F39" s="3059"/>
      <c r="G39" s="3060"/>
      <c r="I39" s="3394">
        <v>30</v>
      </c>
      <c r="J39" s="3394">
        <v>93.8</v>
      </c>
      <c r="K39" s="3394">
        <f t="shared" si="1"/>
        <v>4.5</v>
      </c>
      <c r="L39" s="3394" t="s">
        <v>3287</v>
      </c>
      <c r="M39" s="3394"/>
      <c r="N39" s="3395">
        <v>6</v>
      </c>
    </row>
    <row r="40" spans="1:14">
      <c r="A40" s="3061" t="s">
        <v>2697</v>
      </c>
      <c r="B40" s="3062"/>
      <c r="C40" s="3062"/>
      <c r="D40" s="3062"/>
      <c r="E40" s="3062"/>
      <c r="F40" s="3062"/>
      <c r="G40" s="3063"/>
      <c r="I40" s="3394">
        <v>35</v>
      </c>
      <c r="J40" s="3394">
        <v>97.2</v>
      </c>
      <c r="K40" s="3394">
        <f t="shared" si="1"/>
        <v>3.4000000000000057</v>
      </c>
      <c r="L40" s="3394" t="s">
        <v>3288</v>
      </c>
      <c r="M40" s="3394"/>
      <c r="N40" s="3395">
        <v>3</v>
      </c>
    </row>
    <row r="41" spans="1:14">
      <c r="A41" s="3064" t="s">
        <v>2698</v>
      </c>
      <c r="B41" s="3065" t="s">
        <v>2699</v>
      </c>
      <c r="C41" s="3066" t="s">
        <v>2700</v>
      </c>
      <c r="D41" s="3066" t="s">
        <v>2701</v>
      </c>
      <c r="E41" s="3067"/>
      <c r="F41" s="3068"/>
      <c r="G41" s="3069"/>
      <c r="I41" s="3394">
        <v>40</v>
      </c>
      <c r="J41" s="3394">
        <v>100</v>
      </c>
      <c r="K41" s="3394">
        <f t="shared" si="1"/>
        <v>2.7999999999999972</v>
      </c>
      <c r="L41" s="3394"/>
      <c r="M41" s="3394"/>
    </row>
    <row r="42" spans="1:14">
      <c r="A42" s="3064" t="s">
        <v>2702</v>
      </c>
      <c r="B42" s="3065" t="s">
        <v>2703</v>
      </c>
      <c r="C42" s="3066" t="s">
        <v>2703</v>
      </c>
      <c r="D42" s="3070" t="s">
        <v>2704</v>
      </c>
      <c r="E42" s="3062" t="s">
        <v>2705</v>
      </c>
      <c r="F42" s="3062"/>
      <c r="G42" s="3063"/>
      <c r="I42" s="3394"/>
      <c r="J42" s="3394"/>
      <c r="K42" s="3394"/>
      <c r="L42" s="3394"/>
      <c r="M42" s="3394"/>
    </row>
    <row r="43" spans="1:14">
      <c r="A43" s="3064" t="s">
        <v>2706</v>
      </c>
      <c r="B43" s="3065" t="s">
        <v>2707</v>
      </c>
      <c r="C43" s="3066" t="s">
        <v>2708</v>
      </c>
      <c r="D43" s="3066" t="s">
        <v>2709</v>
      </c>
      <c r="E43" s="3067" t="s">
        <v>2710</v>
      </c>
      <c r="F43" s="3068"/>
      <c r="G43" s="3069"/>
      <c r="I43" s="3394" t="s">
        <v>3281</v>
      </c>
      <c r="J43" s="3394" t="s">
        <v>3292</v>
      </c>
      <c r="K43" s="3394"/>
      <c r="L43" s="3394"/>
      <c r="M43" s="3394"/>
    </row>
    <row r="44" spans="1:14">
      <c r="A44" s="3064" t="s">
        <v>2711</v>
      </c>
      <c r="B44" s="3065" t="s">
        <v>2712</v>
      </c>
      <c r="C44" s="3066" t="s">
        <v>2713</v>
      </c>
      <c r="D44" s="3070">
        <v>0.5</v>
      </c>
      <c r="E44" s="3067" t="s">
        <v>2714</v>
      </c>
      <c r="F44" s="3068"/>
      <c r="G44" s="3069"/>
      <c r="I44" s="3394">
        <v>30</v>
      </c>
      <c r="J44" s="3394">
        <v>81.7</v>
      </c>
      <c r="K44" s="3394"/>
      <c r="L44" s="3394"/>
      <c r="M44" s="3394"/>
    </row>
    <row r="45" spans="1:14" ht="14.25" thickBot="1">
      <c r="A45" s="3071" t="s">
        <v>2715</v>
      </c>
      <c r="B45" s="3072" t="s">
        <v>2703</v>
      </c>
      <c r="C45" s="3073" t="s">
        <v>2703</v>
      </c>
      <c r="D45" s="3073" t="s">
        <v>2716</v>
      </c>
      <c r="E45" s="3074" t="s">
        <v>2717</v>
      </c>
      <c r="F45" s="3074"/>
      <c r="G45" s="3075"/>
      <c r="I45" s="3394">
        <v>40</v>
      </c>
      <c r="J45" s="3394">
        <v>89.2</v>
      </c>
      <c r="K45" s="3394">
        <f>J45-J44</f>
        <v>7.5</v>
      </c>
      <c r="L45" s="3394"/>
      <c r="M45" s="3394"/>
    </row>
    <row r="46" spans="1:14">
      <c r="I46" s="3394">
        <v>50</v>
      </c>
      <c r="J46" s="3394">
        <v>94.3</v>
      </c>
      <c r="K46" s="3394">
        <f t="shared" ref="K46:K47" si="2">J46-J45</f>
        <v>5.0999999999999943</v>
      </c>
      <c r="L46" s="3394"/>
      <c r="M46" s="3394"/>
    </row>
    <row r="47" spans="1:14">
      <c r="I47" s="3394">
        <v>60</v>
      </c>
      <c r="J47" s="3394">
        <v>97.7</v>
      </c>
      <c r="K47" s="3394">
        <f t="shared" si="2"/>
        <v>3.4000000000000057</v>
      </c>
      <c r="L47" s="3394"/>
      <c r="M47" s="3394"/>
    </row>
    <row r="48" spans="1:14" ht="14.25" thickBot="1"/>
    <row r="49" spans="1:4">
      <c r="A49" s="3046" t="s">
        <v>3267</v>
      </c>
    </row>
    <row r="50" spans="1:4">
      <c r="A50" s="3389" t="s">
        <v>3257</v>
      </c>
      <c r="B50" s="3389" t="s">
        <v>3254</v>
      </c>
      <c r="C50" s="3389" t="s">
        <v>3255</v>
      </c>
      <c r="D50" s="3389" t="s">
        <v>3256</v>
      </c>
    </row>
    <row r="51" spans="1:4">
      <c r="A51" s="3389" t="s">
        <v>3258</v>
      </c>
      <c r="B51" s="3035">
        <f>B52+B53</f>
        <v>15000</v>
      </c>
      <c r="C51" s="3390">
        <f>D51/B51</f>
        <v>2666.6666666666665</v>
      </c>
      <c r="D51" s="3035">
        <f>D52+D53</f>
        <v>40000000</v>
      </c>
    </row>
    <row r="52" spans="1:4">
      <c r="A52" s="2746" t="s">
        <v>3259</v>
      </c>
      <c r="B52" s="3386">
        <v>10000</v>
      </c>
      <c r="C52" s="3386">
        <v>1500</v>
      </c>
      <c r="D52" s="2353">
        <f>C52*B52</f>
        <v>15000000</v>
      </c>
    </row>
    <row r="53" spans="1:4">
      <c r="A53" s="2746" t="s">
        <v>3260</v>
      </c>
      <c r="B53" s="3386">
        <v>5000</v>
      </c>
      <c r="C53" s="3386">
        <v>5000</v>
      </c>
      <c r="D53" s="2353">
        <f>C53*B53</f>
        <v>25000000</v>
      </c>
    </row>
    <row r="54" spans="1:4">
      <c r="A54" s="3389" t="s">
        <v>3261</v>
      </c>
      <c r="B54" s="3035">
        <f>B51</f>
        <v>15000</v>
      </c>
      <c r="C54" s="3040">
        <v>700</v>
      </c>
      <c r="D54" s="3035">
        <f t="shared" ref="D54:D55" si="3">C54*B54</f>
        <v>10500000</v>
      </c>
    </row>
    <row r="55" spans="1:4">
      <c r="A55" s="3389" t="s">
        <v>3262</v>
      </c>
      <c r="B55" s="3035">
        <f>B51</f>
        <v>15000</v>
      </c>
      <c r="C55" s="3040">
        <v>1500</v>
      </c>
      <c r="D55" s="3035">
        <f t="shared" si="3"/>
        <v>22500000</v>
      </c>
    </row>
    <row r="56" spans="1:4">
      <c r="A56" s="3389" t="s">
        <v>3263</v>
      </c>
      <c r="B56" s="3035">
        <f>B51</f>
        <v>15000</v>
      </c>
      <c r="C56" s="3391">
        <f>C51+C54+C55</f>
        <v>4866.6666666666661</v>
      </c>
      <c r="D56" s="3035">
        <f>D51+D54+D55</f>
        <v>73000000</v>
      </c>
    </row>
    <row r="58" spans="1:4">
      <c r="A58" s="3389" t="s">
        <v>3264</v>
      </c>
      <c r="B58" s="3387">
        <v>0.05</v>
      </c>
      <c r="C58" s="3035">
        <f>C56*(1+B58)</f>
        <v>5110</v>
      </c>
      <c r="D58" s="3035">
        <f>D56*B58</f>
        <v>3650000</v>
      </c>
    </row>
    <row r="60" spans="1:4">
      <c r="A60" s="3389" t="s">
        <v>3265</v>
      </c>
      <c r="B60" s="3040">
        <v>3500</v>
      </c>
      <c r="C60" s="3040">
        <f>C53</f>
        <v>5000</v>
      </c>
      <c r="D60" s="3035">
        <f>C60*B60</f>
        <v>17500000</v>
      </c>
    </row>
    <row r="62" spans="1:4">
      <c r="A62" s="3389" t="s">
        <v>3266</v>
      </c>
      <c r="B62" s="3040">
        <f>B51</f>
        <v>15000</v>
      </c>
      <c r="C62" s="3388">
        <f>D62/B62</f>
        <v>6276.666666666667</v>
      </c>
      <c r="D62" s="304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8" sqref="D18"/>
    </sheetView>
  </sheetViews>
  <sheetFormatPr defaultColWidth="10" defaultRowHeight="14.25"/>
  <cols>
    <col min="1" max="1" width="15.375" style="1398" customWidth="1"/>
    <col min="2" max="2" width="11.375" style="1398" customWidth="1"/>
    <col min="3" max="3" width="14.375" style="1398" customWidth="1"/>
    <col min="4" max="5" width="13.125" style="1398" customWidth="1"/>
    <col min="6" max="7" width="14.625" style="1398" customWidth="1"/>
    <col min="8" max="8" width="13.125" style="1398" customWidth="1"/>
    <col min="9" max="9" width="15" style="1399" customWidth="1"/>
    <col min="10" max="10" width="10" style="1398"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8"/>
  </cols>
  <sheetData>
    <row r="1" spans="1:21" ht="15" thickBot="1">
      <c r="A1" s="1374" t="s">
        <v>1457</v>
      </c>
      <c r="B1" s="3538" t="str">
        <f>IF(B10="北京市","北京市",C10)&amp;F10&amp;A17&amp;"国有建设用地使用权"&amp;B9&amp;"预评估"</f>
        <v>北京市朝阳区三间房D区棚户区改造出让国有建设用地使用权抵押价格预评估</v>
      </c>
      <c r="C1" s="3539"/>
      <c r="D1" s="3539"/>
      <c r="E1" s="3539"/>
      <c r="F1" s="3539"/>
      <c r="G1" s="3539"/>
      <c r="H1" s="3539"/>
      <c r="I1" s="3540"/>
      <c r="J1" s="2600"/>
      <c r="K1" s="1968" t="str">
        <f>IF(B10="北京市","北京市",C10)&amp;F10&amp;A17&amp;"国有建设用地使用权"&amp;B9</f>
        <v>北京市朝阳区三间房D区棚户区改造出让国有建设用地使用权抵押价格</v>
      </c>
      <c r="L1" s="2580"/>
      <c r="M1" s="2580"/>
      <c r="N1" s="2581"/>
      <c r="O1" s="2582"/>
      <c r="P1" s="2581"/>
      <c r="Q1" s="2581"/>
      <c r="R1" s="2581"/>
      <c r="S1" s="2581"/>
      <c r="T1" s="2581"/>
      <c r="U1" s="2581"/>
    </row>
    <row r="2" spans="1:21">
      <c r="A2" s="1375" t="s">
        <v>1458</v>
      </c>
      <c r="B2" s="1527"/>
      <c r="D2" s="2600"/>
      <c r="E2" s="2600"/>
      <c r="F2" s="2600"/>
      <c r="G2" s="2600"/>
      <c r="H2" s="2600"/>
      <c r="I2" s="2601"/>
      <c r="J2" s="2600"/>
      <c r="K2" s="1968" t="str">
        <f>IF(B10="北京市","北京市",C10)&amp;F10&amp;A17&amp;"国有建设用地使用权"</f>
        <v>北京市朝阳区三间房D区棚户区改造出让国有建设用地使用权</v>
      </c>
      <c r="L2" s="2580"/>
      <c r="M2" s="2580"/>
      <c r="N2" s="2581"/>
      <c r="O2" s="2582"/>
      <c r="P2" s="2581"/>
      <c r="Q2" s="2581"/>
      <c r="R2" s="2581"/>
      <c r="S2" s="2581"/>
      <c r="T2" s="2581"/>
      <c r="U2" s="2581"/>
    </row>
    <row r="3" spans="1:21">
      <c r="A3" s="1376" t="s">
        <v>1459</v>
      </c>
      <c r="B3" s="1377">
        <v>45789</v>
      </c>
      <c r="C3" s="2529" t="s">
        <v>1511</v>
      </c>
      <c r="D3" s="1377">
        <f>B3</f>
        <v>45789</v>
      </c>
      <c r="E3" s="2600"/>
      <c r="F3" s="2600"/>
      <c r="G3" s="2600"/>
      <c r="H3" s="2600"/>
      <c r="I3" s="2601"/>
      <c r="J3" s="2600"/>
      <c r="K3" s="2584"/>
      <c r="L3" s="2580"/>
      <c r="M3" s="2580"/>
      <c r="N3" s="2581"/>
      <c r="O3" s="2582"/>
      <c r="P3" s="2581"/>
      <c r="Q3" s="2581"/>
      <c r="R3" s="2581"/>
      <c r="S3" s="2581"/>
      <c r="T3" s="2581"/>
      <c r="U3" s="2581"/>
    </row>
    <row r="4" spans="1:21" ht="15" thickBot="1">
      <c r="A4" s="1379" t="s">
        <v>1460</v>
      </c>
      <c r="B4" s="1528" t="s">
        <v>3304</v>
      </c>
      <c r="C4" s="1531">
        <f ca="1">SUMIF(土地估价师,B4,估价师及机构信息!E3:E17)</f>
        <v>2011110090</v>
      </c>
      <c r="D4" s="1528" t="s">
        <v>3305</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600"/>
      <c r="K4" s="1968" t="str">
        <f>IF(AND(F4="——",H4="——"),B4&amp;"、"&amp;D4,IF(AND(F4&lt;&gt;"——",H4="——"),B4&amp;"、"&amp;D4&amp;"、"&amp;F4,B4&amp;"、"&amp;D4&amp;"、"&amp;F4&amp;"、"&amp;H4))</f>
        <v>赵雯、郑燚</v>
      </c>
      <c r="L4" s="2580"/>
      <c r="M4" s="2580"/>
      <c r="N4" s="2581"/>
      <c r="O4" s="2582"/>
      <c r="P4" s="2581"/>
      <c r="Q4" s="2581"/>
      <c r="R4" s="2581"/>
      <c r="S4" s="2581"/>
      <c r="T4" s="2581"/>
      <c r="U4" s="2581"/>
    </row>
    <row r="5" spans="1:21" ht="15" thickTop="1">
      <c r="A5" s="1380" t="s">
        <v>1461</v>
      </c>
      <c r="B5" s="1481" t="s">
        <v>3306</v>
      </c>
      <c r="C5" s="1381"/>
      <c r="D5" s="1382"/>
      <c r="E5" s="2600"/>
      <c r="F5" s="2600"/>
      <c r="G5" s="2600"/>
      <c r="H5" s="2600"/>
      <c r="I5" s="2601"/>
      <c r="J5" s="2600"/>
      <c r="K5" s="2584"/>
      <c r="L5" s="2580"/>
      <c r="M5" s="2580"/>
      <c r="N5" s="2581"/>
      <c r="O5" s="2582"/>
      <c r="P5" s="2581"/>
      <c r="Q5" s="2581"/>
      <c r="R5" s="2581"/>
      <c r="S5" s="2581"/>
      <c r="T5" s="2581"/>
      <c r="U5" s="2581"/>
    </row>
    <row r="6" spans="1:21" ht="26.25">
      <c r="A6" s="1378" t="s">
        <v>1983</v>
      </c>
      <c r="B6" s="1481" t="s">
        <v>3307</v>
      </c>
      <c r="C6" s="1458"/>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1984</v>
      </c>
      <c r="B7" s="1481" t="e">
        <f>#REF!</f>
        <v>#REF!</v>
      </c>
      <c r="C7" s="1458"/>
      <c r="D7" s="1383"/>
      <c r="E7" s="2600"/>
      <c r="F7" s="2600"/>
      <c r="G7" s="2600"/>
      <c r="H7" s="2600"/>
      <c r="I7" s="2601"/>
      <c r="J7" s="2600"/>
      <c r="K7" s="2584"/>
      <c r="L7" s="2580"/>
      <c r="M7" s="2580"/>
      <c r="N7" s="2581"/>
      <c r="O7" s="2582"/>
      <c r="P7" s="2581"/>
      <c r="Q7" s="2581"/>
      <c r="R7" s="2581"/>
      <c r="S7" s="2581"/>
      <c r="T7" s="2581"/>
      <c r="U7" s="2581"/>
    </row>
    <row r="8" spans="1:21">
      <c r="A8" s="2530" t="s">
        <v>1462</v>
      </c>
      <c r="B8" s="1385" t="s">
        <v>3308</v>
      </c>
      <c r="C8" s="1386"/>
      <c r="D8" s="3544" t="s">
        <v>1464</v>
      </c>
      <c r="E8" s="1529" t="s">
        <v>3309</v>
      </c>
      <c r="F8" s="1387"/>
      <c r="G8" s="2600"/>
      <c r="H8" s="2600"/>
      <c r="I8" s="2601"/>
      <c r="J8" s="2600"/>
      <c r="K8" s="2584"/>
      <c r="L8" s="2580"/>
      <c r="M8" s="2580"/>
      <c r="N8" s="2581"/>
      <c r="O8" s="2582"/>
      <c r="P8" s="2581"/>
      <c r="Q8" s="2581"/>
      <c r="R8" s="2581"/>
      <c r="S8" s="2581"/>
      <c r="T8" s="2581"/>
      <c r="U8" s="2581"/>
    </row>
    <row r="9" spans="1:21" ht="15" thickBot="1">
      <c r="A9" s="2531" t="s">
        <v>1463</v>
      </c>
      <c r="B9" s="1388" t="s">
        <v>3309</v>
      </c>
      <c r="C9" s="1389"/>
      <c r="D9" s="3545"/>
      <c r="E9" s="1388" t="s">
        <v>877</v>
      </c>
      <c r="F9" s="1444"/>
      <c r="G9" s="2603"/>
      <c r="H9" s="2603"/>
      <c r="I9" s="2604"/>
      <c r="J9" s="2600"/>
      <c r="K9" s="2584"/>
      <c r="L9" s="2580"/>
      <c r="M9" s="2580"/>
      <c r="N9" s="2581"/>
      <c r="O9" s="2582"/>
      <c r="P9" s="2581"/>
      <c r="Q9" s="2581"/>
      <c r="R9" s="2581"/>
      <c r="S9" s="2581"/>
      <c r="T9" s="2581"/>
      <c r="U9" s="2581"/>
    </row>
    <row r="10" spans="1:21" ht="15" thickTop="1">
      <c r="A10" s="2532" t="s">
        <v>1514</v>
      </c>
      <c r="B10" s="1422" t="s">
        <v>1465</v>
      </c>
      <c r="C10" s="1390"/>
      <c r="D10" s="1382"/>
      <c r="E10" s="1391" t="s">
        <v>1466</v>
      </c>
      <c r="F10" s="3399" t="s">
        <v>3711</v>
      </c>
      <c r="G10" s="1442"/>
      <c r="H10" s="1443"/>
      <c r="I10" s="1382"/>
      <c r="J10" s="2600"/>
      <c r="K10" s="2584"/>
      <c r="L10" s="2580"/>
      <c r="M10" s="2580"/>
      <c r="N10" s="2581"/>
      <c r="O10" s="2582"/>
      <c r="P10" s="2581"/>
      <c r="Q10" s="2581"/>
      <c r="R10" s="2581"/>
      <c r="S10" s="2581"/>
      <c r="T10" s="2581"/>
      <c r="U10" s="2581"/>
    </row>
    <row r="11" spans="1:21" ht="28.5">
      <c r="A11" s="2533" t="s">
        <v>1515</v>
      </c>
      <c r="B11" s="1403" t="s">
        <v>3310</v>
      </c>
      <c r="C11" s="1392" t="str">
        <f>经济指标!C20</f>
        <v>北京满茂置业有限公司</v>
      </c>
      <c r="D11" s="1459"/>
      <c r="E11" s="2581"/>
      <c r="F11" s="2581"/>
      <c r="G11" s="2581"/>
      <c r="H11" s="2581"/>
      <c r="I11" s="2581"/>
      <c r="J11" s="2600"/>
      <c r="K11" s="2584"/>
      <c r="L11" s="2580"/>
      <c r="M11" s="2580"/>
      <c r="N11" s="2581"/>
      <c r="O11" s="2582"/>
      <c r="P11" s="2581"/>
      <c r="Q11" s="2581"/>
      <c r="R11" s="2581"/>
      <c r="S11" s="2581"/>
      <c r="T11" s="2581"/>
      <c r="U11" s="2581"/>
    </row>
    <row r="12" spans="1:21">
      <c r="A12" s="1477" t="s">
        <v>1573</v>
      </c>
      <c r="B12" s="3541"/>
      <c r="C12" s="3542"/>
      <c r="D12" s="3543"/>
      <c r="E12" s="1404" t="s">
        <v>1576</v>
      </c>
      <c r="F12" s="3559" t="s">
        <v>3311</v>
      </c>
      <c r="G12" s="3560"/>
      <c r="H12" s="3560"/>
      <c r="I12" s="3561"/>
      <c r="J12" s="2600"/>
      <c r="K12" s="2584"/>
      <c r="L12" s="2580"/>
      <c r="M12" s="2580"/>
      <c r="N12" s="2581"/>
      <c r="O12" s="2582"/>
      <c r="P12" s="2581"/>
      <c r="Q12" s="2581"/>
      <c r="R12" s="2581"/>
      <c r="S12" s="2581"/>
      <c r="T12" s="2581"/>
      <c r="U12" s="2581"/>
    </row>
    <row r="13" spans="1:21">
      <c r="A13" s="1396" t="s">
        <v>1574</v>
      </c>
      <c r="B13" s="3541"/>
      <c r="C13" s="3542"/>
      <c r="D13" s="3543"/>
      <c r="E13" s="1404" t="s">
        <v>1576</v>
      </c>
      <c r="F13" s="3559" t="s">
        <v>3312</v>
      </c>
      <c r="G13" s="3560"/>
      <c r="H13" s="3560"/>
      <c r="I13" s="3561"/>
      <c r="J13" s="2600"/>
      <c r="K13" s="2584"/>
      <c r="L13" s="2580"/>
      <c r="M13" s="2580"/>
      <c r="N13" s="2581"/>
      <c r="O13" s="2582"/>
      <c r="P13" s="2581"/>
      <c r="Q13" s="2581"/>
      <c r="R13" s="2581"/>
      <c r="S13" s="2581"/>
      <c r="T13" s="2581"/>
      <c r="U13" s="2581"/>
    </row>
    <row r="14" spans="1:21">
      <c r="A14" s="1376" t="s">
        <v>1577</v>
      </c>
      <c r="B14" s="1404"/>
      <c r="C14" s="1530" t="s">
        <v>3313</v>
      </c>
      <c r="D14" s="1435" t="str">
        <f>IF(C14="不一致","是否符合证载地类范围","")</f>
        <v/>
      </c>
      <c r="E14" s="1404"/>
      <c r="F14" s="1482" t="s">
        <v>3314</v>
      </c>
      <c r="G14" s="1431"/>
      <c r="H14" s="1431"/>
      <c r="I14" s="1523"/>
      <c r="J14" s="2600"/>
      <c r="K14" s="2584"/>
      <c r="L14" s="2580"/>
      <c r="M14" s="2580"/>
      <c r="N14" s="2581"/>
      <c r="O14" s="2582"/>
      <c r="P14" s="2581"/>
      <c r="Q14" s="2581"/>
      <c r="R14" s="2581"/>
      <c r="S14" s="2581"/>
      <c r="T14" s="2581"/>
      <c r="U14" s="2581"/>
    </row>
    <row r="15" spans="1:21">
      <c r="A15" s="2083"/>
      <c r="B15" s="1378"/>
      <c r="C15" s="1463" t="s">
        <v>1469</v>
      </c>
      <c r="D15" s="1463" t="s">
        <v>1470</v>
      </c>
      <c r="E15" s="1463" t="s">
        <v>1179</v>
      </c>
      <c r="F15" s="1395" t="s">
        <v>1471</v>
      </c>
      <c r="G15" s="1395" t="s">
        <v>1472</v>
      </c>
      <c r="H15" s="1395" t="s">
        <v>776</v>
      </c>
      <c r="I15" s="1395" t="s">
        <v>2719</v>
      </c>
      <c r="J15" s="2600"/>
      <c r="K15" s="2584"/>
      <c r="L15" s="2580"/>
      <c r="M15" s="2580"/>
      <c r="N15" s="2581"/>
      <c r="O15" s="2582"/>
      <c r="P15" s="2581"/>
      <c r="Q15" s="2581"/>
      <c r="R15" s="2581"/>
      <c r="S15" s="2581"/>
      <c r="T15" s="2581"/>
      <c r="U15" s="2581"/>
    </row>
    <row r="16" spans="1:21" ht="42.75">
      <c r="A16" s="2534" t="s">
        <v>1467</v>
      </c>
      <c r="B16" s="1404" t="s">
        <v>1468</v>
      </c>
      <c r="C16" s="1463" t="s">
        <v>1469</v>
      </c>
      <c r="D16" s="1425" t="s">
        <v>2720</v>
      </c>
      <c r="E16" s="1425" t="s">
        <v>1212</v>
      </c>
      <c r="F16" s="1425" t="s">
        <v>2721</v>
      </c>
      <c r="G16" s="1425" t="s">
        <v>2722</v>
      </c>
      <c r="H16" s="1395" t="s">
        <v>776</v>
      </c>
      <c r="I16" s="1395" t="s">
        <v>2719</v>
      </c>
      <c r="J16" s="2600"/>
      <c r="K16" s="1395" t="str">
        <f>IF(D17="","",D16&amp;TEXT(D17,"yyyy年m月d日;;"))</f>
        <v>商业2065年2月16日</v>
      </c>
      <c r="L16" s="1404" t="str">
        <f>IF(OR(K16="",M16=""),"","、")</f>
        <v/>
      </c>
      <c r="M16" s="1395" t="str">
        <f>IF(E17="","",E16&amp;TEXT(E17,"yyyy年m月d日;;"))</f>
        <v/>
      </c>
      <c r="N16" s="1404" t="str">
        <f>IF(OR(M16="",O16=""),"","、")</f>
        <v/>
      </c>
      <c r="O16" s="1395" t="str">
        <f>IF(F17="","",F16&amp;TEXT(F17,"yyyy年m月d日;;"))</f>
        <v>车库2075年2月16日</v>
      </c>
      <c r="P16" s="1404" t="str">
        <f>IF(OR(O16="",Q16=""),"","、")</f>
        <v>、</v>
      </c>
      <c r="Q16" s="1395" t="str">
        <f>IF(G17="","",G16&amp;TEXT(G17,"yyyy年m月d日;;"))</f>
        <v>仓储2075年2月16日</v>
      </c>
      <c r="R16" s="1404" t="str">
        <f>IF(OR(Q16="",S16=""),"","、")</f>
        <v/>
      </c>
      <c r="S16" s="1395" t="str">
        <f>IF(H17="","",H16&amp;TEXT(H17,"yyyy年m月d日;;"))</f>
        <v/>
      </c>
      <c r="T16" s="1404" t="str">
        <f>IF(OR(S16="",U16=""),"","、")</f>
        <v/>
      </c>
      <c r="U16" s="1395" t="str">
        <f>IF(I17="","",I16&amp;TEXT(I17,"yyyy年m月d日;;"))</f>
        <v>公共服务2075年2月16日</v>
      </c>
    </row>
    <row r="17" spans="1:21">
      <c r="A17" s="3077" t="s">
        <v>2723</v>
      </c>
      <c r="B17" s="2535" t="s">
        <v>1473</v>
      </c>
      <c r="C17" s="3076">
        <v>71271</v>
      </c>
      <c r="D17" s="3076">
        <v>60314</v>
      </c>
      <c r="E17" s="3076"/>
      <c r="F17" s="3076">
        <v>63966</v>
      </c>
      <c r="G17" s="3076">
        <f>F17</f>
        <v>63966</v>
      </c>
      <c r="H17" s="3076"/>
      <c r="I17" s="3076">
        <f>G17</f>
        <v>63966</v>
      </c>
      <c r="J17" s="2600"/>
      <c r="K17" s="2579" t="str">
        <f>CONCATENATE(K16,L16,M16,N16,O16,P16,Q16,R16,S16,T16,,U16)</f>
        <v>商业2065年2月16日车库2075年2月16日、仓储2075年2月16日公共服务2075年2月16日</v>
      </c>
      <c r="L17" s="2580"/>
      <c r="M17" s="2580"/>
      <c r="N17" s="2581"/>
      <c r="O17" s="2582"/>
      <c r="P17" s="2581"/>
      <c r="Q17" s="2581"/>
      <c r="R17" s="2581"/>
      <c r="S17" s="2581"/>
      <c r="T17" s="2581"/>
      <c r="U17" s="2581"/>
    </row>
    <row r="18" spans="1:21">
      <c r="A18" s="1460"/>
      <c r="B18" s="2535" t="s">
        <v>1474</v>
      </c>
      <c r="C18" s="1393">
        <v>70</v>
      </c>
      <c r="D18" s="1393">
        <v>40</v>
      </c>
      <c r="E18" s="1393"/>
      <c r="F18" s="1393">
        <v>50</v>
      </c>
      <c r="G18" s="1393">
        <v>50</v>
      </c>
      <c r="H18" s="1393"/>
      <c r="I18" s="1393">
        <v>50</v>
      </c>
      <c r="J18" s="2600"/>
      <c r="K18" s="2584"/>
      <c r="L18" s="2580"/>
      <c r="M18" s="2580"/>
      <c r="N18" s="2581"/>
      <c r="O18" s="2582"/>
      <c r="P18" s="2581"/>
      <c r="Q18" s="2581"/>
      <c r="R18" s="2581"/>
      <c r="S18" s="2581"/>
      <c r="T18" s="2581"/>
      <c r="U18" s="2581"/>
    </row>
    <row r="19" spans="1:21">
      <c r="A19" s="1460"/>
      <c r="B19" s="1375" t="s">
        <v>1475</v>
      </c>
      <c r="C19" s="1455">
        <f>IF(A17="出让",IF(C17="","",ROUNDDOWN(MIN((C17-$D$3)/365,C18),2)),C18)</f>
        <v>69.81</v>
      </c>
      <c r="D19" s="1455">
        <f>IF(A17="出让",IF(D17="","",ROUNDDOWN(MIN((D17-$D$3)/365,D18),2)),D18)</f>
        <v>39.79</v>
      </c>
      <c r="E19" s="1394" t="str">
        <f>IF(A17="出让",IF(E17="","",ROUNDDOWN(MIN((E17-$D$3)/365,E18),2)),E18)</f>
        <v/>
      </c>
      <c r="F19" s="1394">
        <f>IF(A17="出让",IF(F17="","",ROUNDDOWN(MIN((F17-$D$3)/365,F18),2)),F18)</f>
        <v>49.8</v>
      </c>
      <c r="G19" s="1394">
        <f>IF(A17="出让",IF(G17="","",ROUNDDOWN(MIN((G17-$D$3)/365,G18),2)),G18)</f>
        <v>49.8</v>
      </c>
      <c r="H19" s="1394" t="str">
        <f>IF(A17="出让",IF(H17="","",ROUNDDOWN(MIN((H17-$D$3)/365,H18),2)),H18)</f>
        <v/>
      </c>
      <c r="I19" s="1394">
        <f>IF(A17="出让",IF(I17="","",ROUNDDOWN(MIN((I17-$D$3)/365,I18),2)),I18)</f>
        <v>49.8</v>
      </c>
      <c r="J19" s="2600"/>
      <c r="K19" s="2584"/>
      <c r="L19" s="2580"/>
      <c r="M19" s="2580"/>
      <c r="N19" s="2581"/>
      <c r="O19" s="2582"/>
      <c r="P19" s="2581"/>
      <c r="Q19" s="2581"/>
      <c r="R19" s="2581"/>
      <c r="S19" s="2581"/>
      <c r="T19" s="2581"/>
      <c r="U19" s="2581"/>
    </row>
    <row r="20" spans="1:21">
      <c r="A20" s="1478"/>
      <c r="B20" s="1479"/>
      <c r="C20" s="1480" t="s">
        <v>1575</v>
      </c>
      <c r="D20" s="3556"/>
      <c r="E20" s="3557"/>
      <c r="F20" s="3557"/>
      <c r="G20" s="3557"/>
      <c r="H20" s="3557"/>
      <c r="I20" s="3558"/>
      <c r="J20" s="2600"/>
      <c r="K20" s="2584"/>
      <c r="L20" s="2580"/>
      <c r="M20" s="2580"/>
      <c r="N20" s="2581"/>
      <c r="O20" s="2582"/>
      <c r="P20" s="2581"/>
      <c r="Q20" s="2581"/>
      <c r="R20" s="2581"/>
      <c r="S20" s="2581"/>
      <c r="T20" s="2581"/>
      <c r="U20" s="2581"/>
    </row>
    <row r="21" spans="1:21">
      <c r="A21" s="1460" t="s">
        <v>1476</v>
      </c>
      <c r="B21" s="1461" t="s">
        <v>1477</v>
      </c>
      <c r="C21" s="1456">
        <f>'数据-汇总表'!E3</f>
        <v>122231.91</v>
      </c>
      <c r="D21" s="1457" t="s">
        <v>1478</v>
      </c>
      <c r="E21" s="3546" t="s">
        <v>3316</v>
      </c>
      <c r="F21" s="3547"/>
      <c r="G21" s="3547"/>
      <c r="H21" s="3547"/>
      <c r="I21" s="3548"/>
      <c r="J21" s="2600"/>
      <c r="K21" s="2584"/>
      <c r="L21" s="2580"/>
      <c r="M21" s="2580"/>
      <c r="N21" s="2581"/>
      <c r="O21" s="2582"/>
      <c r="P21" s="2581"/>
      <c r="Q21" s="2581"/>
      <c r="R21" s="2581"/>
      <c r="S21" s="2581"/>
      <c r="T21" s="2581"/>
      <c r="U21" s="2581"/>
    </row>
    <row r="22" spans="1:21">
      <c r="A22" s="2363" t="s">
        <v>877</v>
      </c>
      <c r="B22" s="1376" t="s">
        <v>1479</v>
      </c>
      <c r="C22" s="1395">
        <f>'数据-汇总表'!D3</f>
        <v>36842.300000000003</v>
      </c>
      <c r="D22" s="1396" t="s">
        <v>1478</v>
      </c>
      <c r="E22" s="3546" t="s">
        <v>3315</v>
      </c>
      <c r="F22" s="3547"/>
      <c r="G22" s="3547"/>
      <c r="H22" s="3547"/>
      <c r="I22" s="3548"/>
      <c r="J22" s="2600"/>
      <c r="K22" s="2584"/>
      <c r="L22" s="2580"/>
      <c r="M22" s="2580"/>
      <c r="N22" s="2581"/>
      <c r="O22" s="2582"/>
      <c r="P22" s="2581"/>
      <c r="Q22" s="2581"/>
      <c r="R22" s="2581"/>
      <c r="S22" s="2581"/>
      <c r="T22" s="2581"/>
      <c r="U22" s="2581"/>
    </row>
    <row r="23" spans="1:21" ht="29.25" thickBot="1">
      <c r="A23" s="1462" t="s">
        <v>1480</v>
      </c>
      <c r="B23" s="1405" t="s">
        <v>1481</v>
      </c>
      <c r="C23" s="1406" t="s">
        <v>3317</v>
      </c>
      <c r="D23" s="1407" t="s">
        <v>1482</v>
      </c>
      <c r="E23" s="1408"/>
      <c r="F23" s="1409" t="str">
        <f>IF(AND(C23="是",E23="否"),"是否提供他项权证或相关说明","")</f>
        <v/>
      </c>
      <c r="G23" s="1410"/>
      <c r="H23" s="2600"/>
      <c r="I23" s="2601"/>
      <c r="J23" s="2600"/>
      <c r="K23" s="2584"/>
      <c r="L23" s="2580"/>
      <c r="M23" s="2580"/>
      <c r="N23" s="2581"/>
      <c r="O23" s="2582"/>
      <c r="P23" s="2581"/>
      <c r="Q23" s="2581"/>
      <c r="R23" s="2581"/>
      <c r="S23" s="2581"/>
      <c r="T23" s="2581"/>
      <c r="U23" s="2581"/>
    </row>
    <row r="24" spans="1:21">
      <c r="A24" s="1447" t="s">
        <v>1483</v>
      </c>
      <c r="B24" s="3549" t="s">
        <v>1484</v>
      </c>
      <c r="C24" s="3550"/>
      <c r="D24" s="3551" t="s">
        <v>1485</v>
      </c>
      <c r="E24" s="3552"/>
      <c r="F24" s="1411" t="s">
        <v>1486</v>
      </c>
      <c r="G24" s="2600"/>
      <c r="H24" s="2600"/>
      <c r="I24" s="2601"/>
      <c r="J24" s="2600"/>
      <c r="K24" s="3537" t="s">
        <v>1487</v>
      </c>
      <c r="L24" s="1969" t="str">
        <f>"根据估价对象"&amp;IF(B26="——",B25&amp;C25,B25&amp;C25&amp;"、"&amp;B26&amp;C26)&amp;"，"&amp;IF(C23="是","截至估价期日，估价对象已设定抵押。","截至估价期日，估价对象抵押权未见登记。")</f>
        <v>根据估价对象、，截至估价期日，估价对象抵押权未见登记。</v>
      </c>
      <c r="M24" s="1426"/>
      <c r="N24" s="2581"/>
      <c r="O24" s="2582"/>
      <c r="P24" s="2581"/>
      <c r="Q24" s="2581"/>
      <c r="R24" s="2581"/>
      <c r="S24" s="2581"/>
      <c r="T24" s="2581"/>
      <c r="U24" s="2581"/>
    </row>
    <row r="25" spans="1:21">
      <c r="A25" s="1448"/>
      <c r="B25" s="1445"/>
      <c r="C25" s="1412"/>
      <c r="D25" s="1413"/>
      <c r="E25" s="1414" t="s">
        <v>877</v>
      </c>
      <c r="F25" s="1415"/>
      <c r="G25" s="2600"/>
      <c r="H25" s="2600"/>
      <c r="I25" s="2601"/>
      <c r="J25" s="2600"/>
      <c r="K25" s="3537"/>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1"/>
      <c r="O25" s="2582"/>
      <c r="P25" s="2581"/>
      <c r="Q25" s="2581"/>
      <c r="R25" s="2581"/>
      <c r="S25" s="2581"/>
      <c r="T25" s="2581"/>
      <c r="U25" s="2581"/>
    </row>
    <row r="26" spans="1:21" ht="15" thickBot="1">
      <c r="A26" s="1449"/>
      <c r="B26" s="1446"/>
      <c r="C26" s="1412"/>
      <c r="D26" s="2600"/>
      <c r="E26" s="2600"/>
      <c r="F26" s="2605"/>
      <c r="G26" s="2600"/>
      <c r="H26" s="2600"/>
      <c r="I26" s="2601"/>
      <c r="J26" s="2600"/>
      <c r="K26" s="3537"/>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1"/>
      <c r="O26" s="2582"/>
      <c r="P26" s="2581"/>
      <c r="Q26" s="2581"/>
      <c r="R26" s="2581"/>
      <c r="S26" s="2581"/>
      <c r="T26" s="2581"/>
      <c r="U26" s="2581"/>
    </row>
    <row r="27" spans="1:21">
      <c r="A27" s="1452" t="s">
        <v>1488</v>
      </c>
      <c r="B27" s="1450" t="s">
        <v>1489</v>
      </c>
      <c r="C27" s="1416"/>
      <c r="D27" s="2087" t="s">
        <v>1489</v>
      </c>
      <c r="E27" s="1417"/>
      <c r="F27" s="2605"/>
      <c r="G27" s="2600"/>
      <c r="H27" s="2600"/>
      <c r="I27" s="2601"/>
      <c r="J27" s="2600"/>
      <c r="K27" s="2584"/>
      <c r="L27" s="2580"/>
      <c r="M27" s="2580"/>
      <c r="N27" s="2581"/>
      <c r="O27" s="2582"/>
      <c r="P27" s="2581"/>
      <c r="Q27" s="2581"/>
      <c r="R27" s="2581"/>
      <c r="S27" s="2581"/>
      <c r="T27" s="2581"/>
      <c r="U27" s="2581"/>
    </row>
    <row r="28" spans="1:21">
      <c r="A28" s="1453"/>
      <c r="B28" s="1450" t="s">
        <v>1490</v>
      </c>
      <c r="C28" s="1418"/>
      <c r="D28" s="2088" t="s">
        <v>1490</v>
      </c>
      <c r="E28" s="1419"/>
      <c r="F28" s="2605"/>
      <c r="G28" s="2600"/>
      <c r="H28" s="2600"/>
      <c r="I28" s="2601"/>
      <c r="J28" s="2600"/>
      <c r="K28" s="2584"/>
      <c r="L28" s="2580"/>
      <c r="M28" s="2580"/>
      <c r="N28" s="2581"/>
      <c r="O28" s="2582"/>
      <c r="P28" s="2581"/>
      <c r="Q28" s="2581"/>
      <c r="R28" s="2581"/>
      <c r="S28" s="2581"/>
      <c r="T28" s="2581"/>
      <c r="U28" s="2581"/>
    </row>
    <row r="29" spans="1:21">
      <c r="A29" s="1453"/>
      <c r="B29" s="1450" t="s">
        <v>1491</v>
      </c>
      <c r="C29" s="1418"/>
      <c r="D29" s="2088" t="s">
        <v>1491</v>
      </c>
      <c r="E29" s="1419"/>
      <c r="F29" s="2605"/>
      <c r="G29" s="2600"/>
      <c r="H29" s="2600"/>
      <c r="I29" s="2601"/>
      <c r="J29" s="2600"/>
      <c r="K29" s="2584"/>
      <c r="L29" s="2580"/>
      <c r="M29" s="2580"/>
      <c r="N29" s="2581"/>
      <c r="O29" s="2582"/>
      <c r="P29" s="2581"/>
      <c r="Q29" s="2581"/>
      <c r="R29" s="2581"/>
      <c r="S29" s="2581"/>
      <c r="T29" s="2581"/>
      <c r="U29" s="2581"/>
    </row>
    <row r="30" spans="1:21" ht="15" thickBot="1">
      <c r="A30" s="1454"/>
      <c r="B30" s="1451" t="s">
        <v>1492</v>
      </c>
      <c r="C30" s="1420"/>
      <c r="D30" s="2089" t="s">
        <v>1492</v>
      </c>
      <c r="E30" s="1421"/>
      <c r="F30" s="2606"/>
      <c r="G30" s="2603"/>
      <c r="H30" s="2603"/>
      <c r="I30" s="2604"/>
      <c r="J30" s="2600"/>
      <c r="K30" s="2584"/>
      <c r="L30" s="2580"/>
      <c r="M30" s="2580"/>
      <c r="N30" s="2581"/>
      <c r="O30" s="2582"/>
      <c r="P30" s="2581"/>
      <c r="Q30" s="2581"/>
      <c r="R30" s="2581"/>
      <c r="S30" s="2581"/>
      <c r="T30" s="2581"/>
      <c r="U30" s="2581"/>
    </row>
    <row r="31" spans="1:21" ht="15" thickTop="1">
      <c r="A31" s="3564" t="s">
        <v>1516</v>
      </c>
      <c r="B31" s="1461" t="s">
        <v>1517</v>
      </c>
      <c r="C31" s="3562" t="s">
        <v>3318</v>
      </c>
      <c r="D31" s="3563"/>
      <c r="E31" s="2600"/>
      <c r="F31" s="2600"/>
      <c r="G31" s="2600"/>
      <c r="H31" s="2600"/>
      <c r="I31" s="2601"/>
      <c r="J31" s="2600"/>
      <c r="K31" s="2587"/>
      <c r="L31" s="2581"/>
      <c r="M31" s="2581"/>
      <c r="N31" s="2581"/>
      <c r="O31" s="2581"/>
      <c r="P31" s="2581"/>
      <c r="Q31" s="2581"/>
      <c r="R31" s="2581"/>
      <c r="S31" s="2581"/>
      <c r="T31" s="2581"/>
      <c r="U31" s="2581"/>
    </row>
    <row r="32" spans="1:21">
      <c r="A32" s="3564"/>
      <c r="B32" s="1376" t="s">
        <v>1518</v>
      </c>
      <c r="C32" s="1422" t="s">
        <v>3319</v>
      </c>
      <c r="D32" s="1423"/>
      <c r="E32" s="2600"/>
      <c r="F32" s="2600"/>
      <c r="G32" s="2600"/>
      <c r="H32" s="2600"/>
      <c r="I32" s="2601"/>
      <c r="J32" s="2600"/>
      <c r="K32" s="2587"/>
      <c r="L32" s="2581"/>
      <c r="M32" s="2581"/>
      <c r="N32" s="2581"/>
      <c r="O32" s="2581"/>
      <c r="P32" s="2581"/>
      <c r="Q32" s="2581"/>
      <c r="R32" s="2581"/>
      <c r="S32" s="2581"/>
      <c r="T32" s="2581"/>
      <c r="U32" s="2581"/>
    </row>
    <row r="33" spans="1:28">
      <c r="A33" s="3564"/>
      <c r="B33" s="1376" t="s">
        <v>1519</v>
      </c>
      <c r="C33" s="1424" t="s">
        <v>3317</v>
      </c>
      <c r="D33" s="1524"/>
      <c r="E33" s="2600"/>
      <c r="F33" s="2600"/>
      <c r="G33" s="2600"/>
      <c r="H33" s="2600"/>
      <c r="I33" s="2601"/>
      <c r="J33" s="2600"/>
      <c r="K33" s="2587"/>
      <c r="L33" s="2581"/>
      <c r="M33" s="2581"/>
      <c r="N33" s="2581"/>
      <c r="O33" s="2581"/>
      <c r="P33" s="2581"/>
      <c r="Q33" s="2581"/>
      <c r="R33" s="2581"/>
      <c r="S33" s="2581"/>
      <c r="T33" s="2581"/>
      <c r="U33" s="2581"/>
    </row>
    <row r="34" spans="1:28">
      <c r="A34" s="3565"/>
      <c r="B34" s="1376" t="s">
        <v>1520</v>
      </c>
      <c r="C34" s="3566"/>
      <c r="D34" s="3567"/>
      <c r="E34" s="2600"/>
      <c r="F34" s="2600"/>
      <c r="G34" s="2600"/>
      <c r="H34" s="2600"/>
      <c r="I34" s="2601"/>
      <c r="J34" s="2600"/>
      <c r="K34" s="2587"/>
      <c r="L34" s="2581"/>
      <c r="M34" s="2581"/>
      <c r="N34" s="2581"/>
      <c r="O34" s="2581"/>
      <c r="P34" s="2581"/>
      <c r="Q34" s="2581"/>
      <c r="R34" s="2581"/>
      <c r="S34" s="2581"/>
      <c r="T34" s="2581"/>
      <c r="U34" s="2581"/>
    </row>
    <row r="35" spans="1:28">
      <c r="A35" s="3568" t="s">
        <v>785</v>
      </c>
      <c r="B35" s="1425" t="s">
        <v>3320</v>
      </c>
      <c r="C35" s="1469" t="str">
        <f>IF(B35="场地平整","——","具体情况：")</f>
        <v>——</v>
      </c>
      <c r="D35" s="3570"/>
      <c r="E35" s="3571"/>
      <c r="F35" s="3571"/>
      <c r="G35" s="3571"/>
      <c r="H35" s="3571"/>
      <c r="I35" s="3572"/>
      <c r="J35" s="2600"/>
      <c r="K35" s="2588"/>
      <c r="L35" s="2580"/>
      <c r="M35" s="2580"/>
      <c r="N35" s="2581"/>
      <c r="O35" s="2582"/>
      <c r="P35" s="2581"/>
      <c r="Q35" s="2581"/>
      <c r="R35" s="2581"/>
      <c r="S35" s="2581"/>
      <c r="T35" s="2581"/>
      <c r="U35" s="2581"/>
    </row>
    <row r="36" spans="1:28">
      <c r="A36" s="3564"/>
      <c r="B36" s="3573" t="s">
        <v>1569</v>
      </c>
      <c r="C36" s="3574"/>
      <c r="D36" s="1484" t="s">
        <v>2754</v>
      </c>
      <c r="E36" s="3575"/>
      <c r="F36" s="3575"/>
      <c r="G36" s="1396" t="str">
        <f>IF(B35="场地未平整","估价结果处理","")</f>
        <v/>
      </c>
      <c r="H36" s="3576"/>
      <c r="I36" s="3576"/>
      <c r="J36" s="2600"/>
      <c r="K36" s="2588"/>
      <c r="L36" s="2580"/>
      <c r="M36" s="2580"/>
      <c r="N36" s="2581"/>
      <c r="O36" s="2582"/>
      <c r="P36" s="2581"/>
      <c r="Q36" s="2581"/>
      <c r="R36" s="2581"/>
      <c r="S36" s="2581"/>
      <c r="T36" s="2581"/>
      <c r="U36" s="2581"/>
    </row>
    <row r="37" spans="1:28" ht="28.5">
      <c r="A37" s="3564"/>
      <c r="B37" s="3553" t="s">
        <v>786</v>
      </c>
      <c r="C37" s="1427" t="s">
        <v>787</v>
      </c>
      <c r="D37" s="1428"/>
      <c r="E37" s="1429"/>
      <c r="F37" s="2600"/>
      <c r="G37" s="2600"/>
      <c r="H37" s="2600"/>
      <c r="I37" s="2601"/>
      <c r="J37" s="2600"/>
      <c r="K37" s="2588"/>
      <c r="L37" s="2581"/>
      <c r="M37" s="2581"/>
      <c r="N37" s="2581"/>
      <c r="O37" s="2581"/>
      <c r="P37" s="2581"/>
      <c r="Q37" s="2581"/>
      <c r="R37" s="2581"/>
      <c r="S37" s="2581"/>
      <c r="T37" s="2581"/>
      <c r="U37" s="2581"/>
    </row>
    <row r="38" spans="1:28">
      <c r="A38" s="3564"/>
      <c r="B38" s="3554"/>
      <c r="C38" s="1384" t="s">
        <v>788</v>
      </c>
      <c r="D38" s="1483">
        <f>ROUNDDOWN(MIN(('数据-取费表'!$B$2-D37)/365,D34),1)</f>
        <v>125.4</v>
      </c>
      <c r="E38" s="1430" t="s">
        <v>789</v>
      </c>
      <c r="F38" s="2600"/>
      <c r="G38" s="2600"/>
      <c r="H38" s="2600"/>
      <c r="I38" s="2601"/>
      <c r="J38" s="2600"/>
      <c r="K38" s="2588"/>
      <c r="L38" s="2581"/>
      <c r="M38" s="2581"/>
      <c r="N38" s="2581"/>
      <c r="O38" s="2581"/>
      <c r="P38" s="2581"/>
      <c r="Q38" s="2581"/>
      <c r="R38" s="2581"/>
      <c r="S38" s="2581"/>
      <c r="T38" s="2581"/>
      <c r="U38" s="2581"/>
    </row>
    <row r="39" spans="1:28">
      <c r="A39" s="3565"/>
      <c r="B39" s="3555"/>
      <c r="C39" s="1402" t="str">
        <f>IF(D38&lt;1,"不存在土地闲置",IF(B35="宗地内已开工建设","已开工，不存在土地闲置","估价对象已涉嫌土地闲置"))</f>
        <v>估价对象已涉嫌土地闲置</v>
      </c>
      <c r="D39" s="1431"/>
      <c r="E39" s="1432"/>
      <c r="F39" s="2600"/>
      <c r="G39" s="2600"/>
      <c r="H39" s="2600"/>
      <c r="I39" s="2601"/>
      <c r="J39" s="2600"/>
      <c r="K39" s="2584"/>
      <c r="L39" s="2580"/>
      <c r="M39" s="2580"/>
      <c r="N39" s="2581"/>
      <c r="O39" s="2582"/>
      <c r="P39" s="2581"/>
      <c r="Q39" s="2581"/>
      <c r="R39" s="2581"/>
      <c r="S39" s="2581"/>
      <c r="T39" s="2581"/>
      <c r="U39" s="2581"/>
    </row>
    <row r="40" spans="1:28">
      <c r="A40" s="1396" t="s">
        <v>1493</v>
      </c>
      <c r="B40" s="1397" t="s">
        <v>2747</v>
      </c>
      <c r="C40" s="1397" t="s">
        <v>2748</v>
      </c>
      <c r="D40" s="1397" t="s">
        <v>2750</v>
      </c>
      <c r="E40" s="1397"/>
      <c r="F40" s="1397"/>
      <c r="G40" s="1397"/>
      <c r="H40" s="1397"/>
      <c r="I40" s="2601"/>
      <c r="J40" s="2600"/>
      <c r="K40" s="1433">
        <f>COUNTIF(B40:H40,"——")</f>
        <v>0</v>
      </c>
      <c r="L40" s="1404" t="s">
        <v>1494</v>
      </c>
      <c r="M40" s="1401" t="s">
        <v>1495</v>
      </c>
      <c r="N40" s="1401" t="s">
        <v>1496</v>
      </c>
      <c r="O40" s="1401" t="s">
        <v>1497</v>
      </c>
      <c r="P40" s="1401" t="s">
        <v>1498</v>
      </c>
      <c r="Q40" s="1401" t="s">
        <v>1499</v>
      </c>
      <c r="R40" s="1401" t="s">
        <v>1500</v>
      </c>
      <c r="S40" s="3536" t="s">
        <v>1501</v>
      </c>
      <c r="T40" s="1404" t="str">
        <f>NUMBERSTRING(7-K40,1)&amp;"通"</f>
        <v>七通</v>
      </c>
      <c r="U40" s="2581"/>
    </row>
    <row r="41" spans="1:28">
      <c r="A41" s="1378"/>
      <c r="B41" s="3569" t="s">
        <v>1250</v>
      </c>
      <c r="C41" s="3569"/>
      <c r="D41" s="3569"/>
      <c r="E41" s="3569"/>
      <c r="F41" s="1434">
        <f>C10</f>
        <v>0</v>
      </c>
      <c r="G41" s="2600"/>
      <c r="H41" s="2600"/>
      <c r="I41" s="2601"/>
      <c r="J41" s="2600"/>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36"/>
      <c r="T41" s="1435" t="str">
        <f>IF(T40="一通",L41,IF(T40="二通",M41,IF(T40="三通",N41,IF(T40="四通",O41,IF(T40="五通",P41,IF(T40="六通",Q41,R41))))))</f>
        <v>通路、通电、通上水、、、、</v>
      </c>
      <c r="U41" s="2581"/>
    </row>
    <row r="42" spans="1:28">
      <c r="A42" s="1437"/>
      <c r="B42" s="1463" t="s">
        <v>1422</v>
      </c>
      <c r="C42" s="1463" t="s">
        <v>1423</v>
      </c>
      <c r="D42" s="1463" t="s">
        <v>1424</v>
      </c>
      <c r="E42" s="1463" t="s">
        <v>2724</v>
      </c>
      <c r="F42" s="1463" t="s">
        <v>2725</v>
      </c>
      <c r="G42" s="2600"/>
      <c r="H42" s="2600"/>
      <c r="I42" s="2601"/>
      <c r="J42" s="2600"/>
      <c r="K42" s="2584"/>
      <c r="L42" s="2580"/>
      <c r="M42" s="2580"/>
      <c r="N42" s="2581"/>
      <c r="O42" s="2582"/>
      <c r="P42" s="2581"/>
      <c r="Q42" s="2581"/>
      <c r="R42" s="2581"/>
      <c r="S42" s="2581"/>
      <c r="T42" s="2581"/>
      <c r="U42" s="2581"/>
    </row>
    <row r="43" spans="1:28">
      <c r="A43" s="2556" t="s">
        <v>1235</v>
      </c>
      <c r="B43" s="1439" t="s">
        <v>1152</v>
      </c>
      <c r="C43" s="1439" t="s">
        <v>1152</v>
      </c>
      <c r="D43" s="1439" t="s">
        <v>1152</v>
      </c>
      <c r="E43" s="1439"/>
      <c r="F43" s="1439"/>
      <c r="G43" s="2600"/>
      <c r="H43" s="2600"/>
      <c r="I43" s="2601"/>
      <c r="J43" s="2600"/>
      <c r="K43" s="2584"/>
      <c r="L43" s="2580"/>
      <c r="M43" s="2580"/>
      <c r="N43" s="2581"/>
      <c r="O43" s="2582"/>
      <c r="P43" s="2581"/>
      <c r="Q43" s="2581"/>
      <c r="R43" s="2581"/>
      <c r="S43" s="2581"/>
      <c r="T43" s="2581"/>
      <c r="U43" s="2581"/>
    </row>
    <row r="44" spans="1:28">
      <c r="A44" s="2556" t="s">
        <v>1236</v>
      </c>
      <c r="B44" s="1439" t="s">
        <v>1121</v>
      </c>
      <c r="C44" s="1439" t="s">
        <v>1121</v>
      </c>
      <c r="D44" s="1439" t="s">
        <v>1121</v>
      </c>
      <c r="E44" s="1484"/>
      <c r="F44" s="1484"/>
      <c r="G44" s="2600"/>
      <c r="H44" s="2600"/>
      <c r="I44" s="2601"/>
      <c r="J44" s="2600"/>
      <c r="K44" s="2584"/>
      <c r="L44" s="2580"/>
      <c r="M44" s="2580"/>
      <c r="N44" s="2581"/>
      <c r="O44" s="2582"/>
      <c r="P44" s="2581"/>
      <c r="Q44" s="2581"/>
      <c r="R44" s="2581"/>
      <c r="S44" s="2581"/>
      <c r="T44" s="2581"/>
      <c r="U44" s="2581"/>
    </row>
    <row r="45" spans="1:28" s="2337" customFormat="1" ht="21" thickBot="1">
      <c r="A45" s="2338" t="s">
        <v>2157</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0"/>
      <c r="J46" s="1375"/>
      <c r="K46" s="2584"/>
      <c r="L46" s="2580"/>
      <c r="M46" s="2580"/>
      <c r="N46" s="2581"/>
      <c r="O46" s="2582"/>
      <c r="P46" s="2581"/>
      <c r="Q46" s="2581"/>
      <c r="R46" s="2581"/>
      <c r="S46" s="2581"/>
      <c r="T46" s="2581"/>
      <c r="U46" s="2581"/>
    </row>
    <row r="47" spans="1:28">
      <c r="A47" s="1440" t="s">
        <v>1521</v>
      </c>
      <c r="B47" s="1441"/>
      <c r="C47" s="1432"/>
      <c r="D47" s="1375"/>
      <c r="E47" s="1375"/>
      <c r="F47" s="1375"/>
      <c r="G47" s="1375"/>
      <c r="H47" s="1375"/>
      <c r="I47" s="1400"/>
      <c r="J47" s="1375"/>
      <c r="K47" s="2584"/>
      <c r="L47" s="2580"/>
      <c r="M47" s="2580"/>
      <c r="N47" s="2581"/>
      <c r="O47" s="2582"/>
      <c r="P47" s="2581"/>
      <c r="Q47" s="2581"/>
      <c r="R47" s="2581"/>
      <c r="S47" s="2581"/>
      <c r="T47" s="2581"/>
      <c r="U47" s="2581"/>
    </row>
    <row r="48" spans="1:28" ht="28.5">
      <c r="A48" s="1404" t="s">
        <v>1522</v>
      </c>
      <c r="B48" s="1395" t="s">
        <v>1523</v>
      </c>
      <c r="C48" s="1395" t="s">
        <v>1524</v>
      </c>
      <c r="D48" s="1395" t="s">
        <v>1525</v>
      </c>
      <c r="E48" s="1395" t="s">
        <v>1526</v>
      </c>
      <c r="F48" s="1395" t="s">
        <v>1527</v>
      </c>
      <c r="G48" s="1395" t="s">
        <v>1528</v>
      </c>
      <c r="H48" s="1395" t="s">
        <v>1529</v>
      </c>
      <c r="I48" s="1395" t="s">
        <v>1530</v>
      </c>
      <c r="J48" s="1468" t="s">
        <v>1531</v>
      </c>
      <c r="K48" s="2594" t="s">
        <v>1532</v>
      </c>
      <c r="L48" s="2594" t="s">
        <v>1533</v>
      </c>
      <c r="M48" s="2594" t="s">
        <v>1534</v>
      </c>
      <c r="N48" s="2595" t="s">
        <v>1535</v>
      </c>
      <c r="O48" s="2595" t="s">
        <v>1536</v>
      </c>
      <c r="P48" s="2595" t="s">
        <v>1537</v>
      </c>
      <c r="Q48" s="2586" t="s">
        <v>1538</v>
      </c>
      <c r="R48" s="2586" t="s">
        <v>1539</v>
      </c>
      <c r="S48" s="2581"/>
      <c r="T48" s="2581"/>
      <c r="U48" s="2581"/>
    </row>
    <row r="49" spans="1:21">
      <c r="A49" s="1401"/>
      <c r="B49" s="1433"/>
      <c r="C49" s="1433"/>
      <c r="D49" s="1433"/>
      <c r="E49" s="1433"/>
      <c r="F49" s="1433"/>
      <c r="G49" s="1433"/>
      <c r="H49" s="1433"/>
      <c r="I49" s="1433"/>
      <c r="J49" s="1525"/>
      <c r="K49" s="2596"/>
      <c r="L49" s="2596"/>
      <c r="M49" s="1438"/>
      <c r="N49" s="1438"/>
      <c r="O49" s="1438"/>
      <c r="P49" s="1438"/>
      <c r="Q49" s="1438"/>
      <c r="R49" s="1438"/>
      <c r="S49" s="2581"/>
      <c r="T49" s="2581"/>
      <c r="U49" s="2581"/>
    </row>
    <row r="50" spans="1:21">
      <c r="A50" s="1401"/>
      <c r="B50" s="1401"/>
      <c r="C50" s="1433"/>
      <c r="D50" s="1433"/>
      <c r="E50" s="1433"/>
      <c r="F50" s="1433"/>
      <c r="G50" s="1433"/>
      <c r="H50" s="1433"/>
      <c r="I50" s="1433"/>
      <c r="J50" s="1525"/>
      <c r="K50" s="2596"/>
      <c r="L50" s="2596"/>
      <c r="M50" s="1438"/>
      <c r="N50" s="1438"/>
      <c r="O50" s="1438"/>
      <c r="P50" s="1438"/>
      <c r="Q50" s="1438"/>
      <c r="R50" s="1438"/>
      <c r="S50" s="2581"/>
      <c r="T50" s="2581"/>
      <c r="U50" s="2581"/>
    </row>
    <row r="51" spans="1:21">
      <c r="A51" s="1401"/>
      <c r="B51" s="1401"/>
      <c r="C51" s="1433"/>
      <c r="D51" s="1433"/>
      <c r="E51" s="1433"/>
      <c r="F51" s="1433"/>
      <c r="G51" s="1433"/>
      <c r="H51" s="1433"/>
      <c r="I51" s="1433"/>
      <c r="J51" s="1525"/>
      <c r="K51" s="2596"/>
      <c r="L51" s="2596"/>
      <c r="M51" s="1438"/>
      <c r="N51" s="1438"/>
      <c r="O51" s="1438"/>
      <c r="P51" s="1438"/>
      <c r="Q51" s="1438"/>
      <c r="R51" s="1438"/>
      <c r="S51" s="2581"/>
      <c r="T51" s="2581"/>
      <c r="U51" s="2581"/>
    </row>
    <row r="52" spans="1:21">
      <c r="A52" s="1401"/>
      <c r="B52" s="1401"/>
      <c r="C52" s="1433"/>
      <c r="D52" s="1433"/>
      <c r="E52" s="1433"/>
      <c r="F52" s="1433"/>
      <c r="G52" s="1433"/>
      <c r="H52" s="1433"/>
      <c r="I52" s="1433"/>
      <c r="J52" s="1525"/>
      <c r="K52" s="2596"/>
      <c r="L52" s="2596"/>
      <c r="M52" s="1438"/>
      <c r="N52" s="1438"/>
      <c r="O52" s="1438"/>
      <c r="P52" s="1438"/>
      <c r="Q52" s="1438"/>
      <c r="R52" s="1438"/>
      <c r="S52" s="2581"/>
      <c r="T52" s="2581"/>
      <c r="U52" s="2581"/>
    </row>
    <row r="53" spans="1:21">
      <c r="A53" s="1401"/>
      <c r="B53" s="1401"/>
      <c r="C53" s="1433"/>
      <c r="D53" s="1433"/>
      <c r="E53" s="1433"/>
      <c r="F53" s="1433"/>
      <c r="G53" s="1433"/>
      <c r="H53" s="1433"/>
      <c r="I53" s="1433"/>
      <c r="J53" s="1525"/>
      <c r="K53" s="2596"/>
      <c r="L53" s="2596"/>
      <c r="M53" s="1438"/>
      <c r="N53" s="1438"/>
      <c r="O53" s="1438"/>
      <c r="P53" s="1438"/>
      <c r="Q53" s="1438"/>
      <c r="R53" s="1438"/>
      <c r="S53" s="2581"/>
      <c r="T53" s="2581"/>
      <c r="U53" s="2581"/>
    </row>
    <row r="54" spans="1:21">
      <c r="A54" s="1401"/>
      <c r="B54" s="1401"/>
      <c r="C54" s="1401"/>
      <c r="D54" s="1401"/>
      <c r="E54" s="1401"/>
      <c r="F54" s="1433"/>
      <c r="G54" s="1401"/>
      <c r="H54" s="1401"/>
      <c r="I54" s="1401"/>
      <c r="J54" s="1526"/>
      <c r="K54" s="2596"/>
      <c r="L54" s="2596"/>
      <c r="M54" s="2596"/>
      <c r="N54" s="2553"/>
      <c r="O54" s="2553"/>
      <c r="P54" s="2553"/>
      <c r="Q54" s="2553"/>
      <c r="R54" s="2553"/>
      <c r="S54" s="2581"/>
      <c r="T54" s="2581"/>
      <c r="U54" s="2581"/>
    </row>
    <row r="55" spans="1:21">
      <c r="A55" s="1401"/>
      <c r="B55" s="1401"/>
      <c r="C55" s="1401"/>
      <c r="D55" s="1401"/>
      <c r="E55" s="1401"/>
      <c r="F55" s="1433"/>
      <c r="G55" s="1401"/>
      <c r="H55" s="1401"/>
      <c r="I55" s="1401"/>
      <c r="J55" s="1526"/>
      <c r="K55" s="2596"/>
      <c r="L55" s="2596"/>
      <c r="M55" s="2596"/>
      <c r="N55" s="2553"/>
      <c r="O55" s="2553"/>
      <c r="P55" s="2553"/>
      <c r="Q55" s="2553"/>
      <c r="R55" s="2553"/>
      <c r="S55" s="2581"/>
      <c r="T55" s="2581"/>
      <c r="U55" s="2581"/>
    </row>
    <row r="56" spans="1:21">
      <c r="A56" s="1401"/>
      <c r="B56" s="1401"/>
      <c r="C56" s="1401"/>
      <c r="D56" s="1401"/>
      <c r="E56" s="1401"/>
      <c r="F56" s="1433"/>
      <c r="G56" s="1401"/>
      <c r="H56" s="1401"/>
      <c r="I56" s="1401"/>
      <c r="J56" s="1526"/>
      <c r="K56" s="2596"/>
      <c r="L56" s="2596"/>
      <c r="M56" s="2596"/>
      <c r="N56" s="2553"/>
      <c r="O56" s="2553"/>
      <c r="P56" s="2553"/>
      <c r="Q56" s="2553"/>
      <c r="R56" s="2553"/>
      <c r="S56" s="2581"/>
      <c r="T56" s="2581"/>
      <c r="U56" s="2581"/>
    </row>
    <row r="57" spans="1:21">
      <c r="A57" s="1401"/>
      <c r="B57" s="1401"/>
      <c r="C57" s="1401"/>
      <c r="D57" s="1401"/>
      <c r="E57" s="1401"/>
      <c r="F57" s="1433"/>
      <c r="G57" s="1401"/>
      <c r="H57" s="1401"/>
      <c r="I57" s="1401"/>
      <c r="J57" s="1526"/>
      <c r="K57" s="2596"/>
      <c r="L57" s="2596"/>
      <c r="M57" s="2596"/>
      <c r="N57" s="2553"/>
      <c r="O57" s="2553"/>
      <c r="P57" s="2553"/>
      <c r="Q57" s="2553"/>
      <c r="R57" s="2553"/>
      <c r="S57" s="2581"/>
      <c r="T57" s="2581"/>
      <c r="U57" s="2581"/>
    </row>
    <row r="58" spans="1:21">
      <c r="A58" s="1401"/>
      <c r="B58" s="1401"/>
      <c r="C58" s="1401"/>
      <c r="D58" s="1401"/>
      <c r="E58" s="1401"/>
      <c r="F58" s="1433"/>
      <c r="G58" s="1401"/>
      <c r="H58" s="1401"/>
      <c r="I58" s="1401"/>
      <c r="J58" s="1526"/>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5" width="9.5" style="13" customWidth="1"/>
    <col min="46" max="46" width="10.2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1685</v>
      </c>
      <c r="BA2" s="1924" t="s">
        <v>1684</v>
      </c>
      <c r="BB2" s="38"/>
      <c r="BC2" s="38"/>
      <c r="BD2" s="38"/>
      <c r="BE2" s="38"/>
      <c r="BF2" s="38"/>
      <c r="BG2" s="38"/>
      <c r="BH2" s="38"/>
      <c r="BI2" s="38"/>
      <c r="BJ2" s="38"/>
      <c r="BK2" s="38"/>
      <c r="BL2" s="38"/>
      <c r="BM2" s="38"/>
      <c r="BN2" s="38"/>
      <c r="BO2" s="38"/>
      <c r="BP2" s="38"/>
      <c r="BQ2" s="38"/>
      <c r="BR2" s="38"/>
      <c r="BS2" s="38"/>
      <c r="BT2" s="38"/>
    </row>
    <row r="3" spans="1:72" s="15" customFormat="1" ht="12.75">
      <c r="A3" s="18">
        <f>经济指标!L5</f>
        <v>36842.300000000003</v>
      </c>
      <c r="B3" s="19">
        <f>IF(C3="否",G5-AT5,G5)</f>
        <v>122231.91</v>
      </c>
      <c r="C3" s="20" t="s">
        <v>3317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132406.91</v>
      </c>
      <c r="H5" s="23">
        <f t="shared" ref="H5:AT5" si="0">SUM(H13:H641)</f>
        <v>111904.17</v>
      </c>
      <c r="I5" s="23">
        <f t="shared" si="0"/>
        <v>91399.81</v>
      </c>
      <c r="J5" s="23">
        <f t="shared" si="0"/>
        <v>0</v>
      </c>
      <c r="K5" s="23">
        <f t="shared" si="0"/>
        <v>18058.14</v>
      </c>
      <c r="L5" s="23">
        <f t="shared" si="0"/>
        <v>0</v>
      </c>
      <c r="M5" s="23">
        <f t="shared" si="0"/>
        <v>1406.86</v>
      </c>
      <c r="N5" s="23">
        <f t="shared" si="0"/>
        <v>0</v>
      </c>
      <c r="O5" s="23">
        <f t="shared" si="0"/>
        <v>1039.3599999999999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10327.74</v>
      </c>
      <c r="AD5" s="23">
        <f t="shared" si="0"/>
        <v>480</v>
      </c>
      <c r="AE5" s="23">
        <f t="shared" si="0"/>
        <v>0</v>
      </c>
      <c r="AF5" s="23">
        <f t="shared" si="0"/>
        <v>1338.09</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1"/>
      <c r="AV5" s="22" t="s">
        <v>134</v>
      </c>
      <c r="AW5" s="902"/>
      <c r="AX5" s="902"/>
      <c r="AY5" s="24" t="s">
        <v>2</v>
      </c>
      <c r="AZ5" s="25">
        <f t="shared" ref="AZ5:BT5" si="1">SUM(AZ13:AZ641)</f>
        <v>122231.91</v>
      </c>
      <c r="BA5" s="25">
        <f t="shared" si="1"/>
        <v>111904.17</v>
      </c>
      <c r="BB5" s="25">
        <f t="shared" si="1"/>
        <v>91399.81</v>
      </c>
      <c r="BC5" s="25">
        <f t="shared" si="1"/>
        <v>18058.14</v>
      </c>
      <c r="BD5" s="25">
        <f t="shared" si="1"/>
        <v>1406.86</v>
      </c>
      <c r="BE5" s="25">
        <f t="shared" si="1"/>
        <v>1039.3599999999999</v>
      </c>
      <c r="BF5" s="25">
        <f t="shared" si="1"/>
        <v>0</v>
      </c>
      <c r="BG5" s="25">
        <f t="shared" si="1"/>
        <v>0</v>
      </c>
      <c r="BH5" s="25">
        <f t="shared" si="1"/>
        <v>0</v>
      </c>
      <c r="BI5" s="25">
        <f t="shared" si="1"/>
        <v>0</v>
      </c>
      <c r="BJ5" s="25">
        <f t="shared" si="1"/>
        <v>0</v>
      </c>
      <c r="BK5" s="25">
        <f t="shared" si="1"/>
        <v>0</v>
      </c>
      <c r="BL5" s="25">
        <f t="shared" si="1"/>
        <v>10327.74</v>
      </c>
      <c r="BM5" s="25">
        <f t="shared" si="1"/>
        <v>480</v>
      </c>
      <c r="BN5" s="25">
        <f t="shared" si="1"/>
        <v>1338.09</v>
      </c>
      <c r="BO5" s="25">
        <f t="shared" si="1"/>
        <v>100</v>
      </c>
      <c r="BP5" s="25">
        <f t="shared" si="1"/>
        <v>50</v>
      </c>
      <c r="BQ5" s="25">
        <f t="shared" si="1"/>
        <v>339.94</v>
      </c>
      <c r="BR5" s="25">
        <f t="shared" si="1"/>
        <v>8019.71</v>
      </c>
      <c r="BS5" s="25">
        <f t="shared" si="1"/>
        <v>0</v>
      </c>
      <c r="BT5" s="26">
        <f t="shared" si="1"/>
        <v>0</v>
      </c>
    </row>
    <row r="6" spans="1:72" s="33" customFormat="1" ht="12.75">
      <c r="A6" s="22" t="s">
        <v>135</v>
      </c>
      <c r="B6" s="27"/>
      <c r="C6" s="27"/>
      <c r="D6" s="28"/>
      <c r="E6" s="23">
        <f>H6+AC6+AT6</f>
        <v>36842.31</v>
      </c>
      <c r="F6" s="23" t="s">
        <v>0</v>
      </c>
      <c r="G6" s="23" t="s">
        <v>1</v>
      </c>
      <c r="H6" s="29">
        <f>SUMIF(I$12:AB$12,"总值",I6:AB6)</f>
        <v>33729.39</v>
      </c>
      <c r="I6" s="23">
        <f t="shared" ref="I6:AB6" si="2">ROUND($A$3*I5/$B$3,2)</f>
        <v>27549.1</v>
      </c>
      <c r="J6" s="23">
        <f t="shared" si="2"/>
        <v>0</v>
      </c>
      <c r="K6" s="23">
        <f t="shared" si="2"/>
        <v>5442.96</v>
      </c>
      <c r="L6" s="23">
        <f t="shared" si="2"/>
        <v>0</v>
      </c>
      <c r="M6" s="23">
        <f t="shared" si="2"/>
        <v>424.05</v>
      </c>
      <c r="N6" s="23">
        <f t="shared" si="2"/>
        <v>0</v>
      </c>
      <c r="O6" s="23">
        <f t="shared" si="2"/>
        <v>313.27999999999997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3112.92</v>
      </c>
      <c r="AD6" s="23">
        <f t="shared" ref="AD6:AS6" si="3">ROUND($A$3*AD5/$B$3,2)</f>
        <v>144.68</v>
      </c>
      <c r="AE6" s="23">
        <f t="shared" si="3"/>
        <v>0</v>
      </c>
      <c r="AF6" s="23">
        <f t="shared" si="3"/>
        <v>403.32</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33729.379999999997</v>
      </c>
      <c r="BB6" s="23">
        <f>ROUND($AY$6*BB5/$AZ$5,2)</f>
        <v>27549.1</v>
      </c>
      <c r="BC6" s="23">
        <f t="shared" ref="BC6:BH6" si="4">ROUND($AY$6*BC5/$AZ$5,2)</f>
        <v>5442.96</v>
      </c>
      <c r="BD6" s="23">
        <f t="shared" si="4"/>
        <v>424.05</v>
      </c>
      <c r="BE6" s="23">
        <f t="shared" si="4"/>
        <v>313.27999999999997</v>
      </c>
      <c r="BF6" s="23">
        <f t="shared" si="4"/>
        <v>0</v>
      </c>
      <c r="BG6" s="23">
        <f t="shared" si="4"/>
        <v>0</v>
      </c>
      <c r="BH6" s="23">
        <f t="shared" si="4"/>
        <v>0</v>
      </c>
      <c r="BI6" s="23">
        <f t="shared" ref="BI6:BT6" si="5">ROUND($AY$6*BI5/$AZ$5,2)</f>
        <v>0</v>
      </c>
      <c r="BJ6" s="23">
        <f t="shared" si="5"/>
        <v>0</v>
      </c>
      <c r="BK6" s="23">
        <f t="shared" si="5"/>
        <v>0</v>
      </c>
      <c r="BL6" s="23">
        <f t="shared" si="5"/>
        <v>3112.92</v>
      </c>
      <c r="BM6" s="23">
        <f t="shared" si="5"/>
        <v>144.68</v>
      </c>
      <c r="BN6" s="23">
        <f t="shared" si="5"/>
        <v>403.32</v>
      </c>
      <c r="BO6" s="23">
        <f t="shared" si="5"/>
        <v>30.14</v>
      </c>
      <c r="BP6" s="23">
        <f t="shared" si="5"/>
        <v>15.07</v>
      </c>
      <c r="BQ6" s="23">
        <f t="shared" si="5"/>
        <v>102.46</v>
      </c>
      <c r="BR6" s="23">
        <f t="shared" si="5"/>
        <v>2417.25</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2" t="s">
        <v>793</v>
      </c>
      <c r="AU8" s="41" t="s">
        <v>151</v>
      </c>
      <c r="AV8" s="51"/>
      <c r="AW8" s="866"/>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1" t="s">
        <v>3322</v>
      </c>
      <c r="J9" s="47"/>
      <c r="K9" s="2301" t="s">
        <v>3323</v>
      </c>
      <c r="L9" s="47"/>
      <c r="M9" s="2301" t="s">
        <v>3323</v>
      </c>
      <c r="N9" s="47"/>
      <c r="O9" s="55" t="s">
        <v>3323</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3"/>
      <c r="AT9" s="41"/>
      <c r="AU9" s="41" t="s">
        <v>160</v>
      </c>
      <c r="AV9" s="51"/>
      <c r="AW9" s="866"/>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1" t="s">
        <v>851</v>
      </c>
      <c r="J10" s="47"/>
      <c r="K10" s="2303" t="s">
        <v>2721</v>
      </c>
      <c r="L10" s="47"/>
      <c r="M10" s="2303" t="s">
        <v>2722</v>
      </c>
      <c r="N10" s="47"/>
      <c r="O10" s="62" t="s">
        <v>2720</v>
      </c>
      <c r="P10" s="47"/>
      <c r="Q10" s="62"/>
      <c r="R10" s="47"/>
      <c r="S10" s="62"/>
      <c r="T10" s="47"/>
      <c r="U10" s="62"/>
      <c r="V10" s="47"/>
      <c r="W10" s="62"/>
      <c r="X10" s="47"/>
      <c r="Y10" s="62"/>
      <c r="Z10" s="47"/>
      <c r="AA10" s="62"/>
      <c r="AB10" s="47"/>
      <c r="AC10" s="51"/>
      <c r="AD10" s="1898" t="s">
        <v>1671</v>
      </c>
      <c r="AE10" s="1920"/>
      <c r="AF10" s="1898" t="s">
        <v>1671</v>
      </c>
      <c r="AG10" s="1920"/>
      <c r="AH10" s="1898" t="s">
        <v>1672</v>
      </c>
      <c r="AI10" s="1920"/>
      <c r="AJ10" s="22" t="s">
        <v>1683</v>
      </c>
      <c r="AK10" s="1917"/>
      <c r="AL10" s="1898" t="s">
        <v>1673</v>
      </c>
      <c r="AM10" s="1899"/>
      <c r="AN10" s="22" t="s">
        <v>164</v>
      </c>
      <c r="AO10" s="57"/>
      <c r="AP10" s="1030" t="s">
        <v>165</v>
      </c>
      <c r="AQ10" s="1032"/>
      <c r="AR10" s="1030" t="s">
        <v>165</v>
      </c>
      <c r="AS10" s="1032"/>
      <c r="AT10" s="41"/>
      <c r="AU10" s="41"/>
      <c r="AV10" s="51"/>
      <c r="AW10" s="866"/>
      <c r="AX10" s="51"/>
      <c r="AY10" s="58"/>
      <c r="AZ10" s="58"/>
      <c r="BA10" s="63" t="s">
        <v>159</v>
      </c>
      <c r="BB10" s="64" t="str">
        <f>I9</f>
        <v>地上</v>
      </c>
      <c r="BC10" s="65" t="str">
        <f>K9</f>
        <v>地下</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8" t="s">
        <v>1682</v>
      </c>
      <c r="AE11" s="914"/>
      <c r="AF11" s="1918" t="s">
        <v>1682</v>
      </c>
      <c r="AG11" s="914"/>
      <c r="AH11" s="1918" t="s">
        <v>1681</v>
      </c>
      <c r="AI11" s="1919"/>
      <c r="AJ11" s="1918" t="s">
        <v>1681</v>
      </c>
      <c r="AK11" s="1917"/>
      <c r="AL11" s="912"/>
      <c r="AM11" s="914"/>
      <c r="AN11" s="912"/>
      <c r="AO11" s="914"/>
      <c r="AP11" s="1031"/>
      <c r="AQ11" s="1033"/>
      <c r="AR11" s="1031"/>
      <c r="AS11" s="1033"/>
      <c r="AT11" s="866"/>
      <c r="AU11" s="41"/>
      <c r="AV11" s="51"/>
      <c r="AW11" s="866"/>
      <c r="AX11" s="51"/>
      <c r="AY11" s="58"/>
      <c r="AZ11" s="58"/>
      <c r="BA11" s="58"/>
      <c r="BB11" s="46" t="str">
        <f>I10</f>
        <v>住宅</v>
      </c>
      <c r="BC11" s="46" t="str">
        <f>K10</f>
        <v>车库</v>
      </c>
      <c r="BD11" s="46" t="str">
        <f>M10</f>
        <v>仓储</v>
      </c>
      <c r="BE11" s="46" t="str">
        <f>O10</f>
        <v>商业</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7"/>
      <c r="B13" s="2297"/>
      <c r="C13" s="2297"/>
      <c r="D13" s="2298" t="s">
        <v>3321</v>
      </c>
      <c r="E13" s="23">
        <f t="shared" ref="E13:E20" si="6">IF($C$3="是",ROUND($A$3*G13/$B$3,2),ROUND($A$3*(G13-AT13)/$B$3,2))</f>
        <v>36842.300000000003</v>
      </c>
      <c r="F13" s="76"/>
      <c r="G13" s="77">
        <f t="shared" ref="G13:G20" si="7">H13+AC13+AT13</f>
        <v>132406.91</v>
      </c>
      <c r="H13" s="29">
        <f t="shared" ref="H13:H20" si="8">SUMIF(I$12:AB$12,"总值",I13:AB13)</f>
        <v>111904.17</v>
      </c>
      <c r="I13" s="2300">
        <f>经济指标!$L$8</f>
        <v>91399.81</v>
      </c>
      <c r="J13" s="2300"/>
      <c r="K13" s="2300">
        <f>经济指标!$L$19</f>
        <v>18058.14</v>
      </c>
      <c r="L13" s="2300"/>
      <c r="M13" s="2300">
        <f>经济指标!L27</f>
        <v>1406.86</v>
      </c>
      <c r="N13" s="78"/>
      <c r="O13" s="3829">
        <f>21.19+1018.17</f>
        <v>1039.3599999999999</v>
      </c>
      <c r="P13" s="78"/>
      <c r="Q13" s="78"/>
      <c r="R13" s="78"/>
      <c r="S13" s="78"/>
      <c r="T13" s="78"/>
      <c r="U13" s="78"/>
      <c r="V13" s="78"/>
      <c r="W13" s="78"/>
      <c r="X13" s="78"/>
      <c r="Y13" s="78"/>
      <c r="Z13" s="78"/>
      <c r="AA13" s="78"/>
      <c r="AB13" s="78"/>
      <c r="AC13" s="23">
        <f t="shared" ref="AC13:AC20" si="9">SUMIF(AD$12:AS$12,"总值",AD13:AS13)</f>
        <v>10327.74</v>
      </c>
      <c r="AD13" s="2304">
        <f>经济指标!L10</f>
        <v>480</v>
      </c>
      <c r="AE13" s="2304"/>
      <c r="AF13" s="3830">
        <f>经济指标!L21+经济指标!L20-'数据-基础表'!AJ13-O13</f>
        <v>1338.09</v>
      </c>
      <c r="AG13" s="2304"/>
      <c r="AH13" s="2304">
        <f>经济指标!L11</f>
        <v>100</v>
      </c>
      <c r="AI13" s="2304"/>
      <c r="AJ13" s="2304">
        <f>经济指标!L22</f>
        <v>50</v>
      </c>
      <c r="AK13" s="2304"/>
      <c r="AL13" s="2304">
        <f>经济指标!L13+经济指标!L14</f>
        <v>339.94</v>
      </c>
      <c r="AM13" s="2304"/>
      <c r="AN13" s="2304">
        <f>经济指标!L26</f>
        <v>8019.71</v>
      </c>
      <c r="AO13" s="2304"/>
      <c r="AP13" s="2304"/>
      <c r="AQ13" s="2304"/>
      <c r="AR13" s="2304"/>
      <c r="AS13" s="2304"/>
      <c r="AT13" s="2305">
        <f>经济指标!L12+经济指标!L18</f>
        <v>10175</v>
      </c>
      <c r="AU13" s="2306"/>
      <c r="AV13" s="14">
        <f t="shared" ref="AV13:AX20" si="10">A13</f>
        <v>0</v>
      </c>
      <c r="AW13" s="14">
        <f t="shared" si="10"/>
        <v>0</v>
      </c>
      <c r="AX13" s="14">
        <f t="shared" si="10"/>
        <v>0</v>
      </c>
      <c r="AY13" s="908">
        <f t="shared" ref="AY13:AY20" si="11">ROUND($AY$6*AZ13/$AZ$5,2)</f>
        <v>36842.300000000003</v>
      </c>
      <c r="AZ13" s="23">
        <f t="shared" ref="AZ13:AZ20" si="12">BA13+BL13</f>
        <v>122231.91</v>
      </c>
      <c r="BA13" s="23">
        <f t="shared" ref="BA13:BA20" si="13">SUM(BB13:BK13)</f>
        <v>111904.17</v>
      </c>
      <c r="BB13" s="23">
        <f t="shared" ref="BB13:BB20" si="14">IF($D13="是",I13-J13,0)</f>
        <v>91399.81</v>
      </c>
      <c r="BC13" s="23">
        <f t="shared" ref="BC13:BC20" si="15">IF($D13="是",K13-L13,0)</f>
        <v>18058.14</v>
      </c>
      <c r="BD13" s="23">
        <f t="shared" ref="BD13:BD20" si="16">IF($D13="是",M13-N13,0)</f>
        <v>1406.86</v>
      </c>
      <c r="BE13" s="23">
        <f t="shared" ref="BE13:BE20" si="17">IF($D13="是",O13-P13,0)</f>
        <v>1039.3599999999999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10327.74</v>
      </c>
      <c r="BM13" s="23">
        <f t="shared" ref="BM13:BM20" si="25">IF($D13="是",AD13-AE13,0)</f>
        <v>480</v>
      </c>
      <c r="BN13" s="23">
        <f t="shared" ref="BN13:BN20" si="26">IF($D13="是",AF13-AG13,0)</f>
        <v>1338.09</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2.75">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6"/>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6"/>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8"/>
      <c r="E22" s="81">
        <f t="shared" si="33"/>
        <v>0</v>
      </c>
      <c r="F22" s="82"/>
      <c r="G22" s="83">
        <f t="shared" si="34"/>
        <v>0</v>
      </c>
      <c r="H22" s="84">
        <f t="shared" si="35"/>
        <v>0</v>
      </c>
      <c r="I22" s="1178"/>
      <c r="J22" s="85"/>
      <c r="K22" s="1178"/>
      <c r="L22" s="85"/>
      <c r="M22" s="1156"/>
      <c r="N22" s="85"/>
      <c r="O22" s="85"/>
      <c r="P22" s="85"/>
      <c r="Q22" s="85"/>
      <c r="R22" s="85"/>
      <c r="S22" s="85"/>
      <c r="T22" s="85"/>
      <c r="U22" s="85"/>
      <c r="V22" s="85"/>
      <c r="W22" s="85"/>
      <c r="X22" s="85"/>
      <c r="Y22" s="85"/>
      <c r="Z22" s="85"/>
      <c r="AA22" s="85"/>
      <c r="AB22" s="85"/>
      <c r="AC22" s="81">
        <f t="shared" si="36"/>
        <v>0</v>
      </c>
      <c r="AD22" s="1156"/>
      <c r="AE22" s="86"/>
      <c r="AF22" s="1179"/>
      <c r="AG22" s="86"/>
      <c r="AH22" s="86"/>
      <c r="AI22" s="86"/>
      <c r="AJ22" s="86"/>
      <c r="AK22" s="86"/>
      <c r="AL22" s="1156"/>
      <c r="AM22" s="86"/>
      <c r="AN22" s="1156"/>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8"/>
      <c r="E23" s="81">
        <f t="shared" si="33"/>
        <v>0</v>
      </c>
      <c r="F23" s="82"/>
      <c r="G23" s="83">
        <f t="shared" si="34"/>
        <v>0</v>
      </c>
      <c r="H23" s="84">
        <f t="shared" si="35"/>
        <v>0</v>
      </c>
      <c r="I23" s="1178"/>
      <c r="J23" s="85"/>
      <c r="K23" s="1178"/>
      <c r="L23" s="85"/>
      <c r="M23" s="1156"/>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6"/>
      <c r="AM23" s="86"/>
      <c r="AN23" s="1156"/>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8"/>
      <c r="E24" s="81">
        <f t="shared" si="33"/>
        <v>0</v>
      </c>
      <c r="F24" s="82"/>
      <c r="G24" s="83">
        <f t="shared" si="34"/>
        <v>0</v>
      </c>
      <c r="H24" s="84">
        <f t="shared" si="35"/>
        <v>0</v>
      </c>
      <c r="I24" s="1178"/>
      <c r="J24" s="85"/>
      <c r="K24" s="1178"/>
      <c r="L24" s="85"/>
      <c r="M24" s="85"/>
      <c r="N24" s="85"/>
      <c r="O24" s="1156"/>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6"/>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6"/>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8"/>
      <c r="E114" s="81">
        <f t="shared" si="87"/>
        <v>0</v>
      </c>
      <c r="F114" s="82"/>
      <c r="G114" s="83">
        <f t="shared" si="62"/>
        <v>0</v>
      </c>
      <c r="H114" s="84">
        <f t="shared" si="63"/>
        <v>0</v>
      </c>
      <c r="I114" s="1178"/>
      <c r="J114" s="85"/>
      <c r="K114" s="1178"/>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79"/>
      <c r="AG114" s="86"/>
      <c r="AH114" s="86"/>
      <c r="AI114" s="86"/>
      <c r="AJ114" s="86"/>
      <c r="AK114" s="86"/>
      <c r="AL114" s="1156"/>
      <c r="AM114" s="86"/>
      <c r="AN114" s="1156"/>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8"/>
      <c r="E115" s="81">
        <f t="shared" si="87"/>
        <v>0</v>
      </c>
      <c r="F115" s="82"/>
      <c r="G115" s="83">
        <f t="shared" si="62"/>
        <v>0</v>
      </c>
      <c r="H115" s="84">
        <f t="shared" si="63"/>
        <v>0</v>
      </c>
      <c r="I115" s="1178"/>
      <c r="J115" s="85"/>
      <c r="K115" s="1178"/>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6"/>
      <c r="AM115" s="86"/>
      <c r="AN115" s="1156"/>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8"/>
      <c r="E116" s="81">
        <f t="shared" si="87"/>
        <v>0</v>
      </c>
      <c r="F116" s="82"/>
      <c r="G116" s="83">
        <f t="shared" si="62"/>
        <v>0</v>
      </c>
      <c r="H116" s="84">
        <f t="shared" si="63"/>
        <v>0</v>
      </c>
      <c r="I116" s="1178"/>
      <c r="J116" s="85"/>
      <c r="K116" s="1178"/>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6"/>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6"/>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8"/>
      <c r="E206" s="81">
        <f t="shared" si="149"/>
        <v>0</v>
      </c>
      <c r="F206" s="82"/>
      <c r="G206" s="83">
        <f t="shared" si="150"/>
        <v>0</v>
      </c>
      <c r="H206" s="84">
        <f t="shared" si="151"/>
        <v>0</v>
      </c>
      <c r="I206" s="1178"/>
      <c r="J206" s="85"/>
      <c r="K206" s="1178"/>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79"/>
      <c r="AG206" s="86"/>
      <c r="AH206" s="86"/>
      <c r="AI206" s="86"/>
      <c r="AJ206" s="86"/>
      <c r="AK206" s="86"/>
      <c r="AL206" s="1156"/>
      <c r="AM206" s="86"/>
      <c r="AN206" s="1156"/>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8"/>
      <c r="E207" s="81">
        <f t="shared" si="149"/>
        <v>0</v>
      </c>
      <c r="F207" s="82"/>
      <c r="G207" s="83">
        <f t="shared" si="150"/>
        <v>0</v>
      </c>
      <c r="H207" s="84">
        <f t="shared" si="151"/>
        <v>0</v>
      </c>
      <c r="I207" s="1178"/>
      <c r="J207" s="85"/>
      <c r="K207" s="1178"/>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6"/>
      <c r="AM207" s="86"/>
      <c r="AN207" s="1156"/>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8"/>
      <c r="E208" s="81">
        <f t="shared" si="149"/>
        <v>0</v>
      </c>
      <c r="F208" s="82"/>
      <c r="G208" s="83">
        <f t="shared" si="150"/>
        <v>0</v>
      </c>
      <c r="H208" s="84">
        <f t="shared" si="151"/>
        <v>0</v>
      </c>
      <c r="I208" s="1178"/>
      <c r="J208" s="85"/>
      <c r="K208" s="1178"/>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6"/>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6"/>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8"/>
      <c r="E298" s="81">
        <f t="shared" si="203"/>
        <v>0</v>
      </c>
      <c r="F298" s="82"/>
      <c r="G298" s="83">
        <f t="shared" si="178"/>
        <v>0</v>
      </c>
      <c r="H298" s="84">
        <f t="shared" si="179"/>
        <v>0</v>
      </c>
      <c r="I298" s="1178"/>
      <c r="J298" s="85"/>
      <c r="K298" s="1178"/>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79"/>
      <c r="AG298" s="86"/>
      <c r="AH298" s="86"/>
      <c r="AI298" s="86"/>
      <c r="AJ298" s="86"/>
      <c r="AK298" s="86"/>
      <c r="AL298" s="1156"/>
      <c r="AM298" s="86"/>
      <c r="AN298" s="1156"/>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8"/>
      <c r="E299" s="81">
        <f t="shared" si="203"/>
        <v>0</v>
      </c>
      <c r="F299" s="82"/>
      <c r="G299" s="83">
        <f t="shared" si="178"/>
        <v>0</v>
      </c>
      <c r="H299" s="84">
        <f t="shared" si="179"/>
        <v>0</v>
      </c>
      <c r="I299" s="1178"/>
      <c r="J299" s="85"/>
      <c r="K299" s="1178"/>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6"/>
      <c r="AM299" s="86"/>
      <c r="AN299" s="1156"/>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8"/>
      <c r="E300" s="81">
        <f t="shared" si="203"/>
        <v>0</v>
      </c>
      <c r="F300" s="82"/>
      <c r="G300" s="83">
        <f t="shared" si="178"/>
        <v>0</v>
      </c>
      <c r="H300" s="84">
        <f t="shared" si="179"/>
        <v>0</v>
      </c>
      <c r="I300" s="1178"/>
      <c r="J300" s="85"/>
      <c r="K300" s="1178"/>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6"/>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6"/>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8"/>
      <c r="E390" s="81">
        <f t="shared" si="265"/>
        <v>0</v>
      </c>
      <c r="F390" s="82"/>
      <c r="G390" s="83">
        <f t="shared" si="266"/>
        <v>0</v>
      </c>
      <c r="H390" s="84">
        <f t="shared" si="267"/>
        <v>0</v>
      </c>
      <c r="I390" s="1178"/>
      <c r="J390" s="85"/>
      <c r="K390" s="1178"/>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79"/>
      <c r="AG390" s="86"/>
      <c r="AH390" s="86"/>
      <c r="AI390" s="86"/>
      <c r="AJ390" s="86"/>
      <c r="AK390" s="86"/>
      <c r="AL390" s="1156"/>
      <c r="AM390" s="86"/>
      <c r="AN390" s="1156"/>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8"/>
      <c r="E391" s="81">
        <f t="shared" si="265"/>
        <v>0</v>
      </c>
      <c r="F391" s="82"/>
      <c r="G391" s="83">
        <f t="shared" si="266"/>
        <v>0</v>
      </c>
      <c r="H391" s="84">
        <f t="shared" si="267"/>
        <v>0</v>
      </c>
      <c r="I391" s="1178"/>
      <c r="J391" s="85"/>
      <c r="K391" s="1178"/>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6"/>
      <c r="AM391" s="86"/>
      <c r="AN391" s="1156"/>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8"/>
      <c r="E392" s="81">
        <f t="shared" si="265"/>
        <v>0</v>
      </c>
      <c r="F392" s="82"/>
      <c r="G392" s="83">
        <f t="shared" si="266"/>
        <v>0</v>
      </c>
      <c r="H392" s="84">
        <f t="shared" si="267"/>
        <v>0</v>
      </c>
      <c r="I392" s="1178"/>
      <c r="J392" s="85"/>
      <c r="K392" s="1178"/>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6"/>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6"/>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8"/>
      <c r="E482" s="81">
        <f t="shared" si="319"/>
        <v>0</v>
      </c>
      <c r="F482" s="82"/>
      <c r="G482" s="83">
        <f t="shared" si="294"/>
        <v>0</v>
      </c>
      <c r="H482" s="84">
        <f t="shared" si="295"/>
        <v>0</v>
      </c>
      <c r="I482" s="1178"/>
      <c r="J482" s="85"/>
      <c r="K482" s="1178"/>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79"/>
      <c r="AG482" s="86"/>
      <c r="AH482" s="86"/>
      <c r="AI482" s="86"/>
      <c r="AJ482" s="86"/>
      <c r="AK482" s="86"/>
      <c r="AL482" s="1156"/>
      <c r="AM482" s="86"/>
      <c r="AN482" s="1156"/>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8"/>
      <c r="E483" s="81">
        <f t="shared" si="319"/>
        <v>0</v>
      </c>
      <c r="F483" s="82"/>
      <c r="G483" s="83">
        <f t="shared" si="294"/>
        <v>0</v>
      </c>
      <c r="H483" s="84">
        <f t="shared" si="295"/>
        <v>0</v>
      </c>
      <c r="I483" s="1178"/>
      <c r="J483" s="85"/>
      <c r="K483" s="1178"/>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6"/>
      <c r="AM483" s="86"/>
      <c r="AN483" s="1156"/>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8"/>
      <c r="E484" s="81">
        <f t="shared" si="319"/>
        <v>0</v>
      </c>
      <c r="F484" s="82"/>
      <c r="G484" s="83">
        <f t="shared" si="294"/>
        <v>0</v>
      </c>
      <c r="H484" s="84">
        <f t="shared" si="295"/>
        <v>0</v>
      </c>
      <c r="I484" s="1178"/>
      <c r="J484" s="85"/>
      <c r="K484" s="1178"/>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6"/>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5"/>
  <sheetViews>
    <sheetView topLeftCell="A13" zoomScale="85" zoomScaleNormal="85" workbookViewId="0">
      <selection activeCell="M38" sqref="M38"/>
    </sheetView>
  </sheetViews>
  <sheetFormatPr defaultColWidth="9" defaultRowHeight="12"/>
  <cols>
    <col min="1" max="1" width="16.125" style="3409" customWidth="1"/>
    <col min="2" max="2" width="14.125" style="3410" customWidth="1"/>
    <col min="3" max="3" width="21.75" style="3410" customWidth="1"/>
    <col min="4" max="4" width="14.25" style="3410" customWidth="1"/>
    <col min="5" max="7" width="11.5" style="3410" customWidth="1"/>
    <col min="8" max="8" width="11.125" style="3410" customWidth="1"/>
    <col min="9" max="9" width="9" style="3410"/>
    <col min="10" max="10" width="12.75" style="3410" customWidth="1"/>
    <col min="11" max="11" width="23" style="3410" customWidth="1"/>
    <col min="12" max="13" width="14.5" style="3410" customWidth="1"/>
    <col min="14" max="14" width="11.75" style="3410" customWidth="1"/>
    <col min="15" max="17" width="14.5" style="3410" customWidth="1"/>
    <col min="18" max="18" width="13.875" style="3410" customWidth="1"/>
    <col min="19" max="16384" width="9" style="3410"/>
  </cols>
  <sheetData>
    <row r="1" spans="1:18" ht="13.5">
      <c r="C1" s="3411"/>
      <c r="D1" s="3412"/>
      <c r="E1" s="3412"/>
      <c r="K1" s="3413"/>
      <c r="L1" s="3413"/>
      <c r="M1" s="3413"/>
      <c r="N1" s="3413"/>
      <c r="O1" s="3413"/>
      <c r="P1" s="3413"/>
      <c r="Q1" s="3413"/>
      <c r="R1" s="3413"/>
    </row>
    <row r="2" spans="1:18" s="3413" customFormat="1" ht="13.5">
      <c r="A2" s="3414" t="s">
        <v>3441</v>
      </c>
      <c r="B2" s="3413" t="s">
        <v>3442</v>
      </c>
      <c r="C2" s="3415" t="s">
        <v>3480</v>
      </c>
      <c r="D2" s="3415"/>
      <c r="E2" s="3415"/>
    </row>
    <row r="3" spans="1:18" s="3413" customFormat="1" ht="14.25" thickBot="1">
      <c r="B3" s="3413" t="s">
        <v>3300</v>
      </c>
      <c r="C3" s="3415" t="s">
        <v>3481</v>
      </c>
      <c r="D3" s="3415"/>
      <c r="E3" s="3415"/>
    </row>
    <row r="4" spans="1:18" s="3413" customFormat="1" ht="15.75">
      <c r="B4" s="3413" t="s">
        <v>2195</v>
      </c>
      <c r="C4" s="3415">
        <v>36842.300000000003</v>
      </c>
      <c r="D4" s="3415"/>
      <c r="E4" s="3415"/>
      <c r="K4" s="3448" t="s">
        <v>3487</v>
      </c>
      <c r="L4" s="3449" t="s">
        <v>3500</v>
      </c>
      <c r="M4" s="3476"/>
      <c r="N4" s="3476"/>
    </row>
    <row r="5" spans="1:18" s="3413" customFormat="1" ht="15.75">
      <c r="B5" s="3413" t="s">
        <v>3443</v>
      </c>
      <c r="C5" s="3415" t="s">
        <v>3301</v>
      </c>
      <c r="D5" s="3415"/>
      <c r="E5" s="3415"/>
      <c r="K5" s="3450" t="s">
        <v>3488</v>
      </c>
      <c r="L5" s="3451">
        <f>C4</f>
        <v>36842.300000000003</v>
      </c>
      <c r="M5" s="3477"/>
      <c r="N5" s="3477"/>
    </row>
    <row r="6" spans="1:18" s="3413" customFormat="1" ht="15.75">
      <c r="B6" s="3413" t="s">
        <v>3444</v>
      </c>
      <c r="C6" s="3415" t="s">
        <v>3302</v>
      </c>
      <c r="D6" s="3415"/>
      <c r="E6" s="3415"/>
      <c r="K6" s="3452" t="s">
        <v>3489</v>
      </c>
      <c r="L6" s="3453">
        <f>SUM(L7,L17)</f>
        <v>132406.91</v>
      </c>
      <c r="M6" s="3477"/>
      <c r="N6" s="3477"/>
    </row>
    <row r="7" spans="1:18" s="3413" customFormat="1" ht="15.75">
      <c r="B7" s="3413" t="s">
        <v>3445</v>
      </c>
      <c r="C7" s="3415">
        <v>442000</v>
      </c>
      <c r="D7" s="3415"/>
      <c r="E7" s="3415"/>
      <c r="K7" s="3454" t="s">
        <v>3490</v>
      </c>
      <c r="L7" s="3451">
        <f>SUM(L8:L14)</f>
        <v>92405.75</v>
      </c>
      <c r="M7" s="3477"/>
      <c r="N7" s="3477"/>
    </row>
    <row r="8" spans="1:18" s="3413" customFormat="1" ht="15.75">
      <c r="B8" s="3413" t="s">
        <v>3446</v>
      </c>
      <c r="C8" s="3415">
        <v>47989</v>
      </c>
      <c r="D8" s="3415"/>
      <c r="E8" s="3415"/>
      <c r="K8" s="3466" t="s">
        <v>3491</v>
      </c>
      <c r="L8" s="3467">
        <v>91399.81</v>
      </c>
      <c r="M8" s="3478"/>
      <c r="N8" s="3478"/>
    </row>
    <row r="9" spans="1:18" s="3413" customFormat="1" ht="15.75">
      <c r="B9" s="3413" t="s">
        <v>3447</v>
      </c>
      <c r="C9" s="3416">
        <v>45705</v>
      </c>
      <c r="D9" s="3417"/>
      <c r="E9" s="3418"/>
      <c r="F9" s="3419"/>
      <c r="G9" s="3419"/>
      <c r="K9" s="3454" t="s">
        <v>3492</v>
      </c>
      <c r="L9" s="3451"/>
      <c r="M9" s="3477"/>
      <c r="N9" s="3477"/>
    </row>
    <row r="10" spans="1:18" s="3413" customFormat="1" ht="15.75">
      <c r="K10" s="3454" t="s">
        <v>3501</v>
      </c>
      <c r="L10" s="3451">
        <v>480</v>
      </c>
      <c r="M10" s="3477"/>
      <c r="N10" s="3477"/>
    </row>
    <row r="11" spans="1:18" s="3413" customFormat="1" ht="15.75">
      <c r="D11" s="3413" t="s">
        <v>3483</v>
      </c>
      <c r="E11" s="3413" t="s">
        <v>3482</v>
      </c>
      <c r="K11" s="3454" t="s">
        <v>3502</v>
      </c>
      <c r="L11" s="3451">
        <v>100</v>
      </c>
      <c r="M11" s="3477"/>
      <c r="N11" s="3477"/>
    </row>
    <row r="12" spans="1:18" s="3413" customFormat="1" ht="15.75">
      <c r="B12" s="3420" t="s">
        <v>3484</v>
      </c>
      <c r="C12" s="3413" t="str">
        <f>C5</f>
        <v>R2二类居住用地</v>
      </c>
      <c r="D12" s="3413">
        <f>E12/C4</f>
        <v>2.5</v>
      </c>
      <c r="E12" s="3413">
        <v>92105.75</v>
      </c>
      <c r="K12" s="3468" t="s">
        <v>3503</v>
      </c>
      <c r="L12" s="3469">
        <v>86</v>
      </c>
      <c r="M12" s="3479"/>
      <c r="N12" s="3479"/>
    </row>
    <row r="13" spans="1:18" s="3413" customFormat="1" ht="15.75">
      <c r="B13" s="3420"/>
      <c r="K13" s="3454" t="s">
        <v>3504</v>
      </c>
      <c r="L13" s="3451">
        <v>39.94</v>
      </c>
      <c r="M13" s="3477"/>
      <c r="N13" s="3477"/>
    </row>
    <row r="14" spans="1:18" s="3413" customFormat="1" ht="15.75">
      <c r="B14" s="3420" t="s">
        <v>3448</v>
      </c>
      <c r="C14" s="3419">
        <v>46064</v>
      </c>
      <c r="K14" s="3454" t="s">
        <v>3505</v>
      </c>
      <c r="L14" s="3451">
        <v>300</v>
      </c>
      <c r="M14" s="3477"/>
      <c r="N14" s="3477"/>
    </row>
    <row r="15" spans="1:18" s="3413" customFormat="1" ht="15.75">
      <c r="B15" s="3420" t="s">
        <v>3449</v>
      </c>
      <c r="C15" s="3419">
        <v>47160</v>
      </c>
      <c r="K15" s="3456"/>
      <c r="L15" s="3453"/>
      <c r="M15" s="3477"/>
      <c r="N15" s="3477"/>
    </row>
    <row r="16" spans="1:18" s="3413" customFormat="1" ht="15" thickBot="1">
      <c r="B16" s="3420"/>
      <c r="K16" s="3457"/>
      <c r="L16" s="3458"/>
      <c r="M16" s="3477"/>
      <c r="N16" s="3477"/>
    </row>
    <row r="17" spans="1:14" s="3413" customFormat="1" ht="16.5" thickBot="1">
      <c r="B17" s="3420" t="s">
        <v>3485</v>
      </c>
      <c r="K17" s="3459" t="s">
        <v>3494</v>
      </c>
      <c r="L17" s="3460">
        <f>SUM(L18,L19,L20,L21,L27,L26)</f>
        <v>40001.160000000003</v>
      </c>
      <c r="M17" s="3480"/>
      <c r="N17" s="3480"/>
    </row>
    <row r="18" spans="1:14" s="3413" customFormat="1" ht="15">
      <c r="B18" s="3421" t="s">
        <v>3450</v>
      </c>
      <c r="C18" s="3422" t="s">
        <v>3451</v>
      </c>
      <c r="K18" s="3470" t="s">
        <v>3506</v>
      </c>
      <c r="L18" s="3471">
        <v>10089</v>
      </c>
      <c r="M18" s="3481"/>
      <c r="N18" s="3481"/>
    </row>
    <row r="19" spans="1:14" s="3413" customFormat="1" ht="15.75">
      <c r="K19" s="3466" t="s">
        <v>3507</v>
      </c>
      <c r="L19" s="3467">
        <v>18058.14</v>
      </c>
      <c r="M19" s="3478"/>
      <c r="N19" s="3478"/>
    </row>
    <row r="20" spans="1:14" s="3413" customFormat="1" ht="15.75">
      <c r="A20" s="3423">
        <v>45736</v>
      </c>
      <c r="B20" s="3421" t="s">
        <v>3452</v>
      </c>
      <c r="C20" s="3422" t="s">
        <v>3303</v>
      </c>
      <c r="D20" s="3422"/>
      <c r="E20" s="3422"/>
      <c r="F20" s="3422"/>
      <c r="G20" s="3422"/>
      <c r="K20" s="3454" t="s">
        <v>3508</v>
      </c>
      <c r="L20" s="3451">
        <v>1135.27</v>
      </c>
      <c r="M20" s="3477"/>
      <c r="N20" s="3477"/>
    </row>
    <row r="21" spans="1:14" s="3413" customFormat="1" ht="15.75">
      <c r="K21" s="3461" t="s">
        <v>3509</v>
      </c>
      <c r="L21" s="3462">
        <f>SUM(L22:L25)</f>
        <v>1292.1799999999998</v>
      </c>
      <c r="M21" s="3480"/>
      <c r="N21" s="3480"/>
    </row>
    <row r="22" spans="1:14" s="3413" customFormat="1" ht="15.75">
      <c r="K22" s="3463" t="s">
        <v>3493</v>
      </c>
      <c r="L22" s="3451">
        <v>50</v>
      </c>
      <c r="M22" s="3477"/>
      <c r="N22" s="3477"/>
    </row>
    <row r="23" spans="1:14" s="3413" customFormat="1" ht="15.75">
      <c r="K23" s="3463" t="s">
        <v>3510</v>
      </c>
      <c r="L23" s="3451">
        <v>21.19</v>
      </c>
      <c r="M23" s="3477"/>
      <c r="N23" s="3477"/>
    </row>
    <row r="24" spans="1:14" s="3413" customFormat="1" ht="15.75">
      <c r="B24" s="3413" t="s">
        <v>3445</v>
      </c>
      <c r="C24" s="3447">
        <v>705000000</v>
      </c>
      <c r="D24" s="3419">
        <v>45733</v>
      </c>
      <c r="E24" s="3577" t="s">
        <v>3659</v>
      </c>
      <c r="F24" s="3482"/>
      <c r="G24" s="3482"/>
      <c r="K24" s="3463" t="s">
        <v>3495</v>
      </c>
      <c r="L24" s="3451">
        <v>1018.17</v>
      </c>
      <c r="M24" s="3477"/>
      <c r="N24" s="3477"/>
    </row>
    <row r="25" spans="1:14" s="3413" customFormat="1" ht="15.75">
      <c r="C25" s="3447">
        <v>705000000</v>
      </c>
      <c r="D25" s="3419">
        <v>45733</v>
      </c>
      <c r="E25" s="3577"/>
      <c r="F25" s="3482"/>
      <c r="G25" s="3482"/>
      <c r="K25" s="3463" t="s">
        <v>3496</v>
      </c>
      <c r="L25" s="3451">
        <f>136.97+16.08+31.85+17.92</f>
        <v>202.82</v>
      </c>
      <c r="M25" s="3477"/>
      <c r="N25" s="3477"/>
    </row>
    <row r="26" spans="1:14" s="3413" customFormat="1" ht="15.75">
      <c r="C26" s="3447">
        <v>2210000000</v>
      </c>
      <c r="D26" s="3419">
        <v>45764</v>
      </c>
      <c r="E26" s="3577"/>
      <c r="F26" s="3482"/>
      <c r="G26" s="3482"/>
      <c r="K26" s="3463" t="s">
        <v>3511</v>
      </c>
      <c r="L26" s="3464">
        <v>8019.71</v>
      </c>
      <c r="M26" s="3477"/>
      <c r="N26" s="3477"/>
    </row>
    <row r="27" spans="1:14" s="3413" customFormat="1" ht="15.75">
      <c r="C27" s="3447">
        <v>800000000</v>
      </c>
      <c r="D27" s="3419"/>
      <c r="E27" s="3577"/>
      <c r="F27" s="3482"/>
      <c r="G27" s="3482"/>
      <c r="K27" s="3472" t="s">
        <v>3512</v>
      </c>
      <c r="L27" s="3473">
        <v>1406.86</v>
      </c>
      <c r="M27" s="3478"/>
      <c r="N27" s="3478"/>
    </row>
    <row r="28" spans="1:14" s="3413" customFormat="1" ht="15.75">
      <c r="C28" s="3447"/>
      <c r="D28" s="3419"/>
      <c r="E28" s="3577"/>
      <c r="F28" s="3482"/>
      <c r="G28" s="3482"/>
      <c r="K28" s="3463"/>
      <c r="L28" s="3464"/>
      <c r="M28" s="3477"/>
      <c r="N28" s="3477"/>
    </row>
    <row r="29" spans="1:14" s="3413" customFormat="1" ht="15.75">
      <c r="C29" s="3447"/>
      <c r="D29" s="3419"/>
      <c r="E29" s="3577"/>
      <c r="F29" s="3482"/>
      <c r="G29" s="3482"/>
      <c r="K29" s="3451" t="s">
        <v>3497</v>
      </c>
      <c r="L29" s="3464">
        <v>2.5</v>
      </c>
      <c r="M29" s="3477"/>
      <c r="N29" s="3477"/>
    </row>
    <row r="30" spans="1:14" s="3413" customFormat="1" ht="15.75">
      <c r="C30" s="3447"/>
      <c r="D30" s="3419"/>
      <c r="E30" s="3577"/>
      <c r="F30" s="3482"/>
      <c r="G30" s="3482"/>
      <c r="K30" s="3465" t="s">
        <v>3498</v>
      </c>
      <c r="L30" s="3451">
        <v>719</v>
      </c>
      <c r="M30" s="3477"/>
      <c r="N30" s="3477"/>
    </row>
    <row r="31" spans="1:14" s="3413" customFormat="1" ht="16.5" thickBot="1">
      <c r="C31" s="3447"/>
      <c r="E31" s="3577"/>
      <c r="F31" s="3482"/>
      <c r="G31" s="3482"/>
      <c r="K31" s="3457" t="s">
        <v>3499</v>
      </c>
      <c r="L31" s="3458">
        <v>901</v>
      </c>
      <c r="M31" s="3477"/>
      <c r="N31" s="3477"/>
    </row>
    <row r="32" spans="1:14" s="3413" customFormat="1" ht="13.5">
      <c r="C32" s="3447"/>
      <c r="E32" s="3577"/>
      <c r="F32" s="3482"/>
      <c r="G32" s="3482"/>
      <c r="L32" s="3455">
        <f>(L18+L19)/L31</f>
        <v>31.239889012208657</v>
      </c>
      <c r="M32" s="3455"/>
      <c r="N32" s="3455"/>
    </row>
    <row r="33" spans="1:18" s="3413" customFormat="1" ht="13.5">
      <c r="C33" s="3447">
        <f>SUM(C24:C32)</f>
        <v>4420000000</v>
      </c>
      <c r="E33" s="3577"/>
      <c r="F33" s="3482"/>
      <c r="G33" s="3482"/>
      <c r="L33" s="3413">
        <f>ROUNDDOWN(L19/L18*L31,0)</f>
        <v>1612</v>
      </c>
    </row>
    <row r="34" spans="1:18" s="3413" customFormat="1" ht="13.5">
      <c r="E34" s="3577"/>
      <c r="F34" s="3482"/>
      <c r="G34" s="3482"/>
    </row>
    <row r="35" spans="1:18" s="3413" customFormat="1" ht="13.5">
      <c r="B35" s="3413" t="s">
        <v>3453</v>
      </c>
      <c r="C35" s="3483">
        <f>C33*3%</f>
        <v>132600000</v>
      </c>
    </row>
    <row r="36" spans="1:18" s="3413" customFormat="1" ht="13.5"/>
    <row r="37" spans="1:18" s="3413" customFormat="1" ht="13.5"/>
    <row r="38" spans="1:18" s="3413" customFormat="1" ht="13.5">
      <c r="B38" s="3422" t="s">
        <v>3454</v>
      </c>
      <c r="C38" s="3422"/>
      <c r="D38" s="3422"/>
    </row>
    <row r="39" spans="1:18" s="3413" customFormat="1" ht="13.5"/>
    <row r="40" spans="1:18" s="3413" customFormat="1" ht="13.5"/>
    <row r="41" spans="1:18" s="3413" customFormat="1" ht="13.5">
      <c r="B41" s="3413" t="s">
        <v>3455</v>
      </c>
      <c r="C41" s="3413" t="s">
        <v>3486</v>
      </c>
    </row>
    <row r="42" spans="1:18" s="3413" customFormat="1" ht="13.5"/>
    <row r="43" spans="1:18" ht="13.5">
      <c r="L43" s="3413"/>
      <c r="M43" s="3413"/>
      <c r="N43" s="3413"/>
      <c r="O43" s="3413"/>
      <c r="P43" s="3413"/>
      <c r="Q43" s="3413"/>
      <c r="R43" s="3413"/>
    </row>
    <row r="44" spans="1:18" ht="15.75">
      <c r="A44" s="3578"/>
      <c r="B44" s="3580" t="s">
        <v>3456</v>
      </c>
      <c r="C44" s="3581"/>
      <c r="D44" s="3581"/>
      <c r="E44" s="3581"/>
      <c r="F44" s="3581"/>
      <c r="G44" s="3581"/>
      <c r="H44" s="3581"/>
      <c r="I44" s="3581"/>
      <c r="J44" s="3582"/>
      <c r="K44" s="3424"/>
      <c r="L44" s="3425"/>
      <c r="M44" s="3425"/>
      <c r="N44" s="3425"/>
      <c r="O44" s="3425"/>
      <c r="P44" s="3425"/>
      <c r="Q44" s="3426"/>
      <c r="R44" s="3413"/>
    </row>
    <row r="45" spans="1:18" ht="15">
      <c r="A45" s="3579"/>
      <c r="B45" s="3583" t="s">
        <v>3327</v>
      </c>
      <c r="C45" s="3585" t="s">
        <v>3457</v>
      </c>
      <c r="D45" s="3585"/>
      <c r="E45" s="3585"/>
      <c r="F45" s="3585"/>
      <c r="G45" s="3585"/>
      <c r="H45" s="3585"/>
      <c r="I45" s="3585"/>
      <c r="J45" s="3580" t="s">
        <v>3458</v>
      </c>
      <c r="K45" s="3581"/>
      <c r="L45" s="3581"/>
      <c r="M45" s="3581"/>
      <c r="N45" s="3581"/>
      <c r="O45" s="3581"/>
      <c r="P45" s="3582"/>
      <c r="Q45" s="3425" t="s">
        <v>3459</v>
      </c>
      <c r="R45" s="3425" t="s">
        <v>3460</v>
      </c>
    </row>
    <row r="46" spans="1:18" ht="15">
      <c r="A46" s="3579"/>
      <c r="B46" s="3584"/>
      <c r="C46" s="3428" t="s">
        <v>16</v>
      </c>
      <c r="D46" s="3425" t="s">
        <v>2706</v>
      </c>
      <c r="E46" s="3425" t="s">
        <v>3461</v>
      </c>
      <c r="F46" s="3425" t="s">
        <v>3637</v>
      </c>
      <c r="G46" s="3425" t="s">
        <v>3663</v>
      </c>
      <c r="H46" s="3428" t="s">
        <v>3462</v>
      </c>
      <c r="I46" s="3425" t="s">
        <v>3463</v>
      </c>
      <c r="J46" s="3425" t="s">
        <v>16</v>
      </c>
      <c r="K46" s="3425" t="s">
        <v>3464</v>
      </c>
      <c r="L46" s="3428" t="s">
        <v>3462</v>
      </c>
      <c r="M46" s="3428" t="s">
        <v>3636</v>
      </c>
      <c r="N46" s="3428" t="s">
        <v>3664</v>
      </c>
      <c r="O46" s="3428" t="s">
        <v>3465</v>
      </c>
      <c r="P46" s="3425" t="s">
        <v>3463</v>
      </c>
      <c r="Q46" s="3425"/>
      <c r="R46" s="3425"/>
    </row>
    <row r="47" spans="1:18" ht="15">
      <c r="A47" s="3427" t="s">
        <v>3626</v>
      </c>
      <c r="B47" s="3429">
        <f t="shared" ref="B47:B73" si="0">SUM(C47,J47)</f>
        <v>15372.41</v>
      </c>
      <c r="C47" s="3430">
        <f t="shared" ref="C47:C73" si="1">SUM(D47:I47)</f>
        <v>14249.4</v>
      </c>
      <c r="D47" s="3429">
        <v>14209.46</v>
      </c>
      <c r="E47" s="3429"/>
      <c r="F47" s="3429"/>
      <c r="G47" s="3429"/>
      <c r="H47" s="3429">
        <v>39.94</v>
      </c>
      <c r="I47" s="3429"/>
      <c r="J47" s="3430">
        <f t="shared" ref="J47:J70" si="2">SUM(K47:P47)</f>
        <v>1123.01</v>
      </c>
      <c r="K47" s="3430"/>
      <c r="L47" s="3429">
        <v>499.21</v>
      </c>
      <c r="M47" s="3429">
        <v>623.79999999999995</v>
      </c>
      <c r="N47" s="3429"/>
      <c r="O47" s="3429"/>
      <c r="P47" s="3429"/>
      <c r="Q47" s="3425" t="s">
        <v>3646</v>
      </c>
      <c r="R47" s="3425"/>
    </row>
    <row r="48" spans="1:18" ht="15">
      <c r="A48" s="3427" t="s">
        <v>3627</v>
      </c>
      <c r="B48" s="3429">
        <f t="shared" si="0"/>
        <v>6058.18</v>
      </c>
      <c r="C48" s="3430">
        <f t="shared" si="1"/>
        <v>5679.96</v>
      </c>
      <c r="D48" s="3429">
        <v>5679.96</v>
      </c>
      <c r="E48" s="3429"/>
      <c r="F48" s="3429"/>
      <c r="G48" s="3429"/>
      <c r="H48" s="3429"/>
      <c r="I48" s="3429"/>
      <c r="J48" s="3430">
        <f t="shared" si="2"/>
        <v>378.22</v>
      </c>
      <c r="K48" s="3430">
        <v>100.63</v>
      </c>
      <c r="L48" s="3430">
        <v>245.74</v>
      </c>
      <c r="M48" s="3487">
        <v>31.85</v>
      </c>
      <c r="N48" s="3430"/>
      <c r="O48" s="3430"/>
      <c r="P48" s="3430"/>
      <c r="Q48" s="3425" t="s">
        <v>3645</v>
      </c>
      <c r="R48" s="3425"/>
    </row>
    <row r="49" spans="1:18" ht="15">
      <c r="A49" s="3427" t="s">
        <v>3628</v>
      </c>
      <c r="B49" s="3429">
        <f t="shared" si="0"/>
        <v>8581.99</v>
      </c>
      <c r="C49" s="3429">
        <f t="shared" si="1"/>
        <v>8156.51</v>
      </c>
      <c r="D49" s="3429">
        <v>8156.51</v>
      </c>
      <c r="E49" s="3429"/>
      <c r="F49" s="3429"/>
      <c r="G49" s="3429"/>
      <c r="H49" s="3429"/>
      <c r="I49" s="3429"/>
      <c r="J49" s="3430">
        <f t="shared" si="2"/>
        <v>425.48</v>
      </c>
      <c r="K49" s="3430">
        <v>25.16</v>
      </c>
      <c r="L49" s="3430">
        <v>400.32</v>
      </c>
      <c r="M49" s="3430"/>
      <c r="N49" s="3430"/>
      <c r="O49" s="3430"/>
      <c r="P49" s="3430"/>
      <c r="Q49" s="3425" t="s">
        <v>3644</v>
      </c>
      <c r="R49" s="3425"/>
    </row>
    <row r="50" spans="1:18" ht="15">
      <c r="A50" s="3427" t="s">
        <v>3629</v>
      </c>
      <c r="B50" s="3429">
        <f t="shared" si="0"/>
        <v>8802.43</v>
      </c>
      <c r="C50" s="3430">
        <f t="shared" si="1"/>
        <v>8344.25</v>
      </c>
      <c r="D50" s="3429">
        <v>8344.25</v>
      </c>
      <c r="E50" s="3429"/>
      <c r="F50" s="3429"/>
      <c r="G50" s="3429"/>
      <c r="H50" s="3429"/>
      <c r="I50" s="3429"/>
      <c r="J50" s="3430">
        <f t="shared" si="2"/>
        <v>458.18</v>
      </c>
      <c r="K50" s="3430">
        <v>57.75</v>
      </c>
      <c r="L50" s="3430">
        <v>400.43</v>
      </c>
      <c r="M50" s="3430"/>
      <c r="N50" s="3430"/>
      <c r="O50" s="3430"/>
      <c r="P50" s="3430"/>
      <c r="Q50" s="3425" t="s">
        <v>3644</v>
      </c>
      <c r="R50" s="3425"/>
    </row>
    <row r="51" spans="1:18" ht="15">
      <c r="A51" s="3427" t="s">
        <v>3630</v>
      </c>
      <c r="B51" s="3429">
        <f t="shared" si="0"/>
        <v>7181.5199999999995</v>
      </c>
      <c r="C51" s="3430">
        <f t="shared" si="1"/>
        <v>6907.41</v>
      </c>
      <c r="D51" s="3429">
        <v>6897.41</v>
      </c>
      <c r="E51" s="3429"/>
      <c r="F51" s="3429"/>
      <c r="G51" s="3429"/>
      <c r="H51" s="3429"/>
      <c r="I51" s="3429">
        <v>10</v>
      </c>
      <c r="J51" s="3430">
        <f t="shared" si="2"/>
        <v>274.11</v>
      </c>
      <c r="K51" s="3430">
        <v>33.28</v>
      </c>
      <c r="L51" s="3430">
        <v>240.83</v>
      </c>
      <c r="M51" s="3430"/>
      <c r="N51" s="3430"/>
      <c r="O51" s="3430"/>
      <c r="P51" s="3430"/>
      <c r="Q51" s="3425" t="s">
        <v>3643</v>
      </c>
      <c r="R51" s="3425"/>
    </row>
    <row r="52" spans="1:18" ht="15">
      <c r="A52" s="3427" t="s">
        <v>3631</v>
      </c>
      <c r="B52" s="3429">
        <f t="shared" si="0"/>
        <v>2476</v>
      </c>
      <c r="C52" s="3430">
        <f t="shared" si="1"/>
        <v>2364.8200000000002</v>
      </c>
      <c r="D52" s="3429">
        <v>2364.8200000000002</v>
      </c>
      <c r="E52" s="3429"/>
      <c r="F52" s="3429"/>
      <c r="G52" s="3429"/>
      <c r="H52" s="3429"/>
      <c r="I52" s="3429"/>
      <c r="J52" s="3430">
        <f t="shared" si="2"/>
        <v>111.18</v>
      </c>
      <c r="K52" s="3430">
        <v>6.18</v>
      </c>
      <c r="L52" s="3430">
        <v>105</v>
      </c>
      <c r="M52" s="3430"/>
      <c r="N52" s="3430"/>
      <c r="O52" s="3430"/>
      <c r="P52" s="3430"/>
      <c r="Q52" s="3425" t="s">
        <v>3642</v>
      </c>
      <c r="R52" s="3425"/>
    </row>
    <row r="53" spans="1:18" ht="15">
      <c r="A53" s="3427" t="s">
        <v>3632</v>
      </c>
      <c r="B53" s="3429">
        <f t="shared" si="0"/>
        <v>3412.9199999999996</v>
      </c>
      <c r="C53" s="3430">
        <f t="shared" si="1"/>
        <v>3216.7</v>
      </c>
      <c r="D53" s="3429">
        <v>3216.7</v>
      </c>
      <c r="E53" s="3429"/>
      <c r="F53" s="3429"/>
      <c r="G53" s="3429"/>
      <c r="H53" s="3429"/>
      <c r="I53" s="3429"/>
      <c r="J53" s="3430">
        <f t="shared" si="2"/>
        <v>196.21999999999997</v>
      </c>
      <c r="K53" s="3430">
        <v>39.79</v>
      </c>
      <c r="L53" s="3430">
        <v>140.35</v>
      </c>
      <c r="M53" s="3487">
        <v>16.079999999999998</v>
      </c>
      <c r="N53" s="3430"/>
      <c r="O53" s="3430"/>
      <c r="P53" s="3430"/>
      <c r="Q53" s="3425" t="s">
        <v>3641</v>
      </c>
      <c r="R53" s="3425"/>
    </row>
    <row r="54" spans="1:18" ht="15">
      <c r="A54" s="3427" t="s">
        <v>3633</v>
      </c>
      <c r="B54" s="3429">
        <f t="shared" si="0"/>
        <v>4557.05</v>
      </c>
      <c r="C54" s="3430">
        <f t="shared" si="1"/>
        <v>4318.17</v>
      </c>
      <c r="D54" s="3429">
        <v>4318.17</v>
      </c>
      <c r="E54" s="3429"/>
      <c r="F54" s="3429"/>
      <c r="G54" s="3429"/>
      <c r="H54" s="3429"/>
      <c r="I54" s="3429"/>
      <c r="J54" s="3430">
        <f t="shared" si="2"/>
        <v>238.88</v>
      </c>
      <c r="K54" s="3430">
        <v>23.72</v>
      </c>
      <c r="L54" s="3430">
        <v>215.16</v>
      </c>
      <c r="M54" s="3430"/>
      <c r="N54" s="3430"/>
      <c r="O54" s="3430"/>
      <c r="P54" s="3430"/>
      <c r="Q54" s="3425" t="s">
        <v>3640</v>
      </c>
      <c r="R54" s="3425"/>
    </row>
    <row r="55" spans="1:18" ht="15">
      <c r="A55" s="3427" t="s">
        <v>3634</v>
      </c>
      <c r="B55" s="3429">
        <f t="shared" si="0"/>
        <v>5507.63</v>
      </c>
      <c r="C55" s="3430">
        <f t="shared" si="1"/>
        <v>4872.55</v>
      </c>
      <c r="D55" s="3429">
        <v>4759.55</v>
      </c>
      <c r="E55" s="3429"/>
      <c r="F55" s="3429"/>
      <c r="G55" s="3429"/>
      <c r="H55" s="3429">
        <v>113</v>
      </c>
      <c r="I55" s="3429"/>
      <c r="J55" s="3430">
        <f t="shared" si="2"/>
        <v>635.08000000000004</v>
      </c>
      <c r="K55" s="3430"/>
      <c r="L55" s="3430">
        <v>635.08000000000004</v>
      </c>
      <c r="M55" s="3430"/>
      <c r="N55" s="3430"/>
      <c r="O55" s="3430"/>
      <c r="P55" s="3430"/>
      <c r="Q55" s="3425" t="s">
        <v>3639</v>
      </c>
      <c r="R55" s="3425"/>
    </row>
    <row r="56" spans="1:18" ht="15">
      <c r="A56" s="3427" t="s">
        <v>3635</v>
      </c>
      <c r="B56" s="3429">
        <f t="shared" si="0"/>
        <v>3240.93</v>
      </c>
      <c r="C56" s="3430">
        <f t="shared" si="1"/>
        <v>2998.91</v>
      </c>
      <c r="D56" s="3429">
        <v>2811.91</v>
      </c>
      <c r="E56" s="3429"/>
      <c r="F56" s="3429"/>
      <c r="G56" s="3429"/>
      <c r="H56" s="3429">
        <v>187</v>
      </c>
      <c r="I56" s="3429"/>
      <c r="J56" s="3430">
        <f t="shared" si="2"/>
        <v>242.01999999999998</v>
      </c>
      <c r="K56" s="3430">
        <v>16.420000000000002</v>
      </c>
      <c r="L56" s="3430">
        <v>225.6</v>
      </c>
      <c r="M56" s="3430"/>
      <c r="N56" s="3430"/>
      <c r="O56" s="3430"/>
      <c r="P56" s="3430"/>
      <c r="Q56" s="3425" t="s">
        <v>3638</v>
      </c>
      <c r="R56" s="3425"/>
    </row>
    <row r="57" spans="1:18" ht="15">
      <c r="A57" s="3427" t="s">
        <v>3647</v>
      </c>
      <c r="B57" s="3429">
        <f t="shared" ref="B57:B68" si="3">SUM(C57,J57)</f>
        <v>2603.1799999999998</v>
      </c>
      <c r="C57" s="3430">
        <f t="shared" ref="C57:C68" si="4">SUM(D57:I57)</f>
        <v>2364.46</v>
      </c>
      <c r="D57" s="3429">
        <v>2364.46</v>
      </c>
      <c r="E57" s="3429"/>
      <c r="F57" s="3429"/>
      <c r="G57" s="3429"/>
      <c r="H57" s="3429"/>
      <c r="I57" s="3429"/>
      <c r="J57" s="3430">
        <f t="shared" si="2"/>
        <v>238.72</v>
      </c>
      <c r="K57" s="3430">
        <v>37.15</v>
      </c>
      <c r="L57" s="3430">
        <v>201.57</v>
      </c>
      <c r="M57" s="3430"/>
      <c r="N57" s="3430"/>
      <c r="O57" s="3430"/>
      <c r="P57" s="3430"/>
      <c r="Q57" s="3425" t="s">
        <v>3642</v>
      </c>
      <c r="R57" s="3425"/>
    </row>
    <row r="58" spans="1:18" ht="15">
      <c r="A58" s="3427" t="s">
        <v>3648</v>
      </c>
      <c r="B58" s="3429">
        <f t="shared" si="3"/>
        <v>3422.13</v>
      </c>
      <c r="C58" s="3430">
        <f t="shared" si="4"/>
        <v>3124.4</v>
      </c>
      <c r="D58" s="3429">
        <v>3124.4</v>
      </c>
      <c r="E58" s="3429"/>
      <c r="F58" s="3429"/>
      <c r="G58" s="3429"/>
      <c r="H58" s="3429"/>
      <c r="I58" s="3429"/>
      <c r="J58" s="3430">
        <f t="shared" si="2"/>
        <v>297.73</v>
      </c>
      <c r="K58" s="3430">
        <v>60.05</v>
      </c>
      <c r="L58" s="3430">
        <v>237.68</v>
      </c>
      <c r="M58" s="3430"/>
      <c r="N58" s="3430"/>
      <c r="O58" s="3430"/>
      <c r="P58" s="3430"/>
      <c r="Q58" s="3425" t="s">
        <v>3658</v>
      </c>
      <c r="R58" s="3425"/>
    </row>
    <row r="59" spans="1:18" ht="15">
      <c r="A59" s="3427" t="s">
        <v>3649</v>
      </c>
      <c r="B59" s="3429">
        <f t="shared" si="3"/>
        <v>4780.8099999999995</v>
      </c>
      <c r="C59" s="3430">
        <f t="shared" si="4"/>
        <v>4511.78</v>
      </c>
      <c r="D59" s="3429">
        <v>4511.78</v>
      </c>
      <c r="E59" s="3429"/>
      <c r="F59" s="3429"/>
      <c r="G59" s="3429"/>
      <c r="H59" s="3429"/>
      <c r="I59" s="3429"/>
      <c r="J59" s="3430">
        <f t="shared" si="2"/>
        <v>269.03000000000003</v>
      </c>
      <c r="K59" s="3430">
        <v>51.1</v>
      </c>
      <c r="L59" s="3430">
        <v>217.93</v>
      </c>
      <c r="M59" s="3430"/>
      <c r="N59" s="3430"/>
      <c r="O59" s="3430"/>
      <c r="P59" s="3430"/>
      <c r="Q59" s="3425" t="s">
        <v>3657</v>
      </c>
      <c r="R59" s="3425"/>
    </row>
    <row r="60" spans="1:18" ht="15">
      <c r="A60" s="3427" t="s">
        <v>3650</v>
      </c>
      <c r="B60" s="3429">
        <f t="shared" si="3"/>
        <v>2872.21</v>
      </c>
      <c r="C60" s="3430">
        <f t="shared" si="4"/>
        <v>2364.96</v>
      </c>
      <c r="D60" s="3429">
        <v>2364.96</v>
      </c>
      <c r="E60" s="3429"/>
      <c r="F60" s="3429"/>
      <c r="G60" s="3429"/>
      <c r="H60" s="3429"/>
      <c r="I60" s="3429"/>
      <c r="J60" s="3430">
        <f t="shared" si="2"/>
        <v>507.25</v>
      </c>
      <c r="K60" s="3430">
        <v>40.9</v>
      </c>
      <c r="L60" s="3430">
        <v>179.48</v>
      </c>
      <c r="M60" s="3430">
        <v>286.87</v>
      </c>
      <c r="N60" s="3430"/>
      <c r="O60" s="3430"/>
      <c r="P60" s="3430"/>
      <c r="Q60" s="3425" t="s">
        <v>3656</v>
      </c>
      <c r="R60" s="3425"/>
    </row>
    <row r="61" spans="1:18" ht="15">
      <c r="A61" s="3427" t="s">
        <v>3651</v>
      </c>
      <c r="B61" s="3429">
        <f t="shared" si="3"/>
        <v>3577.12</v>
      </c>
      <c r="C61" s="3430">
        <f t="shared" si="4"/>
        <v>3124.77</v>
      </c>
      <c r="D61" s="3429">
        <v>3124.77</v>
      </c>
      <c r="E61" s="3429"/>
      <c r="F61" s="3429"/>
      <c r="G61" s="3429"/>
      <c r="H61" s="3429"/>
      <c r="I61" s="3429"/>
      <c r="J61" s="3430">
        <f t="shared" si="2"/>
        <v>452.35</v>
      </c>
      <c r="K61" s="3430">
        <v>30.56</v>
      </c>
      <c r="L61" s="3430">
        <v>197.19</v>
      </c>
      <c r="M61" s="3430">
        <v>224.6</v>
      </c>
      <c r="N61" s="3430"/>
      <c r="O61" s="3430"/>
      <c r="P61" s="3430"/>
      <c r="Q61" s="3425" t="s">
        <v>3638</v>
      </c>
      <c r="R61" s="3425"/>
    </row>
    <row r="62" spans="1:18" ht="15">
      <c r="A62" s="3427" t="s">
        <v>3652</v>
      </c>
      <c r="B62" s="3429">
        <f t="shared" si="3"/>
        <v>4590.6099999999997</v>
      </c>
      <c r="C62" s="3430">
        <f t="shared" si="4"/>
        <v>4198.24</v>
      </c>
      <c r="D62" s="3429">
        <v>4198.24</v>
      </c>
      <c r="E62" s="3429"/>
      <c r="F62" s="3429"/>
      <c r="G62" s="3429"/>
      <c r="H62" s="3429"/>
      <c r="I62" s="3429"/>
      <c r="J62" s="3430">
        <f t="shared" si="2"/>
        <v>392.37</v>
      </c>
      <c r="K62" s="3430">
        <v>108.52</v>
      </c>
      <c r="L62" s="3430">
        <v>265.93</v>
      </c>
      <c r="M62" s="3430">
        <v>17.920000000000002</v>
      </c>
      <c r="N62" s="3430"/>
      <c r="O62" s="3430"/>
      <c r="P62" s="3430"/>
      <c r="Q62" s="3425" t="s">
        <v>3669</v>
      </c>
      <c r="R62" s="3425"/>
    </row>
    <row r="63" spans="1:18" ht="15">
      <c r="A63" s="3427" t="s">
        <v>3653</v>
      </c>
      <c r="B63" s="3429">
        <f t="shared" si="3"/>
        <v>3300.7</v>
      </c>
      <c r="C63" s="3430">
        <f t="shared" si="4"/>
        <v>3124.79</v>
      </c>
      <c r="D63" s="3429">
        <v>3124.79</v>
      </c>
      <c r="E63" s="3429"/>
      <c r="F63" s="3429"/>
      <c r="G63" s="3429"/>
      <c r="H63" s="3429"/>
      <c r="I63" s="3429"/>
      <c r="J63" s="3430">
        <f t="shared" si="2"/>
        <v>175.91</v>
      </c>
      <c r="K63" s="3430">
        <v>28.48</v>
      </c>
      <c r="L63" s="3430">
        <v>147.43</v>
      </c>
      <c r="M63" s="3430"/>
      <c r="N63" s="3430"/>
      <c r="O63" s="3430"/>
      <c r="P63" s="3430"/>
      <c r="Q63" s="3425" t="s">
        <v>3670</v>
      </c>
      <c r="R63" s="3425"/>
    </row>
    <row r="64" spans="1:18" ht="15">
      <c r="A64" s="3427" t="s">
        <v>3654</v>
      </c>
      <c r="B64" s="3429">
        <f t="shared" si="3"/>
        <v>5120.84</v>
      </c>
      <c r="C64" s="3430">
        <f t="shared" si="4"/>
        <v>4707.7</v>
      </c>
      <c r="D64" s="3429">
        <v>4707.7</v>
      </c>
      <c r="E64" s="3429"/>
      <c r="F64" s="3429"/>
      <c r="G64" s="3429"/>
      <c r="H64" s="3429"/>
      <c r="I64" s="3429"/>
      <c r="J64" s="3430">
        <f t="shared" si="2"/>
        <v>413.14</v>
      </c>
      <c r="K64" s="3430">
        <v>110.55</v>
      </c>
      <c r="L64" s="3430">
        <v>302.58999999999997</v>
      </c>
      <c r="M64" s="3430"/>
      <c r="N64" s="3430"/>
      <c r="O64" s="3430"/>
      <c r="P64" s="3430"/>
      <c r="Q64" s="3425" t="s">
        <v>3642</v>
      </c>
      <c r="R64" s="3425"/>
    </row>
    <row r="65" spans="1:18" ht="15">
      <c r="A65" s="3427" t="s">
        <v>3655</v>
      </c>
      <c r="B65" s="3429">
        <f t="shared" si="3"/>
        <v>3308.8999999999996</v>
      </c>
      <c r="C65" s="3430">
        <f t="shared" si="4"/>
        <v>3119.97</v>
      </c>
      <c r="D65" s="3429">
        <v>3119.97</v>
      </c>
      <c r="E65" s="3429"/>
      <c r="F65" s="3429"/>
      <c r="G65" s="3429"/>
      <c r="H65" s="3429"/>
      <c r="I65" s="3429"/>
      <c r="J65" s="3430">
        <f t="shared" si="2"/>
        <v>188.93</v>
      </c>
      <c r="K65" s="3430">
        <v>28.37</v>
      </c>
      <c r="L65" s="3430">
        <v>160.56</v>
      </c>
      <c r="M65" s="3430"/>
      <c r="N65" s="3430"/>
      <c r="O65" s="3430"/>
      <c r="P65" s="3430"/>
      <c r="Q65" s="3425" t="s">
        <v>3670</v>
      </c>
      <c r="R65" s="3425"/>
    </row>
    <row r="66" spans="1:18" ht="15">
      <c r="A66" s="3427" t="s">
        <v>3660</v>
      </c>
      <c r="B66" s="3429">
        <f t="shared" si="3"/>
        <v>330</v>
      </c>
      <c r="C66" s="3430">
        <f t="shared" si="4"/>
        <v>330</v>
      </c>
      <c r="D66" s="3429"/>
      <c r="E66" s="3429"/>
      <c r="F66" s="3429">
        <v>330</v>
      </c>
      <c r="G66" s="3429"/>
      <c r="H66" s="3429"/>
      <c r="I66" s="3429"/>
      <c r="J66" s="3430">
        <f t="shared" si="2"/>
        <v>0</v>
      </c>
      <c r="K66" s="3430"/>
      <c r="L66" s="3430"/>
      <c r="M66" s="3430"/>
      <c r="N66" s="3430"/>
      <c r="O66" s="3430"/>
      <c r="P66" s="3430"/>
      <c r="Q66" s="3425">
        <v>1</v>
      </c>
      <c r="R66" s="3425"/>
    </row>
    <row r="67" spans="1:18" ht="15">
      <c r="A67" s="3427" t="s">
        <v>3661</v>
      </c>
      <c r="B67" s="3429">
        <f t="shared" si="3"/>
        <v>150</v>
      </c>
      <c r="C67" s="3430">
        <f t="shared" si="4"/>
        <v>150</v>
      </c>
      <c r="D67" s="3429"/>
      <c r="E67" s="3429"/>
      <c r="F67" s="3429">
        <v>150</v>
      </c>
      <c r="G67" s="3429"/>
      <c r="H67" s="3429"/>
      <c r="I67" s="3429"/>
      <c r="J67" s="3430">
        <f t="shared" si="2"/>
        <v>0</v>
      </c>
      <c r="K67" s="3430"/>
      <c r="L67" s="3430"/>
      <c r="M67" s="3430"/>
      <c r="N67" s="3430"/>
      <c r="O67" s="3430"/>
      <c r="P67" s="3430"/>
      <c r="Q67" s="3425">
        <v>1</v>
      </c>
      <c r="R67" s="3425"/>
    </row>
    <row r="68" spans="1:18" ht="15">
      <c r="A68" s="3427" t="s">
        <v>3662</v>
      </c>
      <c r="B68" s="3429">
        <f t="shared" si="3"/>
        <v>2118.5</v>
      </c>
      <c r="C68" s="3430">
        <f t="shared" si="4"/>
        <v>100</v>
      </c>
      <c r="D68" s="3429"/>
      <c r="E68" s="3429"/>
      <c r="F68" s="3429"/>
      <c r="G68" s="3429">
        <v>100</v>
      </c>
      <c r="H68" s="3429"/>
      <c r="I68" s="3429"/>
      <c r="J68" s="3430">
        <f t="shared" si="2"/>
        <v>2018.5</v>
      </c>
      <c r="K68" s="3430">
        <v>608.25</v>
      </c>
      <c r="L68" s="3430">
        <v>320.89</v>
      </c>
      <c r="M68" s="3430">
        <f>21.19+1018.17</f>
        <v>1039.3599999999999</v>
      </c>
      <c r="N68" s="3430">
        <v>50</v>
      </c>
      <c r="O68" s="3430"/>
      <c r="P68" s="3430"/>
      <c r="Q68" s="3425">
        <v>1</v>
      </c>
      <c r="R68" s="3425"/>
    </row>
    <row r="69" spans="1:18" ht="15">
      <c r="A69" s="3427" t="s">
        <v>3665</v>
      </c>
      <c r="B69" s="3429">
        <f t="shared" si="0"/>
        <v>18.84</v>
      </c>
      <c r="C69" s="3430">
        <f t="shared" si="1"/>
        <v>18.84</v>
      </c>
      <c r="D69" s="3429"/>
      <c r="E69" s="3429"/>
      <c r="F69" s="3429"/>
      <c r="G69" s="3429"/>
      <c r="H69" s="3429"/>
      <c r="I69" s="3429">
        <v>18.84</v>
      </c>
      <c r="J69" s="3430">
        <f t="shared" si="2"/>
        <v>0</v>
      </c>
      <c r="K69" s="3430"/>
      <c r="L69" s="3430"/>
      <c r="M69" s="3430"/>
      <c r="N69" s="3430"/>
      <c r="O69" s="3430"/>
      <c r="P69" s="3430"/>
      <c r="Q69" s="3425">
        <v>1</v>
      </c>
      <c r="R69" s="3425"/>
    </row>
    <row r="70" spans="1:18" ht="15">
      <c r="A70" s="3427" t="s">
        <v>3666</v>
      </c>
      <c r="B70" s="3429">
        <f t="shared" si="0"/>
        <v>16.87</v>
      </c>
      <c r="C70" s="3430">
        <f t="shared" si="1"/>
        <v>16.87</v>
      </c>
      <c r="D70" s="3429"/>
      <c r="E70" s="3429"/>
      <c r="F70" s="3429"/>
      <c r="G70" s="3429"/>
      <c r="H70" s="3429"/>
      <c r="I70" s="3429">
        <v>16.87</v>
      </c>
      <c r="J70" s="3430">
        <f t="shared" si="2"/>
        <v>0</v>
      </c>
      <c r="K70" s="3430"/>
      <c r="L70" s="3430"/>
      <c r="M70" s="3430"/>
      <c r="N70" s="3430"/>
      <c r="O70" s="3430"/>
      <c r="P70" s="3430"/>
      <c r="Q70" s="3425">
        <v>1</v>
      </c>
      <c r="R70" s="3425"/>
    </row>
    <row r="71" spans="1:18" ht="15">
      <c r="A71" s="3427" t="s">
        <v>3667</v>
      </c>
      <c r="B71" s="3429">
        <f t="shared" si="0"/>
        <v>19.66</v>
      </c>
      <c r="C71" s="3430">
        <f t="shared" si="1"/>
        <v>19.66</v>
      </c>
      <c r="D71" s="3429"/>
      <c r="E71" s="3429"/>
      <c r="F71" s="3429"/>
      <c r="G71" s="3429"/>
      <c r="H71" s="3429"/>
      <c r="I71" s="3429">
        <v>19.66</v>
      </c>
      <c r="J71" s="3430">
        <f t="shared" ref="J71:J72" si="5">SUM(K71:P71)</f>
        <v>0</v>
      </c>
      <c r="K71" s="3430"/>
      <c r="L71" s="3430"/>
      <c r="M71" s="3430"/>
      <c r="N71" s="3430"/>
      <c r="O71" s="3430"/>
      <c r="P71" s="3430"/>
      <c r="Q71" s="3425">
        <v>1</v>
      </c>
      <c r="R71" s="3425"/>
    </row>
    <row r="72" spans="1:18" ht="15">
      <c r="A72" s="3427" t="s">
        <v>3668</v>
      </c>
      <c r="B72" s="3429">
        <f t="shared" si="0"/>
        <v>20.63</v>
      </c>
      <c r="C72" s="3430">
        <f t="shared" si="1"/>
        <v>20.63</v>
      </c>
      <c r="D72" s="3429"/>
      <c r="E72" s="3429"/>
      <c r="F72" s="3429"/>
      <c r="G72" s="3429"/>
      <c r="H72" s="3429"/>
      <c r="I72" s="3429">
        <v>20.63</v>
      </c>
      <c r="J72" s="3430">
        <f t="shared" si="5"/>
        <v>0</v>
      </c>
      <c r="K72" s="3430"/>
      <c r="L72" s="3430"/>
      <c r="M72" s="3430"/>
      <c r="N72" s="3430"/>
      <c r="O72" s="3430"/>
      <c r="P72" s="3430"/>
      <c r="Q72" s="3425">
        <v>1</v>
      </c>
      <c r="R72" s="3425"/>
    </row>
    <row r="73" spans="1:18" ht="15">
      <c r="A73" s="3427" t="s">
        <v>3465</v>
      </c>
      <c r="B73" s="3429">
        <f t="shared" si="0"/>
        <v>30964.85</v>
      </c>
      <c r="C73" s="3430">
        <f t="shared" si="1"/>
        <v>0</v>
      </c>
      <c r="D73" s="3429"/>
      <c r="E73" s="3429"/>
      <c r="F73" s="3429"/>
      <c r="G73" s="3429"/>
      <c r="H73" s="3429"/>
      <c r="I73" s="3429"/>
      <c r="J73" s="3430">
        <f>SUM(K73:P73)</f>
        <v>30964.85</v>
      </c>
      <c r="K73" s="3430"/>
      <c r="L73" s="3488">
        <f>1332.45+394.32+500+230+87+136.97</f>
        <v>2680.74</v>
      </c>
      <c r="M73" s="3430">
        <v>136.97</v>
      </c>
      <c r="N73" s="3430"/>
      <c r="O73" s="3430">
        <v>18058.14</v>
      </c>
      <c r="P73" s="3430">
        <v>10089</v>
      </c>
      <c r="Q73" s="3425">
        <v>-1</v>
      </c>
      <c r="R73" s="3425"/>
    </row>
    <row r="74" spans="1:18" ht="15">
      <c r="A74" s="3427" t="s">
        <v>3266</v>
      </c>
      <c r="B74" s="3429">
        <f t="shared" ref="B74:O74" si="6">SUM(B47:B73)</f>
        <v>132406.90999999997</v>
      </c>
      <c r="C74" s="3429">
        <f t="shared" si="6"/>
        <v>92405.75</v>
      </c>
      <c r="D74" s="3429">
        <f t="shared" si="6"/>
        <v>91399.81</v>
      </c>
      <c r="E74" s="3429">
        <f t="shared" si="6"/>
        <v>0</v>
      </c>
      <c r="F74" s="3429">
        <f t="shared" si="6"/>
        <v>480</v>
      </c>
      <c r="G74" s="3429">
        <f t="shared" si="6"/>
        <v>100</v>
      </c>
      <c r="H74" s="3429">
        <f t="shared" si="6"/>
        <v>339.94</v>
      </c>
      <c r="I74" s="3429">
        <f t="shared" si="6"/>
        <v>86</v>
      </c>
      <c r="J74" s="3429">
        <f t="shared" si="6"/>
        <v>40001.160000000003</v>
      </c>
      <c r="K74" s="3429">
        <f t="shared" si="6"/>
        <v>1406.86</v>
      </c>
      <c r="L74" s="3429">
        <f t="shared" si="6"/>
        <v>8019.7100000000009</v>
      </c>
      <c r="M74" s="3429">
        <f t="shared" si="6"/>
        <v>2377.4499999999998</v>
      </c>
      <c r="N74" s="3429">
        <f t="shared" si="6"/>
        <v>50</v>
      </c>
      <c r="O74" s="3429">
        <f t="shared" si="6"/>
        <v>18058.14</v>
      </c>
      <c r="P74" s="3429">
        <f>SUM(P47:P73)</f>
        <v>10089</v>
      </c>
      <c r="Q74" s="3425"/>
      <c r="R74" s="3425"/>
    </row>
    <row r="76" spans="1:18" ht="13.5">
      <c r="A76" s="3413"/>
      <c r="B76" s="3413"/>
      <c r="C76" s="3413"/>
      <c r="D76" s="3413"/>
      <c r="E76" s="3413"/>
      <c r="F76" s="3485"/>
      <c r="G76" s="3413"/>
      <c r="H76" s="3413"/>
      <c r="I76" s="3413"/>
      <c r="J76" s="3484"/>
      <c r="K76" s="3413"/>
      <c r="L76" s="3486"/>
      <c r="M76" s="3486"/>
      <c r="O76" s="3410">
        <v>564</v>
      </c>
    </row>
    <row r="77" spans="1:18" ht="13.5">
      <c r="A77" s="3413"/>
      <c r="B77" s="3413" t="s">
        <v>3466</v>
      </c>
      <c r="C77" s="3413"/>
      <c r="D77" s="3413"/>
      <c r="E77" s="3413"/>
      <c r="F77" s="3413"/>
      <c r="G77" s="3413"/>
      <c r="H77" s="3413"/>
      <c r="I77" s="3413"/>
      <c r="J77" s="3413"/>
      <c r="K77" s="3413"/>
      <c r="O77" s="3410">
        <f>ROUNDDOWN(O76*O74/(O74+P74),0)</f>
        <v>361</v>
      </c>
      <c r="P77" s="3410">
        <f>O76-O77</f>
        <v>203</v>
      </c>
    </row>
    <row r="78" spans="1:18" ht="13.5">
      <c r="A78" s="3413"/>
      <c r="B78" s="3431"/>
      <c r="C78" s="3432" t="s">
        <v>1477</v>
      </c>
      <c r="D78" s="3432" t="s">
        <v>3467</v>
      </c>
      <c r="E78" s="3432" t="s">
        <v>3468</v>
      </c>
      <c r="F78" s="3432"/>
      <c r="G78" s="3432"/>
      <c r="H78" s="3431"/>
      <c r="I78" s="3433" t="s">
        <v>3469</v>
      </c>
      <c r="J78" s="3413"/>
      <c r="K78" s="3413"/>
    </row>
    <row r="79" spans="1:18" ht="13.5">
      <c r="A79" s="3413"/>
      <c r="B79" s="3434" t="s">
        <v>3470</v>
      </c>
      <c r="C79" s="3435">
        <f>C80+C81</f>
        <v>132406.91</v>
      </c>
      <c r="D79" s="3435">
        <f>E79/C79</f>
        <v>2664.6371552662922</v>
      </c>
      <c r="E79" s="3435">
        <f>E80+E81</f>
        <v>352816372</v>
      </c>
      <c r="F79" s="3435"/>
      <c r="G79" s="3435"/>
      <c r="H79" s="3431"/>
      <c r="I79" s="3436">
        <v>1</v>
      </c>
      <c r="J79" s="3413"/>
      <c r="K79" s="3413"/>
    </row>
    <row r="80" spans="1:18" ht="13.5">
      <c r="A80" s="3413"/>
      <c r="B80" s="3432" t="s">
        <v>3471</v>
      </c>
      <c r="C80" s="3437">
        <f>C74</f>
        <v>92405.75</v>
      </c>
      <c r="D80" s="3431">
        <v>2000</v>
      </c>
      <c r="E80" s="3431">
        <f>D80*C80</f>
        <v>184811500</v>
      </c>
      <c r="F80" s="3431"/>
      <c r="G80" s="3431"/>
      <c r="H80" s="3431"/>
      <c r="I80" s="3431"/>
      <c r="J80" s="3413"/>
      <c r="K80" s="3413"/>
    </row>
    <row r="81" spans="1:16" ht="13.5">
      <c r="A81" s="3413"/>
      <c r="B81" s="3432" t="s">
        <v>3472</v>
      </c>
      <c r="C81" s="3438">
        <f>J74</f>
        <v>40001.160000000003</v>
      </c>
      <c r="D81" s="3431">
        <v>4200</v>
      </c>
      <c r="E81" s="3431">
        <f>D81*C81</f>
        <v>168004872</v>
      </c>
      <c r="F81" s="3431"/>
      <c r="G81" s="3431"/>
      <c r="H81" s="3431"/>
      <c r="I81" s="3431"/>
      <c r="J81" s="3413" t="s">
        <v>3259</v>
      </c>
      <c r="K81" s="3413"/>
    </row>
    <row r="82" spans="1:16" ht="13.5">
      <c r="A82" s="3413"/>
      <c r="B82" s="3434" t="s">
        <v>3473</v>
      </c>
      <c r="C82" s="3435">
        <f>C79</f>
        <v>132406.91</v>
      </c>
      <c r="D82" s="3439">
        <v>1500</v>
      </c>
      <c r="E82" s="3435">
        <f>D82*C82</f>
        <v>198610365</v>
      </c>
      <c r="F82" s="3435"/>
      <c r="G82" s="3435"/>
      <c r="H82" s="3431"/>
      <c r="I82" s="3436">
        <v>1</v>
      </c>
      <c r="J82" s="3413" t="s">
        <v>3260</v>
      </c>
      <c r="K82" s="3413"/>
      <c r="L82" s="3410" t="s">
        <v>3474</v>
      </c>
    </row>
    <row r="83" spans="1:16" ht="13.5">
      <c r="A83" s="3413"/>
      <c r="B83" s="3434" t="s">
        <v>1847</v>
      </c>
      <c r="C83" s="3435">
        <f>C79</f>
        <v>132406.91</v>
      </c>
      <c r="D83" s="3435">
        <v>1500</v>
      </c>
      <c r="E83" s="3435">
        <f>D83*C83</f>
        <v>198610365</v>
      </c>
      <c r="F83" s="3435"/>
      <c r="G83" s="3435"/>
      <c r="H83" s="3431"/>
      <c r="I83" s="3436">
        <v>1</v>
      </c>
      <c r="J83" s="3413"/>
      <c r="K83" s="3413"/>
      <c r="L83" s="3410" t="s">
        <v>3259</v>
      </c>
      <c r="P83" s="3410">
        <v>2.2999999999999998</v>
      </c>
    </row>
    <row r="84" spans="1:16" ht="13.5">
      <c r="A84" s="3413"/>
      <c r="B84" s="3434" t="s">
        <v>3475</v>
      </c>
      <c r="C84" s="3435">
        <v>0</v>
      </c>
      <c r="D84" s="3435">
        <f>D81</f>
        <v>4200</v>
      </c>
      <c r="E84" s="3435">
        <f t="shared" ref="E84" si="7">D84*C84</f>
        <v>0</v>
      </c>
      <c r="F84" s="3435"/>
      <c r="G84" s="3435"/>
      <c r="H84" s="3431"/>
      <c r="I84" s="3431"/>
      <c r="J84" s="3413"/>
      <c r="K84" s="3413"/>
      <c r="L84" s="3410" t="s">
        <v>3260</v>
      </c>
      <c r="P84" s="3410">
        <v>0</v>
      </c>
    </row>
    <row r="85" spans="1:16" ht="13.5">
      <c r="A85" s="3413"/>
      <c r="B85" s="3432" t="s">
        <v>3328</v>
      </c>
      <c r="C85" s="3431">
        <f>C79</f>
        <v>132406.91</v>
      </c>
      <c r="D85" s="3431">
        <f>E85/C85</f>
        <v>5664.6371552662922</v>
      </c>
      <c r="E85" s="3431">
        <f>E79+E82+E83+E84</f>
        <v>750037102</v>
      </c>
      <c r="F85" s="3431"/>
      <c r="G85" s="3431"/>
      <c r="H85" s="3431"/>
      <c r="I85" s="3434">
        <f>(I79*E79+I82*E82+I83*E83)/E85</f>
        <v>1</v>
      </c>
      <c r="J85" s="3413"/>
      <c r="K85" s="3413"/>
      <c r="L85" s="3440"/>
      <c r="M85" s="3440"/>
      <c r="N85" s="3440"/>
      <c r="O85" s="3440"/>
      <c r="P85" s="3440" t="e">
        <f>(P83*#REF!+P84*#REF!)/#REF!</f>
        <v>#REF!</v>
      </c>
    </row>
    <row r="86" spans="1:16" ht="13.5">
      <c r="A86" s="3413"/>
      <c r="B86" s="3413"/>
      <c r="C86" s="3413"/>
      <c r="D86" s="3413"/>
      <c r="E86" s="3413">
        <f>E85/'[2]数据-取费表'!K16</f>
        <v>12197.768114009335</v>
      </c>
      <c r="F86" s="3413"/>
      <c r="G86" s="3413"/>
      <c r="H86" s="3413"/>
      <c r="I86" s="3413"/>
      <c r="J86" s="3413"/>
      <c r="K86" s="3413"/>
    </row>
    <row r="87" spans="1:16" ht="13.5">
      <c r="A87" s="3413"/>
      <c r="B87" s="3413"/>
      <c r="C87" s="3413"/>
      <c r="D87" s="3413"/>
      <c r="E87" s="3413"/>
      <c r="F87" s="3413"/>
      <c r="G87" s="3413"/>
      <c r="H87" s="3413"/>
      <c r="I87" s="3413"/>
      <c r="J87" s="3413"/>
      <c r="K87" s="3413"/>
    </row>
    <row r="88" spans="1:16" ht="13.5">
      <c r="A88" s="3413"/>
      <c r="B88" s="3413"/>
      <c r="C88" s="3413"/>
      <c r="D88" s="3413"/>
      <c r="E88" s="3413"/>
      <c r="F88" s="3413"/>
      <c r="G88" s="3413"/>
      <c r="H88" s="3413"/>
      <c r="I88" s="3413"/>
      <c r="J88" s="3413"/>
      <c r="K88" s="3413"/>
    </row>
    <row r="89" spans="1:16" ht="13.5">
      <c r="A89" s="3413"/>
      <c r="B89" s="3413" t="s">
        <v>3476</v>
      </c>
      <c r="C89" s="3413"/>
      <c r="D89" s="3413"/>
      <c r="E89" s="3413"/>
      <c r="F89" s="3413"/>
      <c r="G89" s="3413"/>
      <c r="H89" s="3413"/>
      <c r="I89" s="3413"/>
      <c r="J89" s="3413"/>
      <c r="K89" s="3413"/>
    </row>
    <row r="90" spans="1:16" ht="13.5">
      <c r="A90" s="3413"/>
      <c r="B90" s="3431"/>
      <c r="C90" s="3432" t="s">
        <v>1695</v>
      </c>
      <c r="D90" s="3432"/>
      <c r="E90" s="3432" t="s">
        <v>1721</v>
      </c>
      <c r="F90" s="3432"/>
      <c r="G90" s="3432"/>
      <c r="H90" s="3432" t="s">
        <v>1720</v>
      </c>
      <c r="I90" s="3432" t="s">
        <v>2187</v>
      </c>
      <c r="J90" s="3433" t="s">
        <v>3477</v>
      </c>
      <c r="K90" s="3441"/>
    </row>
    <row r="91" spans="1:16" ht="13.5">
      <c r="A91" s="3413"/>
      <c r="B91" s="3434" t="s">
        <v>3478</v>
      </c>
      <c r="C91" s="3435">
        <v>2022</v>
      </c>
      <c r="D91" s="3435">
        <v>2024</v>
      </c>
      <c r="E91" s="3435">
        <v>50</v>
      </c>
      <c r="F91" s="3435"/>
      <c r="G91" s="3435"/>
      <c r="H91" s="3431">
        <v>60</v>
      </c>
      <c r="I91" s="3431">
        <v>0</v>
      </c>
      <c r="J91" s="3442">
        <f>ROUND((1-I91)-(D91-C91)/H91,2)</f>
        <v>0.97</v>
      </c>
      <c r="K91" s="3443"/>
    </row>
    <row r="92" spans="1:16" ht="13.5">
      <c r="A92" s="3413"/>
      <c r="B92" s="3432" t="s">
        <v>3479</v>
      </c>
      <c r="C92" s="3437"/>
      <c r="D92" s="3431"/>
      <c r="E92" s="3431"/>
      <c r="F92" s="3431"/>
      <c r="G92" s="3431"/>
      <c r="H92" s="3431"/>
      <c r="I92" s="3431"/>
      <c r="J92" s="3436">
        <v>0.85</v>
      </c>
      <c r="K92" s="3444"/>
    </row>
    <row r="93" spans="1:16" ht="13.5">
      <c r="A93" s="3413"/>
      <c r="B93" s="3432"/>
      <c r="C93" s="3431"/>
      <c r="D93" s="3431"/>
      <c r="E93" s="3431"/>
      <c r="F93" s="3431"/>
      <c r="G93" s="3431"/>
      <c r="H93" s="3431"/>
      <c r="I93" s="3431"/>
      <c r="J93" s="3445">
        <f>ROUND((J92+J91)/2,2)</f>
        <v>0.91</v>
      </c>
      <c r="K93" s="3446"/>
    </row>
    <row r="94" spans="1:16" ht="13.5">
      <c r="A94" s="3413"/>
      <c r="B94" s="3413"/>
      <c r="C94" s="3413"/>
      <c r="D94" s="3413"/>
      <c r="E94" s="3413"/>
      <c r="F94" s="3413"/>
      <c r="G94" s="3413"/>
      <c r="H94" s="3413"/>
      <c r="I94" s="3413"/>
      <c r="J94" s="3413"/>
      <c r="K94" s="3413"/>
    </row>
    <row r="95" spans="1:16" ht="13.5">
      <c r="A95" s="3413"/>
      <c r="B95" s="3413"/>
      <c r="C95" s="3413"/>
      <c r="D95" s="3413"/>
      <c r="E95" s="3413"/>
      <c r="F95" s="3413"/>
      <c r="G95" s="3413"/>
      <c r="H95" s="3413"/>
      <c r="I95" s="3413"/>
      <c r="J95" s="3413"/>
      <c r="K95" s="3413"/>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E39" sqref="E39"/>
    </sheetView>
  </sheetViews>
  <sheetFormatPr defaultColWidth="9.25" defaultRowHeight="14.25"/>
  <cols>
    <col min="1" max="1" width="8.25" style="1631" customWidth="1"/>
    <col min="2" max="2" width="10.25" style="1631" customWidth="1"/>
    <col min="3" max="3" width="18.5" style="1631" customWidth="1"/>
    <col min="4" max="4" width="11.125" style="1631" customWidth="1"/>
    <col min="5" max="5" width="13.375" style="1631" customWidth="1"/>
    <col min="6" max="8" width="11.5" style="1631" customWidth="1"/>
    <col min="9" max="9" width="10.375" style="1631" customWidth="1"/>
    <col min="10" max="10" width="3.125" style="1631" customWidth="1"/>
    <col min="11" max="16" width="11.625" style="1631" customWidth="1"/>
    <col min="17" max="17" width="3.375" style="1631" customWidth="1"/>
    <col min="18" max="16384" width="9.25" style="1631"/>
  </cols>
  <sheetData>
    <row r="1" spans="1:16" ht="18.75">
      <c r="A1" s="95" t="s">
        <v>168</v>
      </c>
      <c r="B1" s="1630"/>
      <c r="C1" s="1630"/>
      <c r="D1" s="1630"/>
      <c r="E1" s="1630"/>
      <c r="F1" s="1630"/>
      <c r="G1" s="1630"/>
      <c r="H1" s="1630"/>
      <c r="I1" s="1630"/>
      <c r="J1" s="1630"/>
      <c r="K1" s="1630"/>
      <c r="L1" s="1630"/>
      <c r="M1" s="1630"/>
      <c r="N1" s="1630"/>
      <c r="O1" s="1630"/>
      <c r="P1" s="1630"/>
    </row>
    <row r="2" spans="1:16" ht="15">
      <c r="A2" s="3595" t="s">
        <v>169</v>
      </c>
      <c r="B2" s="3595"/>
      <c r="C2" s="3595"/>
      <c r="D2" s="1628" t="s">
        <v>170</v>
      </c>
      <c r="E2" s="97" t="s">
        <v>171</v>
      </c>
      <c r="F2" s="2607"/>
      <c r="G2" s="1040"/>
      <c r="H2" s="1041"/>
      <c r="I2" s="1042" t="s">
        <v>795</v>
      </c>
      <c r="J2" s="2607"/>
      <c r="K2" s="2607"/>
      <c r="L2" s="2607"/>
      <c r="M2" s="2607"/>
      <c r="N2" s="2607"/>
      <c r="O2" s="2607"/>
      <c r="P2" s="2607"/>
    </row>
    <row r="3" spans="1:16" ht="15.75" thickBot="1">
      <c r="A3" s="3596" t="s">
        <v>172</v>
      </c>
      <c r="B3" s="3596"/>
      <c r="C3" s="3596"/>
      <c r="D3" s="98">
        <f>'数据-基础表'!AY6</f>
        <v>36842.300000000003</v>
      </c>
      <c r="E3" s="98">
        <f>'数据-基础表'!AZ5</f>
        <v>122231.91</v>
      </c>
      <c r="F3" s="2607"/>
      <c r="G3" s="106" t="s">
        <v>796</v>
      </c>
      <c r="H3" s="102" t="s">
        <v>797</v>
      </c>
      <c r="I3" s="995">
        <f>ROUND('数据-基础表'!B3/'数据-基础表'!A3,2)</f>
        <v>3.32</v>
      </c>
      <c r="J3" s="2607"/>
      <c r="K3" s="2607"/>
      <c r="L3" s="2607"/>
      <c r="M3" s="2607"/>
      <c r="N3" s="2607"/>
      <c r="O3" s="2607"/>
      <c r="P3" s="2607"/>
    </row>
    <row r="4" spans="1:16" ht="15">
      <c r="A4" s="3597"/>
      <c r="B4" s="3598"/>
      <c r="C4" s="3599"/>
      <c r="D4" s="99" t="s">
        <v>170</v>
      </c>
      <c r="E4" s="100" t="s">
        <v>171</v>
      </c>
      <c r="F4" s="2607"/>
      <c r="G4" s="119"/>
      <c r="H4" s="102" t="s">
        <v>798</v>
      </c>
      <c r="I4" s="995">
        <f>ROUND(SUMIF('数据-基础表'!I9:AS9,"地上",'数据-基础表'!I5:AS5)/'数据-基础表'!A3,2)</f>
        <v>2.5099999999999998</v>
      </c>
      <c r="J4" s="2607"/>
      <c r="K4" s="2607"/>
      <c r="L4" s="2607"/>
      <c r="M4" s="2607"/>
      <c r="N4" s="2607"/>
      <c r="O4" s="2607"/>
      <c r="P4" s="2607"/>
    </row>
    <row r="5" spans="1:16">
      <c r="A5" s="101" t="s">
        <v>173</v>
      </c>
      <c r="B5" s="3600" t="s">
        <v>196</v>
      </c>
      <c r="C5" s="3600"/>
      <c r="D5" s="102">
        <f>ROUND($D$3*E5/$E$3,2)</f>
        <v>27549.1</v>
      </c>
      <c r="E5" s="103">
        <f>SUMIF('数据-基础表'!$11:$11,"住宅",'数据-基础表'!$5:$5)</f>
        <v>91399.81</v>
      </c>
      <c r="F5" s="2607"/>
      <c r="G5" s="106" t="s">
        <v>799</v>
      </c>
      <c r="H5" s="102" t="s">
        <v>797</v>
      </c>
      <c r="I5" s="995">
        <f>ROUND(E31/D31,2)</f>
        <v>3.32</v>
      </c>
      <c r="J5" s="2607"/>
      <c r="K5" s="2607"/>
      <c r="L5" s="2607"/>
      <c r="M5" s="2607"/>
      <c r="N5" s="2607"/>
      <c r="O5" s="2607"/>
      <c r="P5" s="2607"/>
    </row>
    <row r="6" spans="1:16" ht="15" thickBot="1">
      <c r="A6" s="104"/>
      <c r="B6" s="3600" t="s">
        <v>174</v>
      </c>
      <c r="C6" s="3600"/>
      <c r="D6" s="102">
        <f>ROUND($D$3*E6/$E$3,2)</f>
        <v>9293.2000000000007</v>
      </c>
      <c r="E6" s="103">
        <f>E3-E5</f>
        <v>30832.100000000006</v>
      </c>
      <c r="F6" s="2607"/>
      <c r="G6" s="119"/>
      <c r="H6" s="102" t="s">
        <v>798</v>
      </c>
      <c r="I6" s="995">
        <f>ROUND(F31/D31,2)</f>
        <v>2.5099999999999998</v>
      </c>
      <c r="J6" s="2607"/>
      <c r="K6" s="2607"/>
      <c r="L6" s="2607"/>
      <c r="M6" s="2607"/>
      <c r="N6" s="2607"/>
      <c r="O6" s="2607"/>
      <c r="P6" s="2607"/>
    </row>
    <row r="7" spans="1:16" ht="15">
      <c r="A7" s="3592"/>
      <c r="B7" s="3593"/>
      <c r="C7" s="3594"/>
      <c r="D7" s="99" t="s">
        <v>170</v>
      </c>
      <c r="E7" s="105" t="s">
        <v>197</v>
      </c>
      <c r="F7" s="2607"/>
      <c r="G7" s="1000" t="s">
        <v>1180</v>
      </c>
      <c r="H7" s="1001"/>
      <c r="I7" s="127">
        <v>2.5</v>
      </c>
      <c r="J7" s="2607"/>
      <c r="K7" s="2607"/>
      <c r="L7" s="2607"/>
      <c r="M7" s="2607"/>
      <c r="N7" s="2607"/>
      <c r="O7" s="2607"/>
      <c r="P7" s="2607"/>
    </row>
    <row r="8" spans="1:16">
      <c r="A8" s="101" t="s">
        <v>175</v>
      </c>
      <c r="B8" s="106" t="s">
        <v>176</v>
      </c>
      <c r="C8" s="102" t="s">
        <v>177</v>
      </c>
      <c r="D8" s="102">
        <f t="shared" ref="D8:D15" si="0">ROUND($D$3*E8/$E$3,2)</f>
        <v>27549.1</v>
      </c>
      <c r="E8" s="107">
        <f>SUMIF('数据-基础表'!BB10:BK10,"地上",'数据-基础表'!BB5:BK5)</f>
        <v>91399.81</v>
      </c>
      <c r="F8" s="2607"/>
      <c r="G8" s="2607"/>
      <c r="H8" s="2607"/>
      <c r="I8" s="2607"/>
      <c r="J8" s="2607"/>
      <c r="K8" s="2607"/>
      <c r="L8" s="2607"/>
      <c r="M8" s="2607"/>
      <c r="N8" s="2607"/>
      <c r="O8" s="2607"/>
      <c r="P8" s="2607"/>
    </row>
    <row r="9" spans="1:16">
      <c r="A9" s="108"/>
      <c r="B9" s="109"/>
      <c r="C9" s="102" t="s">
        <v>178</v>
      </c>
      <c r="D9" s="102">
        <f t="shared" si="0"/>
        <v>30.14</v>
      </c>
      <c r="E9" s="110">
        <f>经济指标!L11</f>
        <v>100</v>
      </c>
      <c r="F9" s="2607"/>
      <c r="G9" s="2607"/>
      <c r="H9" s="2607"/>
      <c r="I9" s="2607"/>
      <c r="J9" s="2607"/>
      <c r="K9" s="2607"/>
      <c r="L9" s="2607"/>
      <c r="M9" s="2607"/>
      <c r="N9" s="2607"/>
      <c r="O9" s="2607"/>
      <c r="P9" s="2607"/>
    </row>
    <row r="10" spans="1:16">
      <c r="A10" s="108"/>
      <c r="B10" s="109"/>
      <c r="C10" s="102" t="s">
        <v>179</v>
      </c>
      <c r="D10" s="102">
        <f t="shared" si="0"/>
        <v>313.27999999999997</v>
      </c>
      <c r="E10" s="107">
        <f>SUMPRODUCT(('数据-基础表'!BB10:BK10="地下")*('数据-基础表'!BB11:BK11="商业")*('数据-基础表'!BB5:BK5))</f>
        <v>1039.3599999999999</v>
      </c>
      <c r="F10" s="2607"/>
      <c r="G10" s="2607"/>
      <c r="H10" s="2607"/>
      <c r="I10" s="2607"/>
      <c r="J10" s="2607"/>
      <c r="K10" s="2607"/>
      <c r="L10" s="2607"/>
      <c r="M10" s="2607"/>
      <c r="N10" s="2607"/>
      <c r="O10" s="2607"/>
      <c r="P10" s="2607"/>
    </row>
    <row r="11" spans="1:16">
      <c r="A11" s="108"/>
      <c r="B11" s="109"/>
      <c r="C11" s="1915" t="s">
        <v>1679</v>
      </c>
      <c r="D11" s="102">
        <f t="shared" si="0"/>
        <v>15.07</v>
      </c>
      <c r="E11" s="107">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c r="A12" s="108"/>
      <c r="B12" s="109"/>
      <c r="C12" s="102" t="s">
        <v>180</v>
      </c>
      <c r="D12" s="102">
        <f t="shared" si="0"/>
        <v>424.05</v>
      </c>
      <c r="E12" s="107">
        <f>SUMPRODUCT(('数据-基础表'!BB10:BK10="地下")*('数据-基础表'!BB11:BK11="仓储")*('数据-基础表'!BB5:BK5))</f>
        <v>1406.86</v>
      </c>
      <c r="F12" s="2607"/>
      <c r="G12" s="2607"/>
      <c r="H12" s="2607"/>
      <c r="I12" s="2607"/>
      <c r="J12" s="2607"/>
      <c r="K12" s="2607"/>
      <c r="L12" s="2607"/>
      <c r="M12" s="2607"/>
      <c r="N12" s="2607"/>
      <c r="O12" s="2607"/>
      <c r="P12" s="2607"/>
    </row>
    <row r="13" spans="1:16">
      <c r="A13" s="108"/>
      <c r="B13" s="109"/>
      <c r="C13" s="1915" t="s">
        <v>1686</v>
      </c>
      <c r="D13" s="102">
        <f t="shared" si="0"/>
        <v>5442.96</v>
      </c>
      <c r="E13" s="107">
        <f>SUMPRODUCT(('数据-基础表'!BB10:BK10="地下")*('数据-基础表'!BB11:BK11="车库")*('数据-基础表'!BB5:BK5))</f>
        <v>18058.14</v>
      </c>
      <c r="F13" s="2607"/>
      <c r="G13" s="2607"/>
      <c r="H13" s="2607"/>
      <c r="I13" s="2607"/>
      <c r="J13" s="2607"/>
      <c r="K13" s="2607"/>
      <c r="L13" s="2607"/>
      <c r="M13" s="2607"/>
      <c r="N13" s="2607"/>
      <c r="O13" s="2607"/>
      <c r="P13" s="2607"/>
    </row>
    <row r="14" spans="1:16">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4"/>
      <c r="B16" s="109"/>
      <c r="C16" s="106" t="s">
        <v>181</v>
      </c>
      <c r="D16" s="106">
        <f>SUM(D8:D15)</f>
        <v>33774.6</v>
      </c>
      <c r="E16" s="111">
        <f>SUM(E8:E15)</f>
        <v>112054.17</v>
      </c>
      <c r="F16" s="2607"/>
      <c r="G16" s="2607"/>
      <c r="H16" s="882" t="s">
        <v>185</v>
      </c>
      <c r="I16" s="883"/>
      <c r="J16" s="1630"/>
      <c r="K16" s="3586" t="s">
        <v>1844</v>
      </c>
      <c r="L16" s="3587"/>
      <c r="M16" s="3587"/>
      <c r="N16" s="3587"/>
      <c r="O16" s="3587"/>
      <c r="P16" s="3588"/>
    </row>
    <row r="17" spans="1:19" ht="15">
      <c r="A17" s="112" t="s">
        <v>182</v>
      </c>
      <c r="B17" s="113" t="s">
        <v>183</v>
      </c>
      <c r="C17" s="1883" t="s">
        <v>1667</v>
      </c>
      <c r="D17" s="99" t="s">
        <v>170</v>
      </c>
      <c r="E17" s="115" t="s">
        <v>171</v>
      </c>
      <c r="F17" s="116"/>
      <c r="G17" s="1157"/>
      <c r="H17" s="884" t="s">
        <v>184</v>
      </c>
      <c r="I17" s="885" t="s">
        <v>1666</v>
      </c>
      <c r="J17" s="1630"/>
      <c r="K17" s="3589" t="s">
        <v>1845</v>
      </c>
      <c r="L17" s="3590"/>
      <c r="M17" s="3591"/>
      <c r="N17" s="3589" t="s">
        <v>1846</v>
      </c>
      <c r="O17" s="3590"/>
      <c r="P17" s="3591"/>
      <c r="R17" s="1884" t="s">
        <v>1665</v>
      </c>
      <c r="S17" s="125"/>
    </row>
    <row r="18" spans="1:19" ht="15">
      <c r="A18" s="108"/>
      <c r="B18" s="119"/>
      <c r="C18" s="96"/>
      <c r="D18" s="1628"/>
      <c r="E18" s="120" t="s">
        <v>186</v>
      </c>
      <c r="F18" s="121" t="s">
        <v>187</v>
      </c>
      <c r="G18" s="1158" t="s">
        <v>188</v>
      </c>
      <c r="H18" s="886" t="s">
        <v>189</v>
      </c>
      <c r="I18" s="887" t="s">
        <v>190</v>
      </c>
      <c r="J18" s="1630"/>
      <c r="K18" s="2060" t="s">
        <v>1847</v>
      </c>
      <c r="L18" s="2061" t="s">
        <v>1848</v>
      </c>
      <c r="M18" s="2062" t="s">
        <v>1849</v>
      </c>
      <c r="N18" s="2060" t="s">
        <v>1847</v>
      </c>
      <c r="O18" s="2061" t="s">
        <v>1848</v>
      </c>
      <c r="P18" s="2062" t="s">
        <v>1849</v>
      </c>
      <c r="R18" s="1885" t="s">
        <v>1663</v>
      </c>
      <c r="S18" s="1885" t="s">
        <v>1664</v>
      </c>
    </row>
    <row r="19" spans="1:19">
      <c r="A19" s="123"/>
      <c r="B19" s="106" t="s">
        <v>191</v>
      </c>
      <c r="C19" s="2307" t="s">
        <v>3324</v>
      </c>
      <c r="D19" s="102">
        <f t="shared" ref="D19:D26" si="1">ROUND($D$3*E19/$E$3,2)</f>
        <v>27549.1</v>
      </c>
      <c r="E19" s="124">
        <f t="shared" ref="E19:E26" si="2">SUM(F19:G19)</f>
        <v>91399.81</v>
      </c>
      <c r="F19" s="2608">
        <f>'数据-基础表'!I5</f>
        <v>91399.81</v>
      </c>
      <c r="G19" s="2609"/>
      <c r="H19" s="888">
        <f>ROUND($D$3*I19/$E$3,2)</f>
        <v>2651.23</v>
      </c>
      <c r="I19" s="107">
        <f>IF($I$17="自定义",P19,M19)</f>
        <v>8795.99</v>
      </c>
      <c r="J19" s="1630"/>
      <c r="K19" s="888">
        <f t="shared" ref="K19:K26" si="3">ROUND(E$28*E19/E$27,2)</f>
        <v>6827.9</v>
      </c>
      <c r="L19" s="102">
        <f t="shared" ref="L19:L26" si="4">ROUND(IF(COUNTIF(C19,"*住宅*")&gt;0,E$29*E19/E$32,0),2)</f>
        <v>1968.09</v>
      </c>
      <c r="M19" s="107">
        <f>K19+L19</f>
        <v>8795.99</v>
      </c>
      <c r="N19" s="2063"/>
      <c r="O19" s="2064"/>
      <c r="P19" s="2065">
        <f>N19+O19</f>
        <v>0</v>
      </c>
      <c r="R19" s="102">
        <f t="shared" ref="R19:S26" si="5">D19+H19</f>
        <v>30200.329999999998</v>
      </c>
      <c r="S19" s="124">
        <f t="shared" si="5"/>
        <v>100195.8</v>
      </c>
    </row>
    <row r="20" spans="1:19">
      <c r="A20" s="123"/>
      <c r="B20" s="106" t="s">
        <v>192</v>
      </c>
      <c r="C20" s="2307" t="s">
        <v>3326</v>
      </c>
      <c r="D20" s="102">
        <f t="shared" si="1"/>
        <v>5442.96</v>
      </c>
      <c r="E20" s="124">
        <f t="shared" si="2"/>
        <v>18058.14</v>
      </c>
      <c r="F20" s="2608"/>
      <c r="G20" s="2609">
        <f>'数据-基础表'!K5</f>
        <v>18058.14</v>
      </c>
      <c r="H20" s="888">
        <f t="shared" ref="H20:H26" si="6">ROUND($D$3*I20/$E$3,2)</f>
        <v>406.61</v>
      </c>
      <c r="I20" s="107">
        <f t="shared" ref="I20:I26" si="7">IF($I$17="自定义",P20,M20)</f>
        <v>1349.01</v>
      </c>
      <c r="J20" s="1630"/>
      <c r="K20" s="888">
        <f t="shared" si="3"/>
        <v>1349.01</v>
      </c>
      <c r="L20" s="102">
        <f t="shared" si="4"/>
        <v>0</v>
      </c>
      <c r="M20" s="107">
        <f t="shared" ref="M20:M26" si="8">K20+L20</f>
        <v>1349.01</v>
      </c>
      <c r="N20" s="2063"/>
      <c r="O20" s="2064"/>
      <c r="P20" s="2065">
        <f t="shared" ref="P20:P26" si="9">N20+O20</f>
        <v>0</v>
      </c>
      <c r="R20" s="102">
        <f t="shared" si="5"/>
        <v>5849.57</v>
      </c>
      <c r="S20" s="124">
        <f t="shared" si="5"/>
        <v>19407.149999999998</v>
      </c>
    </row>
    <row r="21" spans="1:19">
      <c r="A21" s="123"/>
      <c r="B21" s="106" t="s">
        <v>192</v>
      </c>
      <c r="C21" s="2307" t="s">
        <v>3513</v>
      </c>
      <c r="D21" s="102">
        <f t="shared" si="1"/>
        <v>424.05</v>
      </c>
      <c r="E21" s="124">
        <f t="shared" si="2"/>
        <v>1406.86</v>
      </c>
      <c r="F21" s="2608"/>
      <c r="G21" s="2609">
        <f>'数据-基础表'!M13</f>
        <v>1406.86</v>
      </c>
      <c r="H21" s="888">
        <f t="shared" si="6"/>
        <v>31.68</v>
      </c>
      <c r="I21" s="107">
        <f t="shared" si="7"/>
        <v>105.1</v>
      </c>
      <c r="J21" s="1630"/>
      <c r="K21" s="888">
        <f t="shared" si="3"/>
        <v>105.1</v>
      </c>
      <c r="L21" s="102">
        <f t="shared" si="4"/>
        <v>0</v>
      </c>
      <c r="M21" s="107">
        <f t="shared" si="8"/>
        <v>105.1</v>
      </c>
      <c r="N21" s="2063"/>
      <c r="O21" s="2064"/>
      <c r="P21" s="2065">
        <f t="shared" si="9"/>
        <v>0</v>
      </c>
      <c r="R21" s="102">
        <f t="shared" si="5"/>
        <v>455.73</v>
      </c>
      <c r="S21" s="124">
        <f t="shared" si="5"/>
        <v>1511.9599999999998</v>
      </c>
    </row>
    <row r="22" spans="1:19">
      <c r="A22" s="123"/>
      <c r="B22" s="106" t="s">
        <v>192</v>
      </c>
      <c r="C22" s="3079" t="s">
        <v>3712</v>
      </c>
      <c r="D22" s="102">
        <f t="shared" si="1"/>
        <v>313.27999999999997</v>
      </c>
      <c r="E22" s="124">
        <f t="shared" si="2"/>
        <v>1039.3599999999999</v>
      </c>
      <c r="F22" s="2610"/>
      <c r="G22" s="2611">
        <f>'数据-基础表'!O13</f>
        <v>1039.3599999999999</v>
      </c>
      <c r="H22" s="888">
        <f t="shared" si="6"/>
        <v>23.4</v>
      </c>
      <c r="I22" s="107">
        <f t="shared" si="7"/>
        <v>77.64</v>
      </c>
      <c r="J22" s="1630"/>
      <c r="K22" s="888">
        <f t="shared" si="3"/>
        <v>77.64</v>
      </c>
      <c r="L22" s="102">
        <f t="shared" si="4"/>
        <v>0</v>
      </c>
      <c r="M22" s="107">
        <f t="shared" si="8"/>
        <v>77.64</v>
      </c>
      <c r="N22" s="2063"/>
      <c r="O22" s="2064"/>
      <c r="P22" s="2065">
        <f t="shared" si="9"/>
        <v>0</v>
      </c>
      <c r="R22" s="102">
        <f t="shared" si="5"/>
        <v>336.67999999999995</v>
      </c>
      <c r="S22" s="124">
        <f t="shared" si="5"/>
        <v>1117</v>
      </c>
    </row>
    <row r="23" spans="1:19">
      <c r="A23" s="123"/>
      <c r="B23" s="106" t="s">
        <v>192</v>
      </c>
      <c r="C23" s="3079"/>
      <c r="D23" s="102">
        <f>ROUND($D$3*E23/$E$3,2)</f>
        <v>0</v>
      </c>
      <c r="E23" s="124">
        <f>SUM(F23:G23)</f>
        <v>0</v>
      </c>
      <c r="F23" s="2610"/>
      <c r="G23" s="2611"/>
      <c r="H23" s="888">
        <f>ROUND($D$3*I23/$E$3,2)</f>
        <v>0</v>
      </c>
      <c r="I23" s="107">
        <f t="shared" si="7"/>
        <v>0</v>
      </c>
      <c r="J23" s="1630"/>
      <c r="K23" s="888">
        <f t="shared" si="3"/>
        <v>0</v>
      </c>
      <c r="L23" s="102">
        <f t="shared" si="4"/>
        <v>0</v>
      </c>
      <c r="M23" s="107">
        <f t="shared" si="8"/>
        <v>0</v>
      </c>
      <c r="N23" s="2063"/>
      <c r="O23" s="2064"/>
      <c r="P23" s="2065">
        <f t="shared" si="9"/>
        <v>0</v>
      </c>
      <c r="R23" s="102">
        <f t="shared" si="5"/>
        <v>0</v>
      </c>
      <c r="S23" s="124">
        <f t="shared" si="5"/>
        <v>0</v>
      </c>
    </row>
    <row r="24" spans="1:19">
      <c r="A24" s="123"/>
      <c r="B24" s="106" t="s">
        <v>192</v>
      </c>
      <c r="C24" s="3079"/>
      <c r="D24" s="102">
        <f>ROUND($D$3*E24/$E$3,2)</f>
        <v>0</v>
      </c>
      <c r="E24" s="124">
        <f>SUM(F24:G24)</f>
        <v>0</v>
      </c>
      <c r="F24" s="2610"/>
      <c r="G24" s="2611"/>
      <c r="H24" s="888">
        <f>ROUND($D$3*I24/$E$3,2)</f>
        <v>0</v>
      </c>
      <c r="I24" s="107">
        <f t="shared" si="7"/>
        <v>0</v>
      </c>
      <c r="J24" s="1630"/>
      <c r="K24" s="888">
        <f t="shared" si="3"/>
        <v>0</v>
      </c>
      <c r="L24" s="102">
        <f t="shared" si="4"/>
        <v>0</v>
      </c>
      <c r="M24" s="107">
        <f t="shared" si="8"/>
        <v>0</v>
      </c>
      <c r="N24" s="2063"/>
      <c r="O24" s="2064"/>
      <c r="P24" s="2065">
        <f t="shared" si="9"/>
        <v>0</v>
      </c>
      <c r="R24" s="102">
        <f t="shared" si="5"/>
        <v>0</v>
      </c>
      <c r="S24" s="124">
        <f t="shared" si="5"/>
        <v>0</v>
      </c>
    </row>
    <row r="25" spans="1:19">
      <c r="A25" s="123"/>
      <c r="B25" s="106" t="s">
        <v>192</v>
      </c>
      <c r="C25" s="3079"/>
      <c r="D25" s="102">
        <f t="shared" si="1"/>
        <v>0</v>
      </c>
      <c r="E25" s="124">
        <f t="shared" si="2"/>
        <v>0</v>
      </c>
      <c r="F25" s="2610"/>
      <c r="G25" s="2611"/>
      <c r="H25" s="101">
        <f t="shared" si="6"/>
        <v>0</v>
      </c>
      <c r="I25" s="107">
        <f t="shared" si="7"/>
        <v>0</v>
      </c>
      <c r="J25" s="1630"/>
      <c r="K25" s="888">
        <f t="shared" si="3"/>
        <v>0</v>
      </c>
      <c r="L25" s="102">
        <f t="shared" si="4"/>
        <v>0</v>
      </c>
      <c r="M25" s="107">
        <f t="shared" si="8"/>
        <v>0</v>
      </c>
      <c r="N25" s="2063"/>
      <c r="O25" s="2064"/>
      <c r="P25" s="2065">
        <f t="shared" si="9"/>
        <v>0</v>
      </c>
      <c r="R25" s="102">
        <f t="shared" si="5"/>
        <v>0</v>
      </c>
      <c r="S25" s="124">
        <f t="shared" si="5"/>
        <v>0</v>
      </c>
    </row>
    <row r="26" spans="1:19">
      <c r="A26" s="123"/>
      <c r="B26" s="106" t="s">
        <v>192</v>
      </c>
      <c r="C26" s="128"/>
      <c r="D26" s="102">
        <f t="shared" si="1"/>
        <v>0</v>
      </c>
      <c r="E26" s="124">
        <f t="shared" si="2"/>
        <v>0</v>
      </c>
      <c r="F26" s="2610"/>
      <c r="G26" s="2611"/>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15.75" thickBot="1">
      <c r="A27" s="123"/>
      <c r="B27" s="102"/>
      <c r="C27" s="118" t="s">
        <v>181</v>
      </c>
      <c r="D27" s="124">
        <f>SUM(D19:D26)</f>
        <v>33729.39</v>
      </c>
      <c r="E27" s="129">
        <f>IF(SUM(E19:E26)='数据-基础表'!BA5,SUM(E19:E26),IF(F27="地上面积有误","面积有误","地下面积有误"))</f>
        <v>111904.17</v>
      </c>
      <c r="F27" s="124">
        <f>IF(SUM(F19:F26)=E8,SUM(F19:F26),"地上面积有误")</f>
        <v>91399.81</v>
      </c>
      <c r="G27" s="103">
        <f>SUM(G19:G26)</f>
        <v>20504.36</v>
      </c>
      <c r="H27" s="889">
        <f>SUM(H19:H26)</f>
        <v>3112.92</v>
      </c>
      <c r="I27" s="890">
        <f>SUM(I19:I26)</f>
        <v>10327.74</v>
      </c>
      <c r="J27" s="1630"/>
      <c r="K27" s="2069">
        <f t="shared" ref="K27:P27" si="10">SUM(K19:K26)</f>
        <v>8359.65</v>
      </c>
      <c r="L27" s="2070">
        <f t="shared" si="10"/>
        <v>1968.09</v>
      </c>
      <c r="M27" s="2071">
        <f t="shared" si="10"/>
        <v>10327.74</v>
      </c>
      <c r="N27" s="2069">
        <f t="shared" si="10"/>
        <v>0</v>
      </c>
      <c r="O27" s="2070">
        <f t="shared" si="10"/>
        <v>0</v>
      </c>
      <c r="P27" s="194">
        <f t="shared" si="10"/>
        <v>0</v>
      </c>
      <c r="R27" s="1889" t="str">
        <f>IF(SUM(R19:R26)=$D$3,SUM(R19:R26),SUM(R19:R26)&amp;"误差"&amp;ROUND(SUM(R19:R26)-$D$3,2))</f>
        <v>36842.31误差0.01</v>
      </c>
      <c r="S27" s="102">
        <f>IF(SUM(S19:S26)=$E$3,SUM(S19:S26),SUM(S19:S26)&amp;"误差"&amp;ROUND(SUM(S19:S26)-E3,2))</f>
        <v>122231.91</v>
      </c>
    </row>
    <row r="28" spans="1:19">
      <c r="A28" s="123"/>
      <c r="B28" s="106" t="s">
        <v>193</v>
      </c>
      <c r="C28" s="125" t="s">
        <v>194</v>
      </c>
      <c r="D28" s="102">
        <f>ROUND($D$3*E28/$E$3,2)</f>
        <v>2519.71</v>
      </c>
      <c r="E28" s="124">
        <f>SUM(F28:G28)</f>
        <v>8359.65</v>
      </c>
      <c r="F28" s="125">
        <f>'数据-基础表'!BQ5+'数据-基础表'!BS5</f>
        <v>339.94</v>
      </c>
      <c r="G28" s="130">
        <f>'数据-基础表'!BR5+'数据-基础表'!BT5</f>
        <v>8019.71</v>
      </c>
      <c r="H28" s="2607"/>
      <c r="I28" s="2607"/>
      <c r="J28" s="2607"/>
      <c r="K28" s="2607"/>
      <c r="L28" s="2607"/>
      <c r="M28" s="2607"/>
      <c r="N28" s="2607"/>
      <c r="O28" s="2607"/>
      <c r="P28" s="2607"/>
    </row>
    <row r="29" spans="1:19">
      <c r="A29" s="123"/>
      <c r="B29" s="106" t="s">
        <v>193</v>
      </c>
      <c r="C29" s="1897" t="s">
        <v>1674</v>
      </c>
      <c r="D29" s="102">
        <f>ROUND($D$3*E29/$E$3,2)</f>
        <v>593.21</v>
      </c>
      <c r="E29" s="124">
        <f>SUM(F29:G29)</f>
        <v>1968.09</v>
      </c>
      <c r="F29" s="125">
        <f>'数据-基础表'!BM5+'数据-基础表'!BO5</f>
        <v>580</v>
      </c>
      <c r="G29" s="111">
        <f>'数据-基础表'!BN5+'数据-基础表'!BP5</f>
        <v>1388.09</v>
      </c>
      <c r="H29" s="2607"/>
      <c r="I29" s="2607"/>
      <c r="J29" s="2607"/>
      <c r="K29" s="2607"/>
      <c r="L29" s="2607"/>
      <c r="M29" s="2607"/>
      <c r="N29" s="2607"/>
      <c r="O29" s="2607"/>
      <c r="P29" s="2607"/>
    </row>
    <row r="30" spans="1:19">
      <c r="A30" s="123"/>
      <c r="B30" s="102"/>
      <c r="C30" s="131" t="s">
        <v>181</v>
      </c>
      <c r="D30" s="124">
        <f>SUM(D28:D29)</f>
        <v>3112.92</v>
      </c>
      <c r="E30" s="124">
        <f>SUM(E28:E29)</f>
        <v>10327.74</v>
      </c>
      <c r="F30" s="124">
        <f>SUM(F28:F29)</f>
        <v>919.94</v>
      </c>
      <c r="G30" s="103">
        <f>SUM(G28:G29)</f>
        <v>9407.7999999999993</v>
      </c>
      <c r="H30" s="2607"/>
      <c r="I30" s="2607"/>
      <c r="J30" s="2607"/>
      <c r="K30" s="2607"/>
      <c r="L30" s="2607"/>
      <c r="M30" s="2607"/>
      <c r="N30" s="2607"/>
      <c r="O30" s="2607"/>
      <c r="P30" s="2607"/>
    </row>
    <row r="31" spans="1:19" ht="32.25" customHeight="1" thickBot="1">
      <c r="A31" s="1159"/>
      <c r="B31" s="1160" t="s">
        <v>195</v>
      </c>
      <c r="C31" s="1914" t="s">
        <v>1676</v>
      </c>
      <c r="D31" s="1161">
        <f>D27+D30</f>
        <v>36842.31</v>
      </c>
      <c r="E31" s="1161">
        <f>E27+E30</f>
        <v>122231.91</v>
      </c>
      <c r="F31" s="1162">
        <f>F27+F30</f>
        <v>92319.75</v>
      </c>
      <c r="G31" s="1163">
        <f>G27+G30</f>
        <v>29912.16</v>
      </c>
      <c r="H31" s="2607"/>
      <c r="I31" s="2607"/>
      <c r="J31" s="2607"/>
      <c r="K31" s="2607"/>
      <c r="L31" s="2607"/>
      <c r="M31" s="2607"/>
      <c r="N31" s="2607"/>
      <c r="O31" s="2607"/>
      <c r="P31" s="2607"/>
    </row>
    <row r="32" spans="1:19">
      <c r="A32" s="1630"/>
      <c r="B32" s="1926" t="s">
        <v>1675</v>
      </c>
      <c r="C32" s="2084"/>
      <c r="D32" s="119"/>
      <c r="E32" s="119">
        <f>SUMIF(C19:C26,"*住宅*",E19:E26)</f>
        <v>91399.81</v>
      </c>
      <c r="F32" s="119"/>
      <c r="G32" s="119"/>
      <c r="H32" s="2607"/>
      <c r="I32" s="2607"/>
      <c r="J32" s="2607"/>
      <c r="K32" s="2607"/>
      <c r="L32" s="2607"/>
      <c r="M32" s="2607"/>
      <c r="N32" s="2607"/>
      <c r="O32" s="2607"/>
      <c r="P32" s="2607"/>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18"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7"/>
    <col min="42" max="42" width="13.75" style="237" customWidth="1"/>
    <col min="43" max="83" width="13.75" style="237"/>
    <col min="84" max="16384" width="13.75" style="1043"/>
  </cols>
  <sheetData>
    <row r="1" spans="1:83" ht="19.5"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3"/>
      <c r="AO1" s="2613"/>
      <c r="AP1" s="2613"/>
      <c r="AQ1" s="2613"/>
      <c r="AR1" s="2613"/>
      <c r="AS1" s="2613"/>
      <c r="AT1" s="2613"/>
      <c r="AU1" s="2613"/>
      <c r="AV1" s="2613"/>
      <c r="AW1" s="2613"/>
      <c r="AX1" s="2613"/>
      <c r="AY1" s="2613"/>
      <c r="AZ1" s="2613"/>
    </row>
    <row r="2" spans="1:83" s="1045" customFormat="1" ht="15.75" thickBot="1">
      <c r="A2" s="133" t="s">
        <v>201</v>
      </c>
      <c r="B2" s="1922">
        <f>项目基本情况!D3</f>
        <v>45789</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7"/>
      <c r="AO2" s="2607"/>
      <c r="AP2" s="2607"/>
      <c r="AQ2" s="2607"/>
      <c r="AR2" s="2607"/>
      <c r="AS2" s="2607"/>
      <c r="AT2" s="2607"/>
      <c r="AU2" s="2607"/>
      <c r="AV2" s="2607"/>
      <c r="AW2" s="2607"/>
      <c r="AX2" s="2607"/>
      <c r="AY2" s="2607"/>
      <c r="AZ2" s="2607"/>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5" customFormat="1" ht="15" thickBot="1">
      <c r="A3" s="1046"/>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7"/>
      <c r="AO3" s="2607"/>
      <c r="AP3" s="2607"/>
      <c r="AQ3" s="2607"/>
      <c r="AR3" s="2607"/>
      <c r="AS3" s="2607"/>
      <c r="AT3" s="2607"/>
      <c r="AU3" s="2607"/>
      <c r="AV3" s="2607"/>
      <c r="AW3" s="2607"/>
      <c r="AX3" s="2607"/>
      <c r="AY3" s="2607"/>
      <c r="AZ3" s="2607"/>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1" customFormat="1" ht="40.5">
      <c r="A5" s="1888"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3224</v>
      </c>
      <c r="O5" s="147" t="s">
        <v>212</v>
      </c>
      <c r="P5" s="149" t="s">
        <v>213</v>
      </c>
      <c r="Q5" s="150" t="s">
        <v>214</v>
      </c>
      <c r="R5" s="151" t="s">
        <v>215</v>
      </c>
      <c r="S5" s="2072" t="s">
        <v>1850</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1677</v>
      </c>
      <c r="AI5" s="155" t="s">
        <v>1646</v>
      </c>
      <c r="AJ5" s="155" t="s">
        <v>224</v>
      </c>
      <c r="AK5" s="143" t="s">
        <v>225</v>
      </c>
      <c r="AL5" s="143" t="s">
        <v>226</v>
      </c>
      <c r="AM5" s="156" t="s">
        <v>227</v>
      </c>
      <c r="AN5" s="1947" t="s">
        <v>1722</v>
      </c>
      <c r="AO5" s="2625"/>
      <c r="AP5" s="2612" t="s">
        <v>2246</v>
      </c>
      <c r="AQ5" s="2625"/>
      <c r="AR5" s="2625"/>
      <c r="AS5" s="2625"/>
      <c r="AT5" s="2625"/>
      <c r="AU5" s="2625"/>
      <c r="AV5" s="2625"/>
      <c r="AW5" s="2625"/>
      <c r="AX5" s="2625"/>
      <c r="AY5" s="2625"/>
      <c r="AZ5" s="2625"/>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5" customFormat="1" ht="14.25">
      <c r="A6" s="1886" t="str">
        <f>'数据-汇总表'!C19</f>
        <v>住宅</v>
      </c>
      <c r="B6" s="1921" t="str">
        <f>IF(A6=0,"","经营性")</f>
        <v>经营性</v>
      </c>
      <c r="C6" s="157" t="s">
        <v>851</v>
      </c>
      <c r="D6" s="1892">
        <f>SUMIF(项目基本情况!C$15:I$15,C6,项目基本情况!C$18:I$18)</f>
        <v>70</v>
      </c>
      <c r="E6" s="1893">
        <f>IF(B6="","",SUMIF(项目基本情况!C$15:I$15,C6,项目基本情况!C$17:I$17))</f>
        <v>71271</v>
      </c>
      <c r="F6" s="158">
        <f>SUMIF(项目基本情况!C$15:I$15,C6,项目基本情况!C$19:I$19)</f>
        <v>69.81</v>
      </c>
      <c r="G6" s="159">
        <f t="shared" ref="G6:G13" si="0">IF(ISERROR(ROUND(POWER(1+H6,D6-F6)*(POWER(1+H6,F6)-1)/(POWER(1+H6,D6)-1),3)),0,ROUND(POWER(1+H6,D6-F6)*(POWER(1+H6,F6)-1)/(POWER(1+H6,D6)-1),3))</f>
        <v>0.999</v>
      </c>
      <c r="H6" s="2308">
        <v>0.04</v>
      </c>
      <c r="I6" s="2308">
        <v>4.4999999999999998E-2</v>
      </c>
      <c r="J6" s="160">
        <v>7.0000000000000007E-2</v>
      </c>
      <c r="K6" s="163">
        <f>SUMIF('数据-汇总表'!C$19:C$33,'数据-取费表'!A6,'数据-汇总表'!E$19:E$33)</f>
        <v>91399.81</v>
      </c>
      <c r="L6" s="3831">
        <v>6500</v>
      </c>
      <c r="M6" s="161">
        <f t="shared" ref="M6:M14" si="1">ROUND(K6*L6/10000,0)</f>
        <v>59410</v>
      </c>
      <c r="N6" s="2310">
        <v>0</v>
      </c>
      <c r="O6" s="161">
        <f>IF($N$5="成新度","——",ROUND(M6*N6,0))</f>
        <v>0</v>
      </c>
      <c r="P6" s="162">
        <f>IF($N$5="成新度","——",M6-O6)</f>
        <v>59410</v>
      </c>
      <c r="Q6" s="2311">
        <v>0.2</v>
      </c>
      <c r="R6" s="163">
        <f>SUMIF('数据-汇总表'!C$19:C$33,A6,'数据-汇总表'!R$19:R$33)</f>
        <v>30200.329999999998</v>
      </c>
      <c r="S6" s="122">
        <f>IF('数据-汇总表'!$I$17="按面积比例",SUMIF('数据-汇总表'!C$19:C$33,A6,'数据-汇总表'!K$19:K$33),SUMIF('数据-汇总表'!C$19:C$33,A6,'数据-汇总表'!N$19:N$33))</f>
        <v>6827.9</v>
      </c>
      <c r="T6" s="1824">
        <f>IF($T$4="按面积比例",IF(ISERROR(ROUND($M$14*S6/S$16,0)),"0",ROUND($M$14*S6/S$16,0)),"需自行计算录入")</f>
        <v>3414</v>
      </c>
      <c r="U6" s="164"/>
      <c r="V6" s="165"/>
      <c r="W6" s="165"/>
      <c r="X6" s="1905"/>
      <c r="Y6" s="166"/>
      <c r="Z6" s="167"/>
      <c r="AA6" s="160"/>
      <c r="AB6" s="160"/>
      <c r="AC6" s="1908"/>
      <c r="AD6" s="168"/>
      <c r="AE6" s="886">
        <f ca="1">IF(AN6="",0,SUMIF(INDIRECT("'"&amp;AN6&amp;"'"&amp;"!E:E"),$AE$5,INDIRECT("'"&amp;AN6&amp;"'"&amp;"!F:F")))</f>
        <v>0</v>
      </c>
      <c r="AF6" s="127"/>
      <c r="AG6" s="1052">
        <f>IF(AF6="",0,AE6-AF6)</f>
        <v>0</v>
      </c>
      <c r="AH6" s="127"/>
      <c r="AI6" s="171"/>
      <c r="AJ6" s="127"/>
      <c r="AK6" s="172"/>
      <c r="AL6" s="173"/>
      <c r="AM6" s="2319"/>
      <c r="AN6" s="1123"/>
      <c r="AO6" s="2607"/>
      <c r="AP6" s="96">
        <f>ROUND(1-1/(1+H6)^F6,3)</f>
        <v>0.93500000000000005</v>
      </c>
      <c r="AQ6" s="2607"/>
      <c r="AR6" s="2607"/>
      <c r="AS6" s="2607"/>
      <c r="AT6" s="2607"/>
      <c r="AU6" s="2607"/>
      <c r="AV6" s="2607"/>
      <c r="AW6" s="2607"/>
      <c r="AX6" s="2607"/>
      <c r="AY6" s="2607"/>
      <c r="AZ6" s="2607"/>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5" customFormat="1" ht="14.25">
      <c r="A7" s="1886" t="str">
        <f>'数据-汇总表'!C20</f>
        <v>地下车库</v>
      </c>
      <c r="B7" s="1921" t="str">
        <f t="shared" ref="B7:B13" si="2">IF(A7=0,"","经营性")</f>
        <v>经营性</v>
      </c>
      <c r="C7" s="157" t="s">
        <v>2721</v>
      </c>
      <c r="D7" s="1892">
        <f>SUMIF(项目基本情况!C$15:I$15,C7,项目基本情况!C$18:I$18)</f>
        <v>50</v>
      </c>
      <c r="E7" s="1893">
        <f>IF(B7="","",SUMIF(项目基本情况!C$15:I$15,C7,项目基本情况!C$17:I$17))</f>
        <v>63966</v>
      </c>
      <c r="F7" s="158">
        <f>SUMIF(项目基本情况!C$15:I$15,C7,项目基本情况!C$19:I$19)</f>
        <v>49.8</v>
      </c>
      <c r="G7" s="159">
        <f t="shared" si="0"/>
        <v>0.999</v>
      </c>
      <c r="H7" s="2308">
        <v>4.4999999999999998E-2</v>
      </c>
      <c r="I7" s="2308">
        <v>0.05</v>
      </c>
      <c r="J7" s="160">
        <f>J6</f>
        <v>7.0000000000000007E-2</v>
      </c>
      <c r="K7" s="163">
        <f>SUMIF('数据-汇总表'!C$19:C$33,'数据-取费表'!A7,'数据-汇总表'!E$19:E$33)</f>
        <v>18058.14</v>
      </c>
      <c r="L7" s="2309">
        <v>5000</v>
      </c>
      <c r="M7" s="161">
        <f t="shared" si="1"/>
        <v>9029</v>
      </c>
      <c r="N7" s="2310">
        <f>N6</f>
        <v>0</v>
      </c>
      <c r="O7" s="161">
        <f t="shared" ref="O7:O14" si="3">IF($N$5="成新度","——",ROUND(M7*N7,0))</f>
        <v>0</v>
      </c>
      <c r="P7" s="162">
        <f t="shared" ref="P7:P14" si="4">IF($N$5="成新度","——",M7-O7)</f>
        <v>9029</v>
      </c>
      <c r="Q7" s="2311">
        <v>0.05</v>
      </c>
      <c r="R7" s="163">
        <f>SUMIF('数据-汇总表'!C$19:C$33,A7,'数据-汇总表'!R$19:R$33)</f>
        <v>5849.57</v>
      </c>
      <c r="S7" s="122">
        <f>IF('数据-汇总表'!$I$17="按面积比例",SUMIF('数据-汇总表'!C$19:C$33,A7,'数据-汇总表'!K$19:K$33),SUMIF('数据-汇总表'!C$19:C$33,A7,'数据-汇总表'!N$19:N$33))</f>
        <v>1349.01</v>
      </c>
      <c r="T7" s="1824">
        <f t="shared" ref="T7:T13" si="5">IF($T$4="按面积比例",IF(ISERROR(ROUND($M$14*S7/S$16,0)),"0",ROUND($M$14*S7/S$16,0)),"需自行计算录入")</f>
        <v>675</v>
      </c>
      <c r="U7" s="164"/>
      <c r="V7" s="165"/>
      <c r="W7" s="165"/>
      <c r="X7" s="1905"/>
      <c r="Y7" s="166"/>
      <c r="Z7" s="167"/>
      <c r="AA7" s="160"/>
      <c r="AB7" s="160"/>
      <c r="AC7" s="1908"/>
      <c r="AD7" s="168"/>
      <c r="AE7" s="886">
        <f t="shared" ref="AE7:AE13" ca="1" si="6">IF(AN7="",0,SUMIF(INDIRECT("'"&amp;AN7&amp;"'"&amp;"!E:E"),$AE$5,INDIRECT("'"&amp;AN7&amp;"'"&amp;"!F:F")))</f>
        <v>0</v>
      </c>
      <c r="AF7" s="127"/>
      <c r="AG7" s="1052">
        <f t="shared" ref="AG7:AG13" si="7">IF(AF7="",0,AE7-AF7)</f>
        <v>0</v>
      </c>
      <c r="AH7" s="127"/>
      <c r="AI7" s="171"/>
      <c r="AJ7" s="127"/>
      <c r="AK7" s="172"/>
      <c r="AL7" s="173"/>
      <c r="AM7" s="2319"/>
      <c r="AN7" s="1123"/>
      <c r="AO7" s="2607"/>
      <c r="AP7" s="96">
        <f t="shared" ref="AP7:AP13" si="8">ROUND(1-1/(1+H7)^F7,3)</f>
        <v>0.88800000000000001</v>
      </c>
      <c r="AQ7" s="2607"/>
      <c r="AR7" s="2607"/>
      <c r="AS7" s="2607"/>
      <c r="AT7" s="2607"/>
      <c r="AU7" s="2607"/>
      <c r="AV7" s="2607"/>
      <c r="AW7" s="2607"/>
      <c r="AX7" s="2607"/>
      <c r="AY7" s="2607"/>
      <c r="AZ7" s="2607"/>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5" customFormat="1" ht="14.25">
      <c r="A8" s="1886" t="str">
        <f>'数据-汇总表'!C21</f>
        <v>库房</v>
      </c>
      <c r="B8" s="1921" t="str">
        <f t="shared" si="2"/>
        <v>经营性</v>
      </c>
      <c r="C8" s="157" t="s">
        <v>2722</v>
      </c>
      <c r="D8" s="1892">
        <f>SUMIF(项目基本情况!C$15:I$15,C8,项目基本情况!C$18:I$18)</f>
        <v>50</v>
      </c>
      <c r="E8" s="1893">
        <f>IF(B8="","",SUMIF(项目基本情况!C$15:I$15,C8,项目基本情况!C$17:I$17))</f>
        <v>63966</v>
      </c>
      <c r="F8" s="158">
        <f>SUMIF(项目基本情况!C$15:I$15,C8,项目基本情况!C$19:I$19)</f>
        <v>49.8</v>
      </c>
      <c r="G8" s="159">
        <f t="shared" si="0"/>
        <v>0.999</v>
      </c>
      <c r="H8" s="2308">
        <f>H7</f>
        <v>4.4999999999999998E-2</v>
      </c>
      <c r="I8" s="2308">
        <f>I7</f>
        <v>0.05</v>
      </c>
      <c r="J8" s="160">
        <f>J7</f>
        <v>7.0000000000000007E-2</v>
      </c>
      <c r="K8" s="163">
        <f>SUMIF('数据-汇总表'!C$19:C$33,'数据-取费表'!A8,'数据-汇总表'!E$19:E$33)</f>
        <v>1406.86</v>
      </c>
      <c r="L8" s="2309">
        <f>L7</f>
        <v>5000</v>
      </c>
      <c r="M8" s="161">
        <f>ROUND(K8*L8/10000,0)</f>
        <v>703</v>
      </c>
      <c r="N8" s="2310">
        <f>N7</f>
        <v>0</v>
      </c>
      <c r="O8" s="161">
        <f t="shared" si="3"/>
        <v>0</v>
      </c>
      <c r="P8" s="162">
        <f t="shared" si="4"/>
        <v>703</v>
      </c>
      <c r="Q8" s="2311">
        <v>0.05</v>
      </c>
      <c r="R8" s="163">
        <f>SUMIF('数据-汇总表'!C$19:C$33,A8,'数据-汇总表'!R$19:R$33)</f>
        <v>455.73</v>
      </c>
      <c r="S8" s="122">
        <f>IF('数据-汇总表'!$I$17="按面积比例",SUMIF('数据-汇总表'!C$19:C$33,A8,'数据-汇总表'!K$19:K$33),SUMIF('数据-汇总表'!C$19:C$33,A8,'数据-汇总表'!N$19:N$33))</f>
        <v>105.1</v>
      </c>
      <c r="T8" s="1824">
        <f t="shared" si="5"/>
        <v>53</v>
      </c>
      <c r="U8" s="164">
        <v>1.5</v>
      </c>
      <c r="V8" s="165">
        <v>0.02</v>
      </c>
      <c r="W8" s="165">
        <v>0.1</v>
      </c>
      <c r="X8" s="1905"/>
      <c r="Y8" s="166">
        <v>1</v>
      </c>
      <c r="Z8" s="167"/>
      <c r="AA8" s="160"/>
      <c r="AB8" s="160"/>
      <c r="AC8" s="1908"/>
      <c r="AD8" s="168"/>
      <c r="AE8" s="886">
        <f t="shared" ca="1" si="6"/>
        <v>46.8</v>
      </c>
      <c r="AF8" s="127"/>
      <c r="AG8" s="1052">
        <f t="shared" si="7"/>
        <v>0</v>
      </c>
      <c r="AH8" s="127"/>
      <c r="AI8" s="171">
        <v>365</v>
      </c>
      <c r="AJ8" s="127"/>
      <c r="AK8" s="172">
        <v>2E-3</v>
      </c>
      <c r="AL8" s="173">
        <v>1E-3</v>
      </c>
      <c r="AM8" s="2319">
        <v>5.0000000000000001E-3</v>
      </c>
      <c r="AN8" s="1123" t="s">
        <v>3705</v>
      </c>
      <c r="AO8" s="2607"/>
      <c r="AP8" s="96">
        <f t="shared" si="8"/>
        <v>0.88800000000000001</v>
      </c>
      <c r="AQ8" s="2607"/>
      <c r="AR8" s="2607"/>
      <c r="AS8" s="2607"/>
      <c r="AT8" s="2607"/>
      <c r="AU8" s="2607"/>
      <c r="AV8" s="2607"/>
      <c r="AW8" s="2607"/>
      <c r="AX8" s="2607"/>
      <c r="AY8" s="2607"/>
      <c r="AZ8" s="2607"/>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5" customFormat="1" ht="14.25">
      <c r="A9" s="1886" t="str">
        <f>'数据-汇总表'!C22</f>
        <v>商业</v>
      </c>
      <c r="B9" s="1921" t="str">
        <f t="shared" si="2"/>
        <v>经营性</v>
      </c>
      <c r="C9" s="157" t="s">
        <v>2720</v>
      </c>
      <c r="D9" s="1892">
        <f>SUMIF(项目基本情况!C$15:I$15,C9,项目基本情况!C$18:I$18)</f>
        <v>40</v>
      </c>
      <c r="E9" s="1893">
        <f>IF(B9="","",SUMIF(项目基本情况!C$15:I$15,C9,项目基本情况!C$17:I$17))</f>
        <v>60314</v>
      </c>
      <c r="F9" s="158">
        <f>SUMIF(项目基本情况!C$15:I$15,C9,项目基本情况!C$19:I$19)</f>
        <v>39.79</v>
      </c>
      <c r="G9" s="159">
        <f t="shared" si="0"/>
        <v>0.998</v>
      </c>
      <c r="H9" s="160">
        <v>0.05</v>
      </c>
      <c r="I9" s="160">
        <v>5.5E-2</v>
      </c>
      <c r="J9" s="160">
        <v>7.0000000000000007E-2</v>
      </c>
      <c r="K9" s="163">
        <f>SUMIF('数据-汇总表'!C$19:C$33,'数据-取费表'!A9,'数据-汇总表'!E$19:E$33)</f>
        <v>1039.3599999999999</v>
      </c>
      <c r="L9" s="2309">
        <f>L7</f>
        <v>5000</v>
      </c>
      <c r="M9" s="161">
        <f t="shared" si="1"/>
        <v>520</v>
      </c>
      <c r="N9" s="2310">
        <v>0</v>
      </c>
      <c r="O9" s="161">
        <f t="shared" si="3"/>
        <v>0</v>
      </c>
      <c r="P9" s="162">
        <f t="shared" si="4"/>
        <v>520</v>
      </c>
      <c r="Q9" s="175">
        <v>0.1</v>
      </c>
      <c r="R9" s="163">
        <f>SUMIF('数据-汇总表'!C$19:C$33,A9,'数据-汇总表'!R$19:R$33)</f>
        <v>336.67999999999995</v>
      </c>
      <c r="S9" s="122">
        <f>IF('数据-汇总表'!$I$17="按面积比例",SUMIF('数据-汇总表'!C$19:C$33,A9,'数据-汇总表'!K$19:K$33),SUMIF('数据-汇总表'!C$19:C$33,A9,'数据-汇总表'!N$19:N$33))</f>
        <v>77.64</v>
      </c>
      <c r="T9" s="1824">
        <f t="shared" si="5"/>
        <v>39</v>
      </c>
      <c r="U9" s="164"/>
      <c r="V9" s="165"/>
      <c r="W9" s="165"/>
      <c r="X9" s="1905"/>
      <c r="Y9" s="166"/>
      <c r="Z9" s="167"/>
      <c r="AA9" s="160"/>
      <c r="AB9" s="160"/>
      <c r="AC9" s="1908"/>
      <c r="AD9" s="168"/>
      <c r="AE9" s="886">
        <f t="shared" ca="1" si="6"/>
        <v>0</v>
      </c>
      <c r="AF9" s="127"/>
      <c r="AG9" s="1052">
        <f t="shared" si="7"/>
        <v>0</v>
      </c>
      <c r="AH9" s="127"/>
      <c r="AI9" s="171"/>
      <c r="AJ9" s="127"/>
      <c r="AK9" s="172"/>
      <c r="AL9" s="173"/>
      <c r="AM9" s="2319"/>
      <c r="AN9" s="1123"/>
      <c r="AO9" s="2607"/>
      <c r="AP9" s="96">
        <f t="shared" si="8"/>
        <v>0.85599999999999998</v>
      </c>
      <c r="AQ9" s="2607"/>
      <c r="AR9" s="2607"/>
      <c r="AS9" s="2607"/>
      <c r="AT9" s="2607"/>
      <c r="AU9" s="2607"/>
      <c r="AV9" s="2607"/>
      <c r="AW9" s="2607"/>
      <c r="AX9" s="2607"/>
      <c r="AY9" s="2607"/>
      <c r="AZ9" s="2607"/>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5" customFormat="1" ht="14.25">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6">
        <f t="shared" ca="1" si="6"/>
        <v>0</v>
      </c>
      <c r="AF10" s="127"/>
      <c r="AG10" s="1052">
        <f t="shared" si="7"/>
        <v>0</v>
      </c>
      <c r="AH10" s="127"/>
      <c r="AI10" s="171"/>
      <c r="AJ10" s="127"/>
      <c r="AK10" s="172"/>
      <c r="AL10" s="173"/>
      <c r="AM10" s="2319"/>
      <c r="AN10" s="1123"/>
      <c r="AO10" s="2607"/>
      <c r="AP10" s="96">
        <f t="shared" si="8"/>
        <v>0</v>
      </c>
      <c r="AQ10" s="2607"/>
      <c r="AR10" s="2607"/>
      <c r="AS10" s="2607"/>
      <c r="AT10" s="2607"/>
      <c r="AU10" s="2607"/>
      <c r="AV10" s="2607"/>
      <c r="AW10" s="2607"/>
      <c r="AX10" s="2607"/>
      <c r="AY10" s="2607"/>
      <c r="AZ10" s="2607"/>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5" customFormat="1" ht="14.25">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6">
        <f t="shared" ca="1" si="6"/>
        <v>0</v>
      </c>
      <c r="AF11" s="127"/>
      <c r="AG11" s="1052">
        <f t="shared" si="7"/>
        <v>0</v>
      </c>
      <c r="AH11" s="127"/>
      <c r="AI11" s="171"/>
      <c r="AJ11" s="127"/>
      <c r="AK11" s="172"/>
      <c r="AL11" s="173"/>
      <c r="AM11" s="2319"/>
      <c r="AN11" s="1123"/>
      <c r="AO11" s="2607"/>
      <c r="AP11" s="96">
        <f t="shared" si="8"/>
        <v>0</v>
      </c>
      <c r="AQ11" s="2607"/>
      <c r="AR11" s="2607"/>
      <c r="AS11" s="2607"/>
      <c r="AT11" s="2607"/>
      <c r="AU11" s="2607"/>
      <c r="AV11" s="2607"/>
      <c r="AW11" s="2607"/>
      <c r="AX11" s="2607"/>
      <c r="AY11" s="2607"/>
      <c r="AZ11" s="2607"/>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5" customFormat="1" ht="14.25">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6">
        <f t="shared" ca="1" si="6"/>
        <v>0</v>
      </c>
      <c r="AF12" s="127"/>
      <c r="AG12" s="1052">
        <f t="shared" si="7"/>
        <v>0</v>
      </c>
      <c r="AH12" s="127"/>
      <c r="AI12" s="171"/>
      <c r="AJ12" s="127"/>
      <c r="AK12" s="172"/>
      <c r="AL12" s="173"/>
      <c r="AM12" s="2319"/>
      <c r="AN12" s="1123"/>
      <c r="AO12" s="2607"/>
      <c r="AP12" s="96">
        <f t="shared" si="8"/>
        <v>0</v>
      </c>
      <c r="AQ12" s="2607"/>
      <c r="AR12" s="2607"/>
      <c r="AS12" s="2607"/>
      <c r="AT12" s="2607"/>
      <c r="AU12" s="2607"/>
      <c r="AV12" s="2607"/>
      <c r="AW12" s="2607"/>
      <c r="AX12" s="2607"/>
      <c r="AY12" s="2607"/>
      <c r="AZ12" s="2607"/>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5" customFormat="1" ht="14.25">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6">
        <f t="shared" ca="1" si="6"/>
        <v>0</v>
      </c>
      <c r="AF13" s="127"/>
      <c r="AG13" s="1052">
        <f t="shared" si="7"/>
        <v>0</v>
      </c>
      <c r="AH13" s="127"/>
      <c r="AI13" s="171"/>
      <c r="AJ13" s="127"/>
      <c r="AK13" s="172"/>
      <c r="AL13" s="173"/>
      <c r="AM13" s="1946"/>
      <c r="AN13" s="1123"/>
      <c r="AO13" s="2607"/>
      <c r="AP13" s="96">
        <f t="shared" si="8"/>
        <v>0</v>
      </c>
      <c r="AQ13" s="2607"/>
      <c r="AR13" s="2607"/>
      <c r="AS13" s="2607"/>
      <c r="AT13" s="2607"/>
      <c r="AU13" s="2607"/>
      <c r="AV13" s="2607"/>
      <c r="AW13" s="2607"/>
      <c r="AX13" s="2607"/>
      <c r="AY13" s="2607"/>
      <c r="AZ13" s="2607"/>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5" customFormat="1" ht="14.25">
      <c r="A14" s="1887" t="s">
        <v>1668</v>
      </c>
      <c r="B14" s="1890" t="s">
        <v>1213</v>
      </c>
      <c r="C14" s="1891" t="s">
        <v>1668</v>
      </c>
      <c r="D14" s="1892"/>
      <c r="E14" s="1893"/>
      <c r="F14" s="158"/>
      <c r="G14" s="159"/>
      <c r="H14" s="1894"/>
      <c r="I14" s="1894"/>
      <c r="J14" s="1894"/>
      <c r="K14" s="163">
        <f>SUMIF('数据-汇总表'!C$19:C$33,'数据-取费表'!A14,'数据-汇总表'!E$19:E$33)</f>
        <v>8359.65</v>
      </c>
      <c r="L14" s="176">
        <f>L8</f>
        <v>5000</v>
      </c>
      <c r="M14" s="161">
        <f t="shared" si="1"/>
        <v>4180</v>
      </c>
      <c r="N14" s="177">
        <f>N7</f>
        <v>0</v>
      </c>
      <c r="O14" s="161">
        <f t="shared" si="3"/>
        <v>0</v>
      </c>
      <c r="P14" s="162">
        <f t="shared" si="4"/>
        <v>4180</v>
      </c>
      <c r="Q14" s="1902"/>
      <c r="R14" s="163"/>
      <c r="S14" s="122"/>
      <c r="T14" s="1901"/>
      <c r="U14" s="888"/>
      <c r="V14" s="1904"/>
      <c r="W14" s="1904"/>
      <c r="X14" s="1905"/>
      <c r="Y14" s="1906"/>
      <c r="Z14" s="125"/>
      <c r="AA14" s="1907"/>
      <c r="AB14" s="1907"/>
      <c r="AC14" s="1908"/>
      <c r="AD14" s="1905"/>
      <c r="AE14" s="886"/>
      <c r="AF14" s="995"/>
      <c r="AG14" s="1052"/>
      <c r="AH14" s="995"/>
      <c r="AI14" s="995"/>
      <c r="AJ14" s="995"/>
      <c r="AK14" s="1909"/>
      <c r="AL14" s="1910"/>
      <c r="AM14" s="1911"/>
      <c r="AN14" s="2607"/>
      <c r="AO14" s="2607"/>
      <c r="AP14" s="2607"/>
      <c r="AQ14" s="2607"/>
      <c r="AR14" s="2607"/>
      <c r="AS14" s="2607"/>
      <c r="AT14" s="2607"/>
      <c r="AU14" s="2607"/>
      <c r="AV14" s="2607"/>
      <c r="AW14" s="2607"/>
      <c r="AX14" s="2607"/>
      <c r="AY14" s="2607"/>
      <c r="AZ14" s="2607"/>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5" customFormat="1" ht="27">
      <c r="A15" s="1896" t="s">
        <v>1670</v>
      </c>
      <c r="B15" s="1890" t="s">
        <v>1213</v>
      </c>
      <c r="C15" s="1891" t="s">
        <v>1669</v>
      </c>
      <c r="D15" s="1892"/>
      <c r="E15" s="1893"/>
      <c r="F15" s="158"/>
      <c r="G15" s="159"/>
      <c r="H15" s="1894"/>
      <c r="I15" s="1894"/>
      <c r="J15" s="1894"/>
      <c r="K15" s="163">
        <f>SUMIF('数据-汇总表'!C$19:C$33,'数据-取费表'!A15,'数据-汇总表'!E$19:E$33)</f>
        <v>1968.09</v>
      </c>
      <c r="L15" s="1900"/>
      <c r="M15" s="161"/>
      <c r="N15" s="1903"/>
      <c r="O15" s="161"/>
      <c r="P15" s="162"/>
      <c r="Q15" s="1902"/>
      <c r="R15" s="163"/>
      <c r="S15" s="122"/>
      <c r="T15" s="1901"/>
      <c r="U15" s="888"/>
      <c r="V15" s="1904"/>
      <c r="W15" s="1904"/>
      <c r="X15" s="1905"/>
      <c r="Y15" s="1906"/>
      <c r="Z15" s="125"/>
      <c r="AA15" s="1907"/>
      <c r="AB15" s="1907"/>
      <c r="AC15" s="1908"/>
      <c r="AD15" s="1905"/>
      <c r="AE15" s="886"/>
      <c r="AF15" s="995"/>
      <c r="AG15" s="1052"/>
      <c r="AH15" s="995"/>
      <c r="AI15" s="995"/>
      <c r="AJ15" s="995"/>
      <c r="AK15" s="1909"/>
      <c r="AL15" s="1910"/>
      <c r="AM15" s="1911"/>
      <c r="AN15" s="2607"/>
      <c r="AO15" s="2607"/>
      <c r="AP15" s="2607"/>
      <c r="AQ15" s="2607"/>
      <c r="AR15" s="2607"/>
      <c r="AS15" s="2607"/>
      <c r="AT15" s="2607"/>
      <c r="AU15" s="2607"/>
      <c r="AV15" s="2607"/>
      <c r="AW15" s="2607"/>
      <c r="AX15" s="2607"/>
      <c r="AY15" s="2607"/>
      <c r="AZ15" s="2607"/>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5" customFormat="1" ht="15.7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6140</v>
      </c>
      <c r="M16" s="187">
        <f>SUM(M6:M14)</f>
        <v>73842</v>
      </c>
      <c r="N16" s="188">
        <f>ROUND(SUMPRODUCT(M6:M14,N6:N14)/M16,3)</f>
        <v>0</v>
      </c>
      <c r="O16" s="187">
        <f>SUM(O6:O14)</f>
        <v>0</v>
      </c>
      <c r="P16" s="187">
        <f>SUM(P6:P14)</f>
        <v>73842</v>
      </c>
      <c r="Q16" s="189">
        <f>ROUND(SUMPRODUCT(Q6:Q13,K6:K13)/SUMPRODUCT((Q6:Q13&gt;0)*(K6:K13)),2)</f>
        <v>0.17</v>
      </c>
      <c r="R16" s="1895">
        <f>SUM(R6:R13)</f>
        <v>36842.31</v>
      </c>
      <c r="S16" s="190">
        <f>SUM(S6:S13)</f>
        <v>8359.65</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07"/>
      <c r="AO16" s="2607"/>
      <c r="AP16" s="96">
        <f>ROUND(SUMPRODUCT(AP6:AP13,K6:K13)/SUMPRODUCT((AP6:AP13&gt;0)*(K6:K13)),3)</f>
        <v>0.92600000000000005</v>
      </c>
      <c r="AQ16" s="2607"/>
      <c r="AR16" s="2607"/>
      <c r="AS16" s="2607"/>
      <c r="AT16" s="2607"/>
      <c r="AU16" s="2607"/>
      <c r="AV16" s="2607"/>
      <c r="AW16" s="2607"/>
      <c r="AX16" s="2607"/>
      <c r="AY16" s="2607"/>
      <c r="AZ16" s="2607"/>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5" thickBot="1">
      <c r="A17" s="1053"/>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25">
      <c r="A19" s="198" t="s">
        <v>230</v>
      </c>
      <c r="B19" s="199">
        <v>0</v>
      </c>
      <c r="C19" s="2626" t="s">
        <v>2254</v>
      </c>
      <c r="D19" s="2616"/>
      <c r="E19" s="2607"/>
      <c r="F19" s="2607"/>
      <c r="G19" s="2607"/>
      <c r="H19" s="2607"/>
      <c r="I19" s="2607"/>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25">
      <c r="A20" s="200" t="s">
        <v>231</v>
      </c>
      <c r="B20" s="201">
        <v>3</v>
      </c>
      <c r="C20" s="2626" t="s">
        <v>1687</v>
      </c>
      <c r="D20" s="2616"/>
      <c r="E20" s="2607"/>
      <c r="F20" s="2607"/>
      <c r="G20" s="2607"/>
      <c r="H20" s="2607"/>
      <c r="I20" s="2607"/>
      <c r="J20" s="2613"/>
      <c r="K20" s="2613"/>
      <c r="L20" s="2613"/>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25">
      <c r="A21" s="202" t="s">
        <v>232</v>
      </c>
      <c r="B21" s="201">
        <v>0</v>
      </c>
      <c r="C21" s="2607"/>
      <c r="D21" s="2616"/>
      <c r="E21" s="2607"/>
      <c r="F21" s="2607"/>
      <c r="G21" s="2607"/>
      <c r="H21" s="2607"/>
      <c r="I21" s="2607"/>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25">
      <c r="A22" s="200" t="s">
        <v>233</v>
      </c>
      <c r="B22" s="203">
        <f>B19+B20</f>
        <v>3</v>
      </c>
      <c r="C22" s="2607"/>
      <c r="D22" s="2616"/>
      <c r="E22" s="2607"/>
      <c r="F22" s="2607"/>
      <c r="G22" s="2607"/>
      <c r="H22" s="2607"/>
      <c r="I22" s="2607"/>
      <c r="J22" s="2613"/>
      <c r="K22" s="2613"/>
      <c r="L22" s="2613"/>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25">
      <c r="A23" s="202" t="s">
        <v>234</v>
      </c>
      <c r="B23" s="203">
        <f>B19+B21</f>
        <v>0</v>
      </c>
      <c r="C23" s="2607"/>
      <c r="D23" s="2616"/>
      <c r="E23" s="2607"/>
      <c r="F23" s="2607"/>
      <c r="G23" s="2607"/>
      <c r="H23" s="2607"/>
      <c r="I23" s="2607"/>
      <c r="J23" s="2613"/>
      <c r="K23" s="2613"/>
      <c r="L23" s="2613"/>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4" t="s">
        <v>235</v>
      </c>
      <c r="B24" s="205">
        <f>B20-B21</f>
        <v>3</v>
      </c>
      <c r="C24" s="2607"/>
      <c r="D24" s="2616"/>
      <c r="E24" s="2607"/>
      <c r="F24" s="2607"/>
      <c r="G24" s="2607"/>
      <c r="H24" s="2607"/>
      <c r="I24" s="2607"/>
      <c r="J24" s="2613"/>
      <c r="K24" s="2613"/>
      <c r="L24" s="2613"/>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5" thickBot="1">
      <c r="A25" s="1046"/>
      <c r="B25" s="96"/>
      <c r="C25" s="2607"/>
      <c r="D25" s="2616"/>
      <c r="E25" s="2607"/>
      <c r="F25" s="2607"/>
      <c r="G25" s="2607"/>
      <c r="H25" s="2607"/>
      <c r="I25" s="2607"/>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6" t="s">
        <v>237</v>
      </c>
      <c r="C26" s="2617" t="s">
        <v>238</v>
      </c>
      <c r="D26" s="2616"/>
      <c r="E26" s="2607"/>
      <c r="F26" s="2607"/>
      <c r="G26" s="2607"/>
      <c r="H26" s="2607"/>
      <c r="I26" s="2607"/>
      <c r="J26" s="2613"/>
      <c r="K26" s="2613"/>
      <c r="L26" s="2613"/>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7.75">
      <c r="A27" s="207" t="s">
        <v>1689</v>
      </c>
      <c r="B27" s="208">
        <v>160</v>
      </c>
      <c r="C27" s="2627" t="s">
        <v>2255</v>
      </c>
      <c r="D27" s="2619"/>
      <c r="E27" s="2620"/>
      <c r="F27" s="2620"/>
      <c r="G27" s="2607"/>
      <c r="H27" s="2607"/>
      <c r="I27" s="2607"/>
      <c r="J27" s="2613"/>
      <c r="K27" s="2613"/>
      <c r="L27" s="2613"/>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7.75">
      <c r="A28" s="209" t="s">
        <v>1690</v>
      </c>
      <c r="B28" s="210">
        <v>200</v>
      </c>
      <c r="C28" s="2621"/>
      <c r="D28" s="2619"/>
      <c r="E28" s="2620"/>
      <c r="F28" s="2620"/>
      <c r="G28" s="2607"/>
      <c r="H28" s="2607"/>
      <c r="I28" s="2607"/>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8.5" thickBot="1">
      <c r="A29" s="212" t="s">
        <v>1688</v>
      </c>
      <c r="B29" s="213"/>
      <c r="C29" s="2628" t="s">
        <v>1691</v>
      </c>
      <c r="D29" s="2619"/>
      <c r="E29" s="2620"/>
      <c r="F29" s="2620"/>
      <c r="G29" s="2607"/>
      <c r="H29" s="2607"/>
      <c r="I29" s="2607"/>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7">
      <c r="A30" s="216" t="s">
        <v>239</v>
      </c>
      <c r="B30" s="892">
        <v>200</v>
      </c>
      <c r="C30" s="2621"/>
      <c r="D30" s="2619"/>
      <c r="E30" s="2620"/>
      <c r="F30" s="2620"/>
      <c r="G30" s="2607"/>
      <c r="H30" s="2607"/>
      <c r="I30" s="2607"/>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7">
      <c r="A31" s="209" t="s">
        <v>240</v>
      </c>
      <c r="B31" s="211">
        <f>B30-B32</f>
        <v>170</v>
      </c>
      <c r="C31" s="2618"/>
      <c r="D31" s="2619"/>
      <c r="E31" s="2620"/>
      <c r="F31" s="2620"/>
      <c r="G31" s="2607"/>
      <c r="H31" s="2607"/>
      <c r="I31" s="2607"/>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7.75" thickBot="1">
      <c r="A32" s="218" t="s">
        <v>241</v>
      </c>
      <c r="B32" s="3832">
        <v>30</v>
      </c>
      <c r="C32" s="2621"/>
      <c r="D32" s="2616"/>
      <c r="E32" s="2607"/>
      <c r="F32" s="2607"/>
      <c r="G32" s="2607"/>
      <c r="H32" s="2607"/>
      <c r="I32" s="2607"/>
      <c r="J32" s="2613"/>
      <c r="K32" s="2613"/>
      <c r="L32" s="2613"/>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25">
      <c r="A33" s="207" t="s">
        <v>244</v>
      </c>
      <c r="B33" s="1167">
        <v>7.0000000000000007E-2</v>
      </c>
      <c r="C33" s="2629" t="s">
        <v>3250</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25">
      <c r="A34" s="209" t="s">
        <v>245</v>
      </c>
      <c r="B34" s="214">
        <v>0.1</v>
      </c>
      <c r="C34" s="2629" t="s">
        <v>2247</v>
      </c>
      <c r="D34" s="2630" t="s">
        <v>2252</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25">
      <c r="A35" s="209" t="s">
        <v>242</v>
      </c>
      <c r="B35" s="210">
        <f>B30</f>
        <v>200</v>
      </c>
      <c r="C35" s="2629" t="s">
        <v>2248</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2" t="s">
        <v>243</v>
      </c>
      <c r="B36" s="215">
        <v>0.02</v>
      </c>
      <c r="C36" s="2629" t="s">
        <v>3293</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25">
      <c r="A37" s="216" t="s">
        <v>246</v>
      </c>
      <c r="B37" s="217">
        <v>0.02</v>
      </c>
      <c r="C37" s="2629" t="s">
        <v>3251</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25">
      <c r="A38" s="209" t="s">
        <v>247</v>
      </c>
      <c r="B38" s="214">
        <v>0.03</v>
      </c>
      <c r="C38" s="2629" t="s">
        <v>3252</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25">
      <c r="A39" s="1990" t="s">
        <v>1796</v>
      </c>
      <c r="B39" s="735">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4" t="s">
        <v>2269</v>
      </c>
      <c r="B40" s="1988">
        <f ca="1">IF(A40="利息：取LPR",存贷款利率!E2,存贷款利率!E2+C40)</f>
        <v>3.1E-2</v>
      </c>
      <c r="C40" s="2775">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25">
      <c r="A41" s="207" t="s">
        <v>248</v>
      </c>
      <c r="B41" s="219">
        <f>B42+B43</f>
        <v>5.6000000000000001E-2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25">
      <c r="A42" s="893" t="s">
        <v>249</v>
      </c>
      <c r="B42" s="221">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25">
      <c r="A43" s="893" t="s">
        <v>250</v>
      </c>
      <c r="B43" s="222">
        <f>B42*(B44+B45+B46)+B47</f>
        <v>6.000000000000001E-3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25">
      <c r="A44" s="220" t="s">
        <v>251</v>
      </c>
      <c r="B44" s="223">
        <v>7.0000000000000007E-2</v>
      </c>
      <c r="C44" s="2629" t="s">
        <v>3253</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25">
      <c r="A45" s="220" t="s">
        <v>252</v>
      </c>
      <c r="B45" s="221">
        <v>0.03</v>
      </c>
      <c r="C45" s="2632" t="s">
        <v>2249</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25">
      <c r="A46" s="220" t="s">
        <v>253</v>
      </c>
      <c r="B46" s="221">
        <v>0.02</v>
      </c>
      <c r="C46" s="2632" t="s">
        <v>2250</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4" t="s">
        <v>254</v>
      </c>
      <c r="B47" s="225">
        <v>0</v>
      </c>
      <c r="C47" s="2627" t="s">
        <v>2256</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25">
      <c r="A48" s="226" t="s">
        <v>255</v>
      </c>
      <c r="B48" s="227">
        <v>0.03</v>
      </c>
      <c r="C48" s="2632" t="s">
        <v>2249</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8" t="s">
        <v>256</v>
      </c>
      <c r="B49" s="221">
        <v>5.0000000000000001E-4</v>
      </c>
      <c r="C49" s="2632" t="s">
        <v>2251</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25">
      <c r="A50" s="228" t="s">
        <v>257</v>
      </c>
      <c r="B50" s="229">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2" t="s">
        <v>258</v>
      </c>
      <c r="B51" s="230">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25">
      <c r="A52" s="228" t="s">
        <v>259</v>
      </c>
      <c r="B52" s="231">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7">
      <c r="A53" s="209" t="s">
        <v>260</v>
      </c>
      <c r="B53" s="232" t="s">
        <v>1152</v>
      </c>
      <c r="C53" s="2623" t="s">
        <v>2158</v>
      </c>
      <c r="D53" s="2633" t="s">
        <v>2253</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25">
      <c r="A54" s="2339" t="s">
        <v>2159</v>
      </c>
      <c r="B54" s="170"/>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25">
      <c r="A55" s="2339" t="s">
        <v>2160</v>
      </c>
      <c r="B55" s="170"/>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25">
      <c r="A56" s="2339" t="s">
        <v>2161</v>
      </c>
      <c r="B56" s="170"/>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25">
      <c r="A57" s="2339" t="s">
        <v>2162</v>
      </c>
      <c r="B57" s="170">
        <f>C57</f>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25">
      <c r="A58" s="2339" t="s">
        <v>2163</v>
      </c>
      <c r="B58" s="170">
        <f>C58</f>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25">
      <c r="A59" s="2339" t="s">
        <v>2164</v>
      </c>
      <c r="B59" s="170"/>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25">
      <c r="A60" s="2339" t="s">
        <v>2165</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25">
      <c r="A61" s="2339" t="s">
        <v>2166</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25">
      <c r="A62" s="2339" t="s">
        <v>2167</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2168</v>
      </c>
      <c r="B63" s="233"/>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642"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2" customWidth="1"/>
    <col min="19" max="16384" width="9" style="2642"/>
  </cols>
  <sheetData>
    <row r="1" spans="1:18" s="2636" customFormat="1" ht="19.5" thickBot="1">
      <c r="A1" s="3601" t="s">
        <v>1198</v>
      </c>
      <c r="B1" s="3602"/>
      <c r="C1" s="3602"/>
      <c r="D1" s="3602"/>
      <c r="E1" s="3602"/>
      <c r="F1" s="3602"/>
      <c r="G1" s="3602"/>
      <c r="H1" s="2634"/>
      <c r="I1" s="2634"/>
      <c r="J1" s="2634"/>
      <c r="K1" s="2634"/>
      <c r="L1" s="2634"/>
      <c r="M1" s="2634"/>
      <c r="N1" s="2634"/>
      <c r="O1" s="2634"/>
      <c r="P1" s="2634"/>
      <c r="Q1" s="2635"/>
    </row>
    <row r="2" spans="1:18" ht="14.25" thickBot="1">
      <c r="A2" s="2637"/>
      <c r="B2" s="2638"/>
      <c r="C2" s="2639" t="s">
        <v>1199</v>
      </c>
      <c r="D2" s="2640"/>
      <c r="E2" s="2637"/>
      <c r="F2" s="2641"/>
      <c r="G2" s="2639" t="s">
        <v>1200</v>
      </c>
      <c r="H2" s="2642"/>
      <c r="I2" s="2642"/>
      <c r="J2" s="2642"/>
      <c r="K2" s="2642"/>
      <c r="L2" s="2642"/>
      <c r="M2" s="2642"/>
      <c r="N2" s="2642"/>
      <c r="O2" s="2642"/>
      <c r="P2" s="2642"/>
      <c r="Q2" s="2642"/>
    </row>
    <row r="3" spans="1:18" ht="27">
      <c r="A3" s="2643" t="s">
        <v>1201</v>
      </c>
      <c r="B3" s="2644" t="s">
        <v>1188</v>
      </c>
      <c r="C3" s="3400" t="s">
        <v>3514</v>
      </c>
      <c r="D3" s="2645"/>
      <c r="E3" s="2646" t="s">
        <v>1201</v>
      </c>
      <c r="F3" s="2647" t="s">
        <v>1189</v>
      </c>
      <c r="G3" s="2648"/>
      <c r="H3" s="2642"/>
      <c r="I3" s="2642"/>
      <c r="J3" s="2642"/>
      <c r="K3" s="2642"/>
      <c r="L3" s="2642"/>
      <c r="M3" s="2642"/>
      <c r="N3" s="2642"/>
      <c r="O3" s="2642"/>
      <c r="P3" s="2642"/>
      <c r="Q3" s="2642"/>
    </row>
    <row r="4" spans="1:18" ht="14.25">
      <c r="A4" s="2646"/>
      <c r="B4" s="2649" t="s">
        <v>1202</v>
      </c>
      <c r="C4" s="3401"/>
      <c r="D4" s="2645"/>
      <c r="E4" s="2650"/>
      <c r="F4" s="2651" t="s">
        <v>1203</v>
      </c>
      <c r="G4" s="2652"/>
      <c r="H4" s="2642"/>
      <c r="I4" s="2642"/>
      <c r="J4" s="2642"/>
      <c r="K4" s="2642"/>
      <c r="L4" s="2642"/>
      <c r="M4" s="2642"/>
      <c r="N4" s="2642"/>
      <c r="O4" s="2642"/>
      <c r="P4" s="2642"/>
      <c r="Q4" s="2642"/>
    </row>
    <row r="5" spans="1:18" ht="14.25">
      <c r="A5" s="2646"/>
      <c r="B5" s="2649" t="s">
        <v>1204</v>
      </c>
      <c r="C5" s="3401"/>
      <c r="D5" s="2645"/>
      <c r="E5" s="2650"/>
      <c r="F5" s="2649" t="s">
        <v>1824</v>
      </c>
      <c r="G5" s="2652"/>
      <c r="H5" s="2642"/>
      <c r="I5" s="2642"/>
      <c r="J5" s="2642"/>
      <c r="K5" s="2642"/>
      <c r="L5" s="2642"/>
      <c r="M5" s="2642"/>
      <c r="N5" s="2642"/>
      <c r="O5" s="2642"/>
      <c r="P5" s="2642"/>
      <c r="Q5" s="2642"/>
    </row>
    <row r="6" spans="1:18" ht="27">
      <c r="A6" s="2646"/>
      <c r="B6" s="2649" t="s">
        <v>1190</v>
      </c>
      <c r="C6" s="3402" t="s">
        <v>3515</v>
      </c>
      <c r="D6" s="2645"/>
      <c r="E6" s="2650"/>
      <c r="F6" s="2649" t="s">
        <v>1825</v>
      </c>
      <c r="G6" s="2652"/>
      <c r="H6" s="2642"/>
      <c r="I6" s="2642"/>
      <c r="J6" s="2642"/>
      <c r="K6" s="2642"/>
      <c r="L6" s="2642"/>
      <c r="M6" s="2642"/>
      <c r="N6" s="2642"/>
      <c r="O6" s="2642"/>
      <c r="P6" s="2642"/>
      <c r="Q6" s="2642"/>
    </row>
    <row r="7" spans="1:18" ht="15" thickBot="1">
      <c r="A7" s="2646"/>
      <c r="B7" s="2649" t="s">
        <v>1824</v>
      </c>
      <c r="C7" s="3402" t="s">
        <v>3331</v>
      </c>
      <c r="D7" s="2653"/>
      <c r="E7" s="2654"/>
      <c r="F7" s="2655" t="s">
        <v>1205</v>
      </c>
      <c r="G7" s="2656"/>
      <c r="H7" s="2642"/>
      <c r="I7" s="2642"/>
      <c r="J7" s="2642"/>
      <c r="K7" s="2642"/>
      <c r="L7" s="2642"/>
      <c r="M7" s="2642"/>
      <c r="N7" s="2642"/>
      <c r="O7" s="2642"/>
      <c r="P7" s="2642"/>
      <c r="Q7" s="2642"/>
    </row>
    <row r="8" spans="1:18">
      <c r="A8" s="2646"/>
      <c r="B8" s="2649" t="s">
        <v>1825</v>
      </c>
      <c r="C8" s="3402" t="s">
        <v>3333</v>
      </c>
      <c r="D8" s="2653"/>
      <c r="E8" s="2653"/>
      <c r="F8" s="2657"/>
      <c r="G8" s="2657"/>
      <c r="H8" s="2642"/>
      <c r="I8" s="2642"/>
      <c r="J8" s="2642"/>
      <c r="K8" s="2642"/>
      <c r="L8" s="2642"/>
      <c r="M8" s="2642"/>
      <c r="N8" s="2642"/>
      <c r="O8" s="2642"/>
      <c r="P8" s="2642"/>
      <c r="Q8" s="2642"/>
    </row>
    <row r="9" spans="1:18">
      <c r="A9" s="2646"/>
      <c r="B9" s="2649" t="s">
        <v>1191</v>
      </c>
      <c r="C9" s="3401" t="s">
        <v>3516</v>
      </c>
      <c r="D9" s="2645"/>
      <c r="E9" s="2653"/>
      <c r="F9" s="2657"/>
      <c r="G9" s="2657"/>
      <c r="H9" s="2642"/>
      <c r="I9" s="2642"/>
      <c r="J9" s="2642"/>
      <c r="K9" s="2642"/>
      <c r="L9" s="2642"/>
      <c r="M9" s="2642"/>
      <c r="N9" s="2642"/>
      <c r="O9" s="2642"/>
      <c r="P9" s="2642"/>
      <c r="Q9" s="2642"/>
    </row>
    <row r="10" spans="1:18" ht="15" thickBot="1">
      <c r="A10" s="2658"/>
      <c r="B10" s="2659" t="s">
        <v>1206</v>
      </c>
      <c r="C10" s="2660"/>
      <c r="D10" s="2645"/>
      <c r="E10" s="2645"/>
      <c r="F10" s="2657"/>
      <c r="G10" s="2657"/>
      <c r="J10" s="2662"/>
      <c r="M10" s="2662"/>
      <c r="P10" s="2662"/>
      <c r="R10" s="2661"/>
    </row>
    <row r="11" spans="1:18">
      <c r="A11" s="2663"/>
      <c r="B11" s="2653"/>
      <c r="C11" s="2645"/>
      <c r="D11" s="2645"/>
      <c r="E11" s="2645"/>
      <c r="F11" s="2653"/>
      <c r="G11" s="2653"/>
      <c r="J11" s="2662"/>
      <c r="M11" s="2662"/>
      <c r="P11" s="2662"/>
      <c r="R11" s="2661"/>
    </row>
    <row r="12" spans="1:18" s="2636" customFormat="1" ht="18.75">
      <c r="A12" s="2663"/>
      <c r="B12" s="2653"/>
      <c r="C12" s="2645"/>
      <c r="D12" s="2664"/>
      <c r="E12" s="2645"/>
      <c r="F12" s="2653"/>
      <c r="G12" s="2653"/>
      <c r="H12" s="2665"/>
      <c r="I12" s="2665"/>
      <c r="J12" s="2665"/>
      <c r="K12" s="2665"/>
      <c r="L12" s="2666"/>
      <c r="M12" s="2665"/>
      <c r="N12" s="2667"/>
      <c r="O12" s="2667"/>
      <c r="P12" s="2667"/>
      <c r="Q12" s="2667"/>
    </row>
    <row r="13" spans="1:18" ht="19.5" thickBot="1">
      <c r="A13" s="2668" t="s">
        <v>1207</v>
      </c>
      <c r="B13" s="2664"/>
      <c r="C13" s="2664"/>
      <c r="D13" s="2640"/>
      <c r="E13" s="2664"/>
      <c r="F13" s="2664"/>
      <c r="G13" s="2664"/>
    </row>
    <row r="14" spans="1:18" ht="14.25" thickBot="1">
      <c r="A14" s="2669"/>
      <c r="B14" s="2669"/>
      <c r="C14" s="2670" t="s">
        <v>1199</v>
      </c>
      <c r="D14" s="2645"/>
      <c r="E14" s="2671"/>
      <c r="F14" s="2671"/>
      <c r="G14" s="2639" t="s">
        <v>1200</v>
      </c>
    </row>
    <row r="15" spans="1:18" ht="27">
      <c r="A15" s="2672" t="s">
        <v>1192</v>
      </c>
      <c r="B15" s="2673" t="s">
        <v>1188</v>
      </c>
      <c r="C15" s="2674" t="str">
        <f>C3</f>
        <v>泰福苑、三间房西里、万方家园等，较好</v>
      </c>
      <c r="D15" s="2645"/>
      <c r="E15" s="2675" t="s">
        <v>1193</v>
      </c>
      <c r="F15" s="2673" t="s">
        <v>1208</v>
      </c>
      <c r="G15" s="2676">
        <f>G3</f>
        <v>0</v>
      </c>
    </row>
    <row r="16" spans="1:18">
      <c r="A16" s="2677"/>
      <c r="B16" s="2678" t="s">
        <v>1202</v>
      </c>
      <c r="C16" s="2679">
        <f>C4</f>
        <v>0</v>
      </c>
      <c r="D16" s="2645"/>
      <c r="E16" s="2680"/>
      <c r="F16" s="2681" t="s">
        <v>1203</v>
      </c>
      <c r="G16" s="2682">
        <f>G4</f>
        <v>0</v>
      </c>
    </row>
    <row r="17" spans="1:7" ht="14.25">
      <c r="A17" s="2677"/>
      <c r="B17" s="2678" t="s">
        <v>1204</v>
      </c>
      <c r="C17" s="2679">
        <f>C5</f>
        <v>0</v>
      </c>
      <c r="D17" s="2653"/>
      <c r="E17" s="2680"/>
      <c r="F17" s="2681" t="s">
        <v>1209</v>
      </c>
      <c r="G17" s="2683"/>
    </row>
    <row r="18" spans="1:7" ht="27">
      <c r="A18" s="2677"/>
      <c r="B18" s="2681" t="s">
        <v>1190</v>
      </c>
      <c r="C18" s="2682" t="str">
        <f>C6</f>
        <v>451、488、615等，地铁6、八通线等</v>
      </c>
      <c r="D18" s="2653"/>
      <c r="E18" s="2680"/>
      <c r="F18" s="2681" t="s">
        <v>1205</v>
      </c>
      <c r="G18" s="2682">
        <f>G7</f>
        <v>0</v>
      </c>
    </row>
    <row r="19" spans="1:7">
      <c r="A19" s="2677"/>
      <c r="B19" s="2681" t="s">
        <v>1194</v>
      </c>
      <c r="C19" s="3403" t="s">
        <v>3334</v>
      </c>
      <c r="D19" s="2645"/>
      <c r="E19" s="2680"/>
      <c r="F19" s="2649" t="s">
        <v>1824</v>
      </c>
      <c r="G19" s="2682">
        <f>G5</f>
        <v>0</v>
      </c>
    </row>
    <row r="20" spans="1:7">
      <c r="A20" s="2677"/>
      <c r="B20" s="2681" t="s">
        <v>1195</v>
      </c>
      <c r="C20" s="2679" t="str">
        <f>C9</f>
        <v>黄渠公园、二外，较好</v>
      </c>
      <c r="D20" s="2653"/>
      <c r="E20" s="2680"/>
      <c r="F20" s="2649" t="s">
        <v>1825</v>
      </c>
      <c r="G20" s="2682">
        <f>G6</f>
        <v>0</v>
      </c>
    </row>
    <row r="21" spans="1:7" ht="14.25">
      <c r="A21" s="2677"/>
      <c r="B21" s="2649" t="s">
        <v>1824</v>
      </c>
      <c r="C21" s="2682" t="str">
        <f>C7</f>
        <v>较好</v>
      </c>
      <c r="D21" s="2645"/>
      <c r="E21" s="2680"/>
      <c r="F21" s="2681" t="s">
        <v>1196</v>
      </c>
      <c r="G21" s="2684"/>
    </row>
    <row r="22" spans="1:7" ht="14.25">
      <c r="A22" s="2677"/>
      <c r="B22" s="2649" t="s">
        <v>1825</v>
      </c>
      <c r="C22" s="2682" t="str">
        <f>C8</f>
        <v>七通</v>
      </c>
      <c r="D22" s="2645"/>
      <c r="E22" s="2680"/>
      <c r="F22" s="2681" t="s">
        <v>1206</v>
      </c>
      <c r="G22" s="2683"/>
    </row>
    <row r="23" spans="1:7" ht="15" thickBot="1">
      <c r="A23" s="2677"/>
      <c r="B23" s="2681" t="s">
        <v>1196</v>
      </c>
      <c r="C23" s="2684"/>
      <c r="E23" s="2685"/>
      <c r="F23" s="2686" t="s">
        <v>1210</v>
      </c>
      <c r="G23" s="2687"/>
    </row>
    <row r="24" spans="1:7" ht="14.25" thickBot="1">
      <c r="A24" s="2688"/>
      <c r="B24" s="2686" t="s">
        <v>1197</v>
      </c>
      <c r="C24" s="2689">
        <f>C10</f>
        <v>0</v>
      </c>
      <c r="E24" s="2653"/>
      <c r="F24" s="2653"/>
      <c r="G24" s="2653"/>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40" sqref="E40"/>
    </sheetView>
  </sheetViews>
  <sheetFormatPr defaultColWidth="14.625" defaultRowHeight="13.5"/>
  <cols>
    <col min="1" max="1" width="24.375" style="2691" customWidth="1"/>
    <col min="2" max="16384" width="14.625" style="2691"/>
  </cols>
  <sheetData>
    <row r="1" spans="1:10" ht="16.5">
      <c r="A1" s="2690" t="s">
        <v>2113</v>
      </c>
      <c r="B1" s="2690">
        <f>SUM(B14:B23)</f>
        <v>122231.91</v>
      </c>
      <c r="C1" s="2698"/>
      <c r="D1" s="2698"/>
      <c r="E1" s="2698"/>
      <c r="F1" s="2698"/>
      <c r="G1" s="2699"/>
      <c r="H1" s="2699"/>
      <c r="I1" s="2699"/>
      <c r="J1" s="2699"/>
    </row>
    <row r="2" spans="1:10" ht="16.5">
      <c r="A2" s="2690" t="s">
        <v>2114</v>
      </c>
      <c r="B2" s="2690">
        <f>SUM(C14:C23)</f>
        <v>36842.300000000003</v>
      </c>
      <c r="C2" s="2698"/>
      <c r="D2" s="2698"/>
      <c r="E2" s="2698"/>
      <c r="F2" s="2698"/>
      <c r="G2" s="2699"/>
      <c r="H2" s="2699"/>
      <c r="I2" s="2699"/>
      <c r="J2" s="2699"/>
    </row>
    <row r="3" spans="1:10" ht="16.5">
      <c r="A3" s="2690" t="s">
        <v>2115</v>
      </c>
      <c r="B3" s="2692">
        <f>项目基本情况!D3</f>
        <v>45789</v>
      </c>
      <c r="C3" s="2698"/>
      <c r="D3" s="2698"/>
      <c r="E3" s="2698"/>
      <c r="F3" s="2698"/>
      <c r="G3" s="2699"/>
      <c r="H3" s="2699"/>
      <c r="I3" s="2699"/>
      <c r="J3" s="2699"/>
    </row>
    <row r="4" spans="1:10" ht="33">
      <c r="A4" s="2690" t="s">
        <v>2116</v>
      </c>
      <c r="B4" s="2690" t="s">
        <v>2117</v>
      </c>
      <c r="C4" s="2690" t="s">
        <v>2118</v>
      </c>
      <c r="D4" s="2690" t="s">
        <v>2119</v>
      </c>
      <c r="E4" s="2698"/>
      <c r="F4" s="2698"/>
      <c r="G4" s="2699"/>
      <c r="H4" s="2699"/>
      <c r="I4" s="2699"/>
      <c r="J4" s="2699"/>
    </row>
    <row r="5" spans="1:10" ht="16.5">
      <c r="A5" s="2690" t="s">
        <v>2120</v>
      </c>
      <c r="B5" s="2690">
        <f ca="1">SUM(D14:D23)</f>
        <v>450648</v>
      </c>
      <c r="C5" s="2690">
        <f ca="1">ROUND(B5*10000/$B$1,0)</f>
        <v>36868</v>
      </c>
      <c r="D5" s="2690">
        <f ca="1">ROUND(B5*10000/$B$2,0)</f>
        <v>122318</v>
      </c>
      <c r="E5" s="2698"/>
      <c r="F5" s="2698"/>
      <c r="G5" s="2699"/>
      <c r="H5" s="2699"/>
      <c r="I5" s="2699"/>
      <c r="J5" s="2699"/>
    </row>
    <row r="6" spans="1:10" ht="16.5">
      <c r="A6" s="2690" t="s">
        <v>2121</v>
      </c>
      <c r="B6" s="2690">
        <f ca="1">SUM(G14:G23)</f>
        <v>446078</v>
      </c>
      <c r="C6" s="2690">
        <f ca="1">ROUND(B6*10000/$B$1,0)</f>
        <v>36494</v>
      </c>
      <c r="D6" s="2690">
        <f ca="1">ROUND(B6*10000/$B$2,0)</f>
        <v>121078</v>
      </c>
      <c r="E6" s="2698"/>
      <c r="F6" s="2698"/>
      <c r="G6" s="2699"/>
      <c r="H6" s="2699"/>
      <c r="I6" s="2699"/>
      <c r="J6" s="2699"/>
    </row>
    <row r="7" spans="1:10" ht="16.5">
      <c r="A7" s="2690" t="s">
        <v>2122</v>
      </c>
      <c r="B7" s="2690">
        <f>SUM(H14:H23)</f>
        <v>0</v>
      </c>
      <c r="C7" s="2690">
        <f>ROUND(B7*10000/$B$1,0)</f>
        <v>0</v>
      </c>
      <c r="D7" s="2690">
        <f>ROUND(B7*10000/$B$2,0)</f>
        <v>0</v>
      </c>
      <c r="E7" s="2698"/>
      <c r="F7" s="2698"/>
      <c r="G7" s="2699"/>
      <c r="H7" s="2699"/>
      <c r="I7" s="2699"/>
      <c r="J7" s="2699"/>
    </row>
    <row r="8" spans="1:10" ht="16.5">
      <c r="A8" s="2690" t="s">
        <v>2123</v>
      </c>
      <c r="B8" s="2690">
        <f>SUM(I14:I23)</f>
        <v>0</v>
      </c>
      <c r="C8" s="2690">
        <f>ROUND(B8*10000/$B$1,0)</f>
        <v>0</v>
      </c>
      <c r="D8" s="2690">
        <f>ROUND(B8*10000/$B$2,0)</f>
        <v>0</v>
      </c>
      <c r="E8" s="2698"/>
      <c r="F8" s="2698"/>
      <c r="G8" s="2699"/>
      <c r="H8" s="2699"/>
      <c r="I8" s="2699"/>
      <c r="J8" s="2699"/>
    </row>
    <row r="9" spans="1:10" ht="16.5">
      <c r="A9" s="2690" t="s">
        <v>2124</v>
      </c>
      <c r="B9" s="2323"/>
      <c r="C9" s="2698"/>
      <c r="D9" s="2698"/>
      <c r="E9" s="2698"/>
      <c r="F9" s="2698"/>
      <c r="G9" s="2699"/>
      <c r="H9" s="2699"/>
      <c r="I9" s="2699"/>
      <c r="J9" s="2699"/>
    </row>
    <row r="10" spans="1:10" ht="16.5">
      <c r="A10" s="2690" t="s">
        <v>2125</v>
      </c>
      <c r="B10" s="2323"/>
      <c r="C10" s="2698"/>
      <c r="D10" s="2698"/>
      <c r="E10" s="2698"/>
      <c r="F10" s="2698"/>
      <c r="G10" s="2699"/>
      <c r="H10" s="2699"/>
      <c r="I10" s="2699"/>
      <c r="J10" s="2699"/>
    </row>
    <row r="11" spans="1:10" ht="16.5">
      <c r="A11" s="2690" t="s">
        <v>2142</v>
      </c>
      <c r="B11" s="2323"/>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2141</v>
      </c>
      <c r="B13" s="2694" t="s">
        <v>2113</v>
      </c>
      <c r="C13" s="2694" t="s">
        <v>2114</v>
      </c>
      <c r="D13" s="2694" t="s">
        <v>2126</v>
      </c>
      <c r="E13" s="2690" t="s">
        <v>2140</v>
      </c>
      <c r="F13" s="2690" t="s">
        <v>2119</v>
      </c>
      <c r="G13" s="2694" t="s">
        <v>2127</v>
      </c>
      <c r="H13" s="2694" t="s">
        <v>2128</v>
      </c>
      <c r="I13" s="2694" t="s">
        <v>2129</v>
      </c>
      <c r="J13" s="2699"/>
    </row>
    <row r="14" spans="1:10" ht="16.5">
      <c r="A14" s="2695" t="s">
        <v>2139</v>
      </c>
      <c r="B14" s="2696">
        <f>结果表!L38</f>
        <v>122231.91</v>
      </c>
      <c r="C14" s="2696">
        <f>结果表!K38</f>
        <v>36842.300000000003</v>
      </c>
      <c r="D14" s="2696">
        <f ca="1">结果表!O38</f>
        <v>450648</v>
      </c>
      <c r="E14" s="2696">
        <f ca="1">ROUND(D14*10000/B14,0)</f>
        <v>36868</v>
      </c>
      <c r="F14" s="2696">
        <f ca="1">ROUND(D14*10000/C14,0)</f>
        <v>122318</v>
      </c>
      <c r="G14" s="2696">
        <f ca="1">结果表!O39</f>
        <v>446078</v>
      </c>
      <c r="H14" s="2696"/>
      <c r="I14" s="2696"/>
      <c r="J14" s="2699"/>
    </row>
    <row r="15" spans="1:10" ht="16.5">
      <c r="A15" s="2695" t="s">
        <v>2130</v>
      </c>
      <c r="B15" s="2697"/>
      <c r="C15" s="2697"/>
      <c r="D15" s="2697"/>
      <c r="E15" s="2696" t="e">
        <f t="shared" ref="E15:E23" si="0">ROUND(D15*10000/B15,0)</f>
        <v>#DIV/0!</v>
      </c>
      <c r="F15" s="2696" t="e">
        <f t="shared" ref="F15:F23" si="1">ROUND(D15*10000/C15,0)</f>
        <v>#DIV/0!</v>
      </c>
      <c r="G15" s="2323"/>
      <c r="H15" s="2323"/>
      <c r="I15" s="2697"/>
      <c r="J15" s="2699"/>
    </row>
    <row r="16" spans="1:10" ht="16.5">
      <c r="A16" s="2695" t="s">
        <v>2131</v>
      </c>
      <c r="B16" s="2697"/>
      <c r="C16" s="2697"/>
      <c r="D16" s="2697"/>
      <c r="E16" s="2696" t="e">
        <f t="shared" si="0"/>
        <v>#DIV/0!</v>
      </c>
      <c r="F16" s="2696" t="e">
        <f t="shared" si="1"/>
        <v>#DIV/0!</v>
      </c>
      <c r="G16" s="2323"/>
      <c r="H16" s="2323"/>
      <c r="I16" s="2697"/>
      <c r="J16" s="2699"/>
    </row>
    <row r="17" spans="1:10" ht="16.5">
      <c r="A17" s="2695" t="s">
        <v>2132</v>
      </c>
      <c r="B17" s="2697"/>
      <c r="C17" s="2697"/>
      <c r="D17" s="2697"/>
      <c r="E17" s="2696" t="e">
        <f t="shared" si="0"/>
        <v>#DIV/0!</v>
      </c>
      <c r="F17" s="2696" t="e">
        <f t="shared" si="1"/>
        <v>#DIV/0!</v>
      </c>
      <c r="G17" s="2323"/>
      <c r="H17" s="2323"/>
      <c r="I17" s="2697"/>
      <c r="J17" s="2699"/>
    </row>
    <row r="18" spans="1:10" ht="16.5">
      <c r="A18" s="2695" t="s">
        <v>2133</v>
      </c>
      <c r="B18" s="2697"/>
      <c r="C18" s="2697"/>
      <c r="D18" s="2697"/>
      <c r="E18" s="2696" t="e">
        <f t="shared" si="0"/>
        <v>#DIV/0!</v>
      </c>
      <c r="F18" s="2696" t="e">
        <f t="shared" si="1"/>
        <v>#DIV/0!</v>
      </c>
      <c r="G18" s="2697"/>
      <c r="H18" s="2697"/>
      <c r="I18" s="2697"/>
      <c r="J18" s="2699"/>
    </row>
    <row r="19" spans="1:10" ht="16.5">
      <c r="A19" s="2695" t="s">
        <v>2134</v>
      </c>
      <c r="B19" s="2697"/>
      <c r="C19" s="2697"/>
      <c r="D19" s="2697"/>
      <c r="E19" s="2696" t="e">
        <f t="shared" si="0"/>
        <v>#DIV/0!</v>
      </c>
      <c r="F19" s="2696" t="e">
        <f t="shared" si="1"/>
        <v>#DIV/0!</v>
      </c>
      <c r="G19" s="2697"/>
      <c r="H19" s="2697"/>
      <c r="I19" s="2697"/>
      <c r="J19" s="2699"/>
    </row>
    <row r="20" spans="1:10" ht="16.5">
      <c r="A20" s="2695" t="s">
        <v>2135</v>
      </c>
      <c r="B20" s="2697"/>
      <c r="C20" s="2697"/>
      <c r="D20" s="2697"/>
      <c r="E20" s="2696" t="e">
        <f t="shared" si="0"/>
        <v>#DIV/0!</v>
      </c>
      <c r="F20" s="2696" t="e">
        <f t="shared" si="1"/>
        <v>#DIV/0!</v>
      </c>
      <c r="G20" s="2697"/>
      <c r="H20" s="2697"/>
      <c r="I20" s="2697"/>
      <c r="J20" s="2699"/>
    </row>
    <row r="21" spans="1:10" ht="16.5">
      <c r="A21" s="2695" t="s">
        <v>2136</v>
      </c>
      <c r="B21" s="2697"/>
      <c r="C21" s="2697"/>
      <c r="D21" s="2697"/>
      <c r="E21" s="2696" t="e">
        <f t="shared" si="0"/>
        <v>#DIV/0!</v>
      </c>
      <c r="F21" s="2696" t="e">
        <f t="shared" si="1"/>
        <v>#DIV/0!</v>
      </c>
      <c r="G21" s="2697"/>
      <c r="H21" s="2697"/>
      <c r="I21" s="2697"/>
      <c r="J21" s="2699"/>
    </row>
    <row r="22" spans="1:10" ht="16.5">
      <c r="A22" s="2695" t="s">
        <v>2137</v>
      </c>
      <c r="B22" s="2697"/>
      <c r="C22" s="2697"/>
      <c r="D22" s="2697"/>
      <c r="E22" s="2696" t="e">
        <f t="shared" si="0"/>
        <v>#DIV/0!</v>
      </c>
      <c r="F22" s="2696" t="e">
        <f t="shared" si="1"/>
        <v>#DIV/0!</v>
      </c>
      <c r="G22" s="2697"/>
      <c r="H22" s="2697"/>
      <c r="I22" s="2697"/>
      <c r="J22" s="2699"/>
    </row>
    <row r="23" spans="1:10" ht="16.5">
      <c r="A23" s="2695" t="s">
        <v>2138</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5" sqref="G25"/>
    </sheetView>
  </sheetViews>
  <sheetFormatPr defaultColWidth="12.625" defaultRowHeight="21.75" customHeight="1"/>
  <cols>
    <col min="1" max="1" width="15.375" style="1043" customWidth="1"/>
    <col min="2" max="2" width="12.75" style="1043" bestFit="1" customWidth="1"/>
    <col min="3" max="4" width="12.625" style="1043" customWidth="1"/>
    <col min="5" max="9" width="12.75" style="1043"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3"/>
  </cols>
  <sheetData>
    <row r="1" spans="1:22" ht="21.75" customHeight="1" thickBot="1">
      <c r="A1" s="1470" t="s">
        <v>1570</v>
      </c>
      <c r="B1" s="1471"/>
      <c r="C1" s="1496" t="s">
        <v>1571</v>
      </c>
      <c r="D1" s="1497"/>
      <c r="E1" s="1496" t="s">
        <v>1572</v>
      </c>
      <c r="F1" s="1498"/>
      <c r="G1" s="287"/>
      <c r="H1" s="287"/>
      <c r="I1" s="287"/>
      <c r="J1" s="1633"/>
      <c r="K1" s="1633"/>
      <c r="L1" s="1633"/>
      <c r="M1" s="1633"/>
      <c r="N1" s="1633"/>
      <c r="O1" s="1633"/>
      <c r="P1" s="1633"/>
      <c r="Q1" s="1633"/>
      <c r="R1" s="1633"/>
      <c r="S1" s="1633"/>
      <c r="T1" s="1633"/>
      <c r="U1" s="1633"/>
      <c r="V1" s="1633"/>
    </row>
    <row r="2" spans="1:22" ht="21.75" customHeight="1" thickBot="1">
      <c r="A2" s="3647" t="str">
        <f>项目基本情况!K2</f>
        <v>北京市朝阳区三间房D区棚户区改造出让国有建设用地使用权</v>
      </c>
      <c r="B2" s="3648"/>
      <c r="C2" s="3649"/>
      <c r="D2" s="3649"/>
      <c r="E2" s="3649"/>
      <c r="F2" s="3649"/>
      <c r="G2" s="3648"/>
      <c r="H2" s="3648"/>
      <c r="I2" s="3650"/>
      <c r="J2" s="1640"/>
      <c r="K2" s="1633"/>
      <c r="L2" s="1633"/>
      <c r="M2" s="1633"/>
      <c r="N2" s="1633"/>
      <c r="O2" s="1633"/>
      <c r="P2" s="1633"/>
      <c r="Q2" s="1633"/>
      <c r="R2" s="1633"/>
      <c r="S2" s="1633"/>
      <c r="T2" s="1633"/>
      <c r="U2" s="1633"/>
      <c r="V2" s="1633"/>
    </row>
    <row r="3" spans="1:22" ht="14.25">
      <c r="A3" s="3658" t="s">
        <v>264</v>
      </c>
      <c r="B3" s="3659"/>
      <c r="C3" s="3659"/>
      <c r="D3" s="3659"/>
      <c r="E3" s="3659"/>
      <c r="F3" s="3659"/>
      <c r="G3" s="3659"/>
      <c r="H3" s="3659"/>
      <c r="I3" s="3659"/>
      <c r="J3" s="1640"/>
      <c r="K3" s="1633"/>
      <c r="L3" s="1633"/>
      <c r="M3" s="1633"/>
      <c r="N3" s="1633"/>
      <c r="O3" s="1633"/>
      <c r="P3" s="1633"/>
      <c r="Q3" s="1633"/>
      <c r="R3" s="1633"/>
      <c r="S3" s="1633"/>
      <c r="T3" s="1633"/>
      <c r="U3" s="1633"/>
      <c r="V3" s="1633"/>
    </row>
    <row r="4" spans="1:22" ht="14.25">
      <c r="A4" s="238" t="s">
        <v>265</v>
      </c>
      <c r="B4" s="239" t="s">
        <v>266</v>
      </c>
      <c r="C4" s="240" t="s">
        <v>3335</v>
      </c>
      <c r="D4" s="240" t="s">
        <v>3336</v>
      </c>
      <c r="E4" s="3622" t="s">
        <v>267</v>
      </c>
      <c r="F4" s="3664"/>
      <c r="G4" s="3664"/>
      <c r="H4" s="3664"/>
      <c r="I4" s="3623"/>
      <c r="J4" s="1640"/>
      <c r="K4" s="1633"/>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4.25">
      <c r="A5" s="3651" t="s">
        <v>268</v>
      </c>
      <c r="B5" s="3652">
        <v>25</v>
      </c>
      <c r="C5" s="3660"/>
      <c r="D5" s="3663"/>
      <c r="E5" s="241" t="s">
        <v>269</v>
      </c>
      <c r="F5" s="242"/>
      <c r="G5" s="242"/>
      <c r="H5" s="242"/>
      <c r="I5" s="243"/>
      <c r="J5" s="1640"/>
      <c r="K5" s="1633"/>
      <c r="L5" s="1633"/>
      <c r="M5" s="1633"/>
      <c r="N5" s="1633"/>
      <c r="O5" s="1633"/>
      <c r="P5" s="1633"/>
      <c r="Q5" s="1633"/>
      <c r="R5" s="1633"/>
      <c r="S5" s="1633"/>
      <c r="T5" s="1633"/>
      <c r="U5" s="1633"/>
      <c r="V5" s="1633"/>
    </row>
    <row r="6" spans="1:22" ht="14.25">
      <c r="A6" s="3651"/>
      <c r="B6" s="3652"/>
      <c r="C6" s="3661"/>
      <c r="D6" s="3663"/>
      <c r="E6" s="241" t="s">
        <v>270</v>
      </c>
      <c r="F6" s="242"/>
      <c r="G6" s="242"/>
      <c r="H6" s="242"/>
      <c r="I6" s="243"/>
      <c r="J6" s="1640"/>
      <c r="K6" s="1633"/>
      <c r="L6" s="1633"/>
      <c r="M6" s="1633"/>
      <c r="N6" s="1633"/>
      <c r="O6" s="1633"/>
      <c r="P6" s="1633"/>
      <c r="Q6" s="1633"/>
      <c r="R6" s="1633"/>
      <c r="S6" s="1633"/>
      <c r="T6" s="1633"/>
      <c r="U6" s="1633"/>
      <c r="V6" s="1633"/>
    </row>
    <row r="7" spans="1:22" ht="14.25">
      <c r="A7" s="3651"/>
      <c r="B7" s="3652"/>
      <c r="C7" s="3662"/>
      <c r="D7" s="3663"/>
      <c r="E7" s="241" t="s">
        <v>271</v>
      </c>
      <c r="F7" s="242"/>
      <c r="G7" s="242"/>
      <c r="H7" s="242"/>
      <c r="I7" s="243"/>
      <c r="J7" s="1640"/>
      <c r="K7" s="1633"/>
      <c r="L7" s="1633"/>
      <c r="M7" s="1633"/>
      <c r="N7" s="1633"/>
      <c r="O7" s="1633"/>
      <c r="P7" s="1633"/>
      <c r="Q7" s="1633"/>
      <c r="R7" s="1633"/>
      <c r="S7" s="1633"/>
      <c r="T7" s="1633"/>
      <c r="U7" s="1633"/>
      <c r="V7" s="1633"/>
    </row>
    <row r="8" spans="1:22" ht="14.25">
      <c r="A8" s="3651" t="s">
        <v>272</v>
      </c>
      <c r="B8" s="3652">
        <v>15</v>
      </c>
      <c r="C8" s="3660"/>
      <c r="D8" s="3663"/>
      <c r="E8" s="241" t="s">
        <v>273</v>
      </c>
      <c r="F8" s="242"/>
      <c r="G8" s="242"/>
      <c r="H8" s="242"/>
      <c r="I8" s="243"/>
      <c r="J8" s="1640"/>
      <c r="K8" s="1633"/>
      <c r="L8" s="1633"/>
      <c r="M8" s="1633"/>
      <c r="N8" s="1633"/>
      <c r="O8" s="1633"/>
      <c r="P8" s="1633"/>
      <c r="Q8" s="1633"/>
      <c r="R8" s="1633"/>
      <c r="S8" s="1633"/>
      <c r="T8" s="1633"/>
      <c r="U8" s="1633"/>
      <c r="V8" s="1633"/>
    </row>
    <row r="9" spans="1:22" ht="14.25">
      <c r="A9" s="3651"/>
      <c r="B9" s="3652"/>
      <c r="C9" s="3662"/>
      <c r="D9" s="3663"/>
      <c r="E9" s="241" t="s">
        <v>274</v>
      </c>
      <c r="F9" s="242"/>
      <c r="G9" s="242"/>
      <c r="H9" s="242"/>
      <c r="I9" s="243"/>
      <c r="J9" s="1640"/>
      <c r="K9" s="1633"/>
      <c r="L9" s="1633"/>
      <c r="M9" s="1633"/>
      <c r="N9" s="1633"/>
      <c r="O9" s="1633"/>
      <c r="P9" s="1633"/>
      <c r="Q9" s="1633"/>
      <c r="R9" s="1633"/>
      <c r="S9" s="1633"/>
      <c r="T9" s="1633"/>
      <c r="U9" s="1633"/>
      <c r="V9" s="1633"/>
    </row>
    <row r="10" spans="1:22" ht="14.25">
      <c r="A10" s="3651" t="s">
        <v>275</v>
      </c>
      <c r="B10" s="3652">
        <v>15</v>
      </c>
      <c r="C10" s="3660"/>
      <c r="D10" s="3663"/>
      <c r="E10" s="241" t="s">
        <v>276</v>
      </c>
      <c r="F10" s="242"/>
      <c r="G10" s="242"/>
      <c r="H10" s="242"/>
      <c r="I10" s="243"/>
      <c r="J10" s="1640"/>
      <c r="K10" s="1633"/>
      <c r="L10" s="1633"/>
      <c r="M10" s="1633"/>
      <c r="N10" s="1633"/>
      <c r="O10" s="1633"/>
      <c r="P10" s="1633"/>
      <c r="Q10" s="1633"/>
      <c r="R10" s="1633"/>
      <c r="S10" s="1633"/>
      <c r="T10" s="1633"/>
      <c r="U10" s="1633"/>
      <c r="V10" s="1633"/>
    </row>
    <row r="11" spans="1:22" ht="14.25">
      <c r="A11" s="3651"/>
      <c r="B11" s="3652"/>
      <c r="C11" s="3662"/>
      <c r="D11" s="3663"/>
      <c r="E11" s="241" t="s">
        <v>277</v>
      </c>
      <c r="F11" s="242"/>
      <c r="G11" s="242"/>
      <c r="H11" s="242"/>
      <c r="I11" s="243"/>
      <c r="J11" s="1640"/>
      <c r="K11" s="1633"/>
      <c r="L11" s="1633"/>
      <c r="M11" s="1633"/>
      <c r="N11" s="1633"/>
      <c r="O11" s="1633"/>
      <c r="P11" s="1633"/>
      <c r="Q11" s="1633"/>
      <c r="R11" s="1633"/>
      <c r="S11" s="1633"/>
      <c r="T11" s="1633"/>
      <c r="U11" s="1633"/>
      <c r="V11" s="1633"/>
    </row>
    <row r="12" spans="1:22" ht="14.25">
      <c r="A12" s="3651" t="s">
        <v>278</v>
      </c>
      <c r="B12" s="3652">
        <v>15</v>
      </c>
      <c r="C12" s="3660"/>
      <c r="D12" s="3663"/>
      <c r="E12" s="241" t="s">
        <v>279</v>
      </c>
      <c r="F12" s="242"/>
      <c r="G12" s="242"/>
      <c r="H12" s="242"/>
      <c r="I12" s="243"/>
      <c r="J12" s="1640"/>
      <c r="K12" s="1633"/>
      <c r="L12" s="1633"/>
      <c r="M12" s="1633"/>
      <c r="N12" s="1633"/>
      <c r="O12" s="1633"/>
      <c r="P12" s="1633"/>
      <c r="Q12" s="1633"/>
      <c r="R12" s="1633"/>
      <c r="S12" s="1633"/>
      <c r="T12" s="1633"/>
      <c r="U12" s="1633"/>
      <c r="V12" s="1633"/>
    </row>
    <row r="13" spans="1:22" ht="14.25">
      <c r="A13" s="3651"/>
      <c r="B13" s="3652"/>
      <c r="C13" s="3662"/>
      <c r="D13" s="3663"/>
      <c r="E13" s="241" t="s">
        <v>280</v>
      </c>
      <c r="F13" s="242"/>
      <c r="G13" s="242"/>
      <c r="H13" s="242"/>
      <c r="I13" s="243"/>
      <c r="J13" s="1640"/>
      <c r="K13" s="1633"/>
      <c r="L13" s="1633"/>
      <c r="M13" s="1633"/>
      <c r="N13" s="1633"/>
      <c r="O13" s="1633"/>
      <c r="P13" s="1633"/>
      <c r="Q13" s="1633"/>
      <c r="R13" s="1633"/>
      <c r="S13" s="1633"/>
      <c r="T13" s="1633"/>
      <c r="U13" s="1633"/>
      <c r="V13" s="1633"/>
    </row>
    <row r="14" spans="1:22" ht="14.25">
      <c r="A14" s="3651" t="s">
        <v>281</v>
      </c>
      <c r="B14" s="3652">
        <v>30</v>
      </c>
      <c r="C14" s="3660">
        <v>5</v>
      </c>
      <c r="D14" s="3663">
        <v>5</v>
      </c>
      <c r="E14" s="241" t="s">
        <v>282</v>
      </c>
      <c r="F14" s="242"/>
      <c r="G14" s="242"/>
      <c r="H14" s="242"/>
      <c r="I14" s="243"/>
      <c r="J14" s="1640"/>
      <c r="K14" s="1633"/>
      <c r="L14" s="1633"/>
      <c r="M14" s="1633"/>
      <c r="N14" s="1633"/>
      <c r="O14" s="1633"/>
      <c r="P14" s="1633"/>
      <c r="Q14" s="1633"/>
      <c r="R14" s="1633"/>
      <c r="S14" s="1633"/>
      <c r="T14" s="1633"/>
      <c r="U14" s="1633"/>
      <c r="V14" s="1633"/>
    </row>
    <row r="15" spans="1:22" ht="14.25">
      <c r="A15" s="3651"/>
      <c r="B15" s="3652"/>
      <c r="C15" s="3661"/>
      <c r="D15" s="3663"/>
      <c r="E15" s="241" t="s">
        <v>283</v>
      </c>
      <c r="F15" s="242"/>
      <c r="G15" s="242"/>
      <c r="H15" s="242"/>
      <c r="I15" s="243"/>
      <c r="J15" s="1640"/>
      <c r="K15" s="1633"/>
      <c r="L15" s="1633"/>
      <c r="M15" s="1633"/>
      <c r="N15" s="1633"/>
      <c r="O15" s="1633"/>
      <c r="P15" s="1633"/>
      <c r="Q15" s="1633"/>
      <c r="R15" s="1633"/>
      <c r="S15" s="1633"/>
      <c r="T15" s="1633"/>
      <c r="U15" s="1633"/>
      <c r="V15" s="1633"/>
    </row>
    <row r="16" spans="1:22" ht="14.25">
      <c r="A16" s="3651"/>
      <c r="B16" s="3652"/>
      <c r="C16" s="3662"/>
      <c r="D16" s="3663"/>
      <c r="E16" s="241" t="s">
        <v>284</v>
      </c>
      <c r="F16" s="242"/>
      <c r="G16" s="242"/>
      <c r="H16" s="242"/>
      <c r="I16" s="243"/>
      <c r="J16" s="1640"/>
      <c r="K16" s="1633"/>
      <c r="L16" s="1633"/>
      <c r="M16" s="1633"/>
      <c r="N16" s="1633"/>
      <c r="O16" s="1633"/>
      <c r="P16" s="1633"/>
      <c r="Q16" s="1633"/>
      <c r="R16" s="1633"/>
      <c r="S16" s="1633"/>
      <c r="T16" s="1633"/>
      <c r="U16" s="1633"/>
      <c r="V16" s="1633"/>
    </row>
    <row r="17" spans="1:22" ht="15">
      <c r="A17" s="244" t="s">
        <v>285</v>
      </c>
      <c r="B17" s="125"/>
      <c r="C17" s="245">
        <f>SUM(C5:C16)</f>
        <v>5</v>
      </c>
      <c r="D17" s="245">
        <f>SUM(D5:D16)</f>
        <v>5</v>
      </c>
      <c r="E17" s="287"/>
      <c r="F17" s="287"/>
      <c r="G17" s="287"/>
      <c r="H17" s="287"/>
      <c r="I17" s="287"/>
      <c r="J17" s="1640"/>
      <c r="K17" s="1633"/>
      <c r="L17" s="1633"/>
      <c r="M17" s="1633"/>
      <c r="N17" s="1633"/>
      <c r="O17" s="1633"/>
      <c r="P17" s="1633"/>
      <c r="Q17" s="1633"/>
      <c r="R17" s="1633"/>
      <c r="S17" s="1633"/>
      <c r="T17" s="1633"/>
      <c r="U17" s="1633"/>
      <c r="V17" s="1633"/>
    </row>
    <row r="18" spans="1:22" ht="32.450000000000003" customHeight="1" thickBot="1">
      <c r="A18" s="246" t="s">
        <v>286</v>
      </c>
      <c r="B18" s="96"/>
      <c r="C18" s="247">
        <f>ROUND(C17/SUM(C17:D17),2)</f>
        <v>0.5</v>
      </c>
      <c r="D18" s="247">
        <f>1-C18</f>
        <v>0.5</v>
      </c>
      <c r="E18" s="3665" t="s">
        <v>2236</v>
      </c>
      <c r="F18" s="3666"/>
      <c r="G18" s="3666"/>
      <c r="H18" s="3666"/>
      <c r="I18" s="3666"/>
      <c r="J18" s="1633"/>
      <c r="K18" s="1633" t="s">
        <v>3440</v>
      </c>
      <c r="L18" s="1633"/>
      <c r="M18" s="1633"/>
      <c r="N18" s="1633"/>
      <c r="O18" s="1633"/>
      <c r="P18" s="1633"/>
      <c r="Q18" s="1633"/>
      <c r="R18" s="1633"/>
      <c r="S18" s="1633"/>
      <c r="T18" s="1633"/>
      <c r="U18" s="1633"/>
      <c r="V18" s="1633"/>
    </row>
    <row r="19" spans="1:22" ht="15">
      <c r="A19" s="248" t="s">
        <v>287</v>
      </c>
      <c r="B19" s="249" t="s">
        <v>288</v>
      </c>
      <c r="C19" s="250">
        <f ca="1">SUMIF(INDIRECT("'"&amp;C4&amp;"'"&amp;"!A:A"),结果表!B19,INDIRECT("'"&amp;C4&amp;"'"&amp;"!B:B"))</f>
        <v>473941</v>
      </c>
      <c r="D19" s="251">
        <f ca="1">SUMIF(INDIRECT("'"&amp;D4&amp;"'"&amp;"!A:A"),结果表!B19,INDIRECT("'"&amp;D4&amp;"'"&amp;"!B:B"))</f>
        <v>427355</v>
      </c>
      <c r="E19" s="248" t="s">
        <v>289</v>
      </c>
      <c r="F19" s="249" t="s">
        <v>288</v>
      </c>
      <c r="G19" s="252">
        <f ca="1">ROUND(C19*$C$18+D19*$D$18,0)</f>
        <v>450648</v>
      </c>
      <c r="H19" s="253" t="s">
        <v>290</v>
      </c>
      <c r="I19" s="287"/>
      <c r="J19" s="1633"/>
      <c r="K19" s="1633">
        <v>442000</v>
      </c>
      <c r="L19" s="1633"/>
      <c r="M19" s="1633"/>
      <c r="N19" s="1633"/>
      <c r="O19" s="1633"/>
      <c r="P19" s="1633"/>
      <c r="Q19" s="1633"/>
      <c r="R19" s="1633"/>
      <c r="S19" s="1633"/>
      <c r="T19" s="1633"/>
      <c r="U19" s="1633"/>
      <c r="V19" s="1633"/>
    </row>
    <row r="20" spans="1:22" ht="15">
      <c r="A20" s="254"/>
      <c r="B20" s="102" t="s">
        <v>291</v>
      </c>
      <c r="C20" s="255">
        <f ca="1">SUMIF(INDIRECT("'"&amp;C4&amp;"'"&amp;"!A:A"),结果表!B20,INDIRECT("'"&amp;C4&amp;"'"&amp;"!B:B"))</f>
        <v>38774</v>
      </c>
      <c r="D20" s="256">
        <f ca="1">SUMIF(INDIRECT("'"&amp;D4&amp;"'"&amp;"!A:A"),结果表!B20,INDIRECT("'"&amp;D4&amp;"'"&amp;"!B:B"))</f>
        <v>34963</v>
      </c>
      <c r="E20" s="254"/>
      <c r="F20" s="102" t="s">
        <v>291</v>
      </c>
      <c r="G20" s="257">
        <f ca="1">ROUND(C20*$C$18+D20*$D$18,0)</f>
        <v>36869</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f ca="1">SUMIF(INDIRECT("'"&amp;C4&amp;"'"&amp;"!A:A"),结果表!B21,INDIRECT("'"&amp;C4&amp;"'"&amp;"!B:B"))</f>
        <v>128640</v>
      </c>
      <c r="D21" s="135">
        <f ca="1">SUMIF(INDIRECT("'"&amp;D4&amp;"'"&amp;"!A:A"),结果表!B21,INDIRECT("'"&amp;D4&amp;"'"&amp;"!B:B"))</f>
        <v>115996</v>
      </c>
      <c r="E21" s="254"/>
      <c r="F21" s="106" t="s">
        <v>293</v>
      </c>
      <c r="G21" s="260">
        <f ca="1">ROUND(C21*$C$18+D21*$D$18,0)</f>
        <v>122318</v>
      </c>
      <c r="H21" s="258" t="s">
        <v>292</v>
      </c>
      <c r="I21" s="287"/>
      <c r="J21" s="1633"/>
      <c r="K21" s="1633"/>
      <c r="L21" s="1633"/>
      <c r="M21" s="1633"/>
      <c r="N21" s="1633"/>
      <c r="O21" s="1633"/>
      <c r="P21" s="1633"/>
      <c r="Q21" s="1633"/>
      <c r="R21" s="1633"/>
      <c r="S21" s="1633"/>
      <c r="T21" s="1633"/>
      <c r="U21" s="1633"/>
      <c r="V21" s="1633"/>
    </row>
    <row r="22" spans="1:22" ht="15.75" thickBot="1">
      <c r="A22" s="117" t="s">
        <v>294</v>
      </c>
      <c r="B22" s="1059"/>
      <c r="C22" s="241"/>
      <c r="D22" s="261">
        <f ca="1">IF(C19&lt;D19,D19/C19-1,C19/D19-1)</f>
        <v>0.1090100735922126</v>
      </c>
      <c r="E22" s="262"/>
      <c r="F22" s="263"/>
      <c r="G22" s="264">
        <f ca="1">ROUND(G19/('数据-汇总表'!D3/666.67),0)</f>
        <v>8155</v>
      </c>
      <c r="H22" s="265" t="s">
        <v>295</v>
      </c>
      <c r="I22" s="287"/>
      <c r="J22" s="1633"/>
      <c r="K22" s="1633"/>
      <c r="L22" s="1633"/>
      <c r="M22" s="1633"/>
      <c r="N22" s="1633"/>
      <c r="O22" s="1633"/>
      <c r="P22" s="1633"/>
      <c r="Q22" s="1633"/>
      <c r="R22" s="1633"/>
      <c r="S22" s="1633"/>
      <c r="T22" s="1633"/>
      <c r="U22" s="1633"/>
      <c r="V22" s="1633"/>
    </row>
    <row r="23" spans="1:22" ht="13.5"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3624"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8">
      <c r="A25" s="3671"/>
      <c r="B25" s="1123" t="s">
        <v>297</v>
      </c>
      <c r="C25" s="268">
        <f>IF(B30=0,0,C30)</f>
        <v>0</v>
      </c>
      <c r="D25" s="269"/>
      <c r="E25" s="287"/>
      <c r="F25" s="287"/>
      <c r="G25" s="287"/>
      <c r="H25" s="287"/>
      <c r="I25" s="287"/>
      <c r="J25" s="1633"/>
      <c r="K25" s="1060" t="str">
        <f ca="1">项目基本情况!A17&amp;"国有建设用地使用权价格："&amp;O38&amp;"万元"</f>
        <v>出让国有建设用地使用权价格：450648万元</v>
      </c>
      <c r="L25" s="1061"/>
      <c r="M25" s="1061"/>
      <c r="N25" s="1061"/>
      <c r="O25" s="1062"/>
      <c r="P25" s="1633"/>
      <c r="Q25" s="1633"/>
      <c r="R25" s="1633"/>
      <c r="S25" s="1633"/>
      <c r="T25" s="1633"/>
      <c r="U25" s="1633"/>
      <c r="V25" s="1633"/>
    </row>
    <row r="26" spans="1:22" ht="18">
      <c r="A26" s="270" t="s">
        <v>298</v>
      </c>
      <c r="B26" s="271" t="s">
        <v>299</v>
      </c>
      <c r="C26" s="271" t="s">
        <v>300</v>
      </c>
      <c r="D26" s="272" t="s">
        <v>301</v>
      </c>
      <c r="E26" s="287"/>
      <c r="F26" s="287"/>
      <c r="G26" s="287"/>
      <c r="H26" s="287"/>
      <c r="I26" s="287"/>
      <c r="J26" s="1633"/>
      <c r="K26" s="1063" t="str">
        <f ca="1">"大写金额：人民币"&amp;NUMBERSTRING(INT(O38*10000),2)&amp;"元整"</f>
        <v>大写金额：人民币肆拾伍亿零陆佰肆拾捌万元整</v>
      </c>
      <c r="L26" s="1059"/>
      <c r="M26" s="1059"/>
      <c r="N26" s="1059"/>
      <c r="O26" s="258"/>
      <c r="P26" s="1633"/>
      <c r="Q26" s="1633"/>
      <c r="R26" s="1633"/>
      <c r="S26" s="1633"/>
      <c r="T26" s="1633"/>
      <c r="U26" s="1633"/>
      <c r="V26" s="1633"/>
    </row>
    <row r="27" spans="1:22" ht="18">
      <c r="A27" s="270"/>
      <c r="B27" s="271"/>
      <c r="C27" s="271"/>
      <c r="D27" s="272"/>
      <c r="E27" s="287"/>
      <c r="F27" s="287"/>
      <c r="G27" s="287"/>
      <c r="H27" s="287"/>
      <c r="I27" s="287"/>
      <c r="J27" s="1633"/>
      <c r="K27" s="1063" t="str">
        <f ca="1">"单位面积地价："&amp;M38&amp;"元/平方米"</f>
        <v>单位面积地价：122318元/平方米</v>
      </c>
      <c r="L27" s="1059"/>
      <c r="M27" s="1059"/>
      <c r="N27" s="1059"/>
      <c r="O27" s="258"/>
      <c r="P27" s="1633"/>
      <c r="Q27" s="1633"/>
      <c r="R27" s="1633"/>
      <c r="S27" s="1633"/>
      <c r="T27" s="1633"/>
      <c r="U27" s="1633"/>
      <c r="V27" s="1633"/>
    </row>
    <row r="28" spans="1:22" ht="18.75" customHeight="1">
      <c r="A28" s="270"/>
      <c r="B28" s="271"/>
      <c r="C28" s="271"/>
      <c r="D28" s="272"/>
      <c r="E28" s="287"/>
      <c r="F28" s="287"/>
      <c r="G28" s="287"/>
      <c r="H28" s="287"/>
      <c r="I28" s="287"/>
      <c r="J28" s="1633"/>
      <c r="K28" s="1063" t="str">
        <f ca="1">"楼面地价："&amp;N38&amp;"元/平方米"</f>
        <v>楼面地价：36868元/平方米</v>
      </c>
      <c r="L28" s="1059"/>
      <c r="M28" s="1059"/>
      <c r="N28" s="1059"/>
      <c r="O28" s="258"/>
      <c r="P28" s="1633"/>
      <c r="V28" s="1633"/>
    </row>
    <row r="29" spans="1:22" ht="18">
      <c r="A29" s="270"/>
      <c r="B29" s="271"/>
      <c r="C29" s="271"/>
      <c r="D29" s="272"/>
      <c r="E29" s="287"/>
      <c r="F29" s="287"/>
      <c r="G29" s="287"/>
      <c r="H29" s="287"/>
      <c r="I29" s="287"/>
      <c r="J29" s="1633"/>
      <c r="K29" s="1063" t="str">
        <f ca="1">IF(OR(项目基本情况!E8="抵押价格",项目基本情况!E8="已注销及未注销"),"抵押价格："&amp;O39&amp;"万元","——")</f>
        <v>抵押价格：446078万元</v>
      </c>
      <c r="L29" s="1059"/>
      <c r="M29" s="1059"/>
      <c r="N29" s="1059"/>
      <c r="O29" s="258"/>
      <c r="P29" s="1633"/>
      <c r="V29" s="1633"/>
    </row>
    <row r="30" spans="1:22" ht="18.75" thickBot="1">
      <c r="A30" s="2362" t="s">
        <v>302</v>
      </c>
      <c r="B30" s="285"/>
      <c r="C30" s="285"/>
      <c r="D30" s="286"/>
      <c r="E30" s="2536" t="s">
        <v>2237</v>
      </c>
      <c r="F30" s="287"/>
      <c r="G30" s="287"/>
      <c r="H30" s="287"/>
      <c r="I30" s="287"/>
      <c r="J30" s="1633"/>
      <c r="K30" s="1063" t="str">
        <f ca="1">IF(K29="——","——","大写金额：人民币"&amp;NUMBERSTRING(INT(O39*10000),2)&amp;"元整")</f>
        <v>大写金额：人民币肆拾肆亿陆仟零柒拾捌万元整</v>
      </c>
      <c r="L30" s="1059"/>
      <c r="M30" s="1059"/>
      <c r="N30" s="1059"/>
      <c r="O30" s="258"/>
      <c r="P30" s="1633"/>
      <c r="V30" s="1633"/>
    </row>
    <row r="31" spans="1:22" ht="24" customHeight="1" thickBot="1">
      <c r="A31" s="3667" t="s">
        <v>2238</v>
      </c>
      <c r="B31" s="3667"/>
      <c r="C31" s="3667"/>
      <c r="D31" s="3667"/>
      <c r="E31" s="3667"/>
      <c r="F31" s="3667"/>
      <c r="G31" s="3667"/>
      <c r="H31" s="3667"/>
      <c r="I31" s="3667"/>
      <c r="J31" s="1633"/>
      <c r="K31" s="1977" t="str">
        <f>IF(项目基本情况!E8="抵押价格","——","抵押担保权已注销时的抵押价格："&amp;O40&amp;"万元")</f>
        <v>——</v>
      </c>
      <c r="L31" s="1974"/>
      <c r="M31" s="1974"/>
      <c r="N31" s="1974"/>
      <c r="O31" s="1975"/>
      <c r="P31" s="1633"/>
      <c r="V31" s="1633"/>
    </row>
    <row r="32" spans="1:22" ht="19.5" thickTop="1" thickBot="1">
      <c r="A32" s="254" t="s">
        <v>303</v>
      </c>
      <c r="B32" s="2537" t="s">
        <v>1221</v>
      </c>
      <c r="C32" s="246">
        <f ca="1">G19-C24</f>
        <v>450648</v>
      </c>
      <c r="D32" s="2538" t="s">
        <v>1222</v>
      </c>
      <c r="E32" s="287"/>
      <c r="F32" s="287"/>
      <c r="G32" s="287"/>
      <c r="H32" s="287"/>
      <c r="I32" s="287"/>
      <c r="J32" s="1633"/>
      <c r="K32" s="1973" t="str">
        <f>IF(K31="——","——","大写金额：人民币"&amp;NUMBERSTRING(INT(O40*10000),2)&amp;"元整")</f>
        <v>——</v>
      </c>
      <c r="L32" s="1633"/>
      <c r="M32" s="1633"/>
      <c r="N32" s="1633"/>
      <c r="O32" s="1976"/>
      <c r="P32" s="1633"/>
      <c r="V32" s="1633"/>
    </row>
    <row r="33" spans="1:22" ht="18.75" thickBot="1">
      <c r="A33" s="275" t="s">
        <v>306</v>
      </c>
      <c r="B33" s="1170" t="s">
        <v>1223</v>
      </c>
      <c r="C33" s="244">
        <f ca="1">ROUND(C32*10000/'数据-汇总表'!E3,0)</f>
        <v>36868</v>
      </c>
      <c r="D33" s="1171" t="s">
        <v>1224</v>
      </c>
      <c r="E33" s="3624" t="s">
        <v>304</v>
      </c>
      <c r="F33" s="273" t="s">
        <v>305</v>
      </c>
      <c r="G33" s="274"/>
      <c r="H33" s="894"/>
      <c r="I33" s="1064"/>
      <c r="J33" s="1633"/>
      <c r="K33" s="1063" t="str">
        <f>IF(项目基本情况!E9="——","——","抵押净值："&amp;C46&amp;"万元")</f>
        <v>——</v>
      </c>
      <c r="L33" s="1059"/>
      <c r="M33" s="1059"/>
      <c r="N33" s="1059"/>
      <c r="O33" s="258"/>
      <c r="P33" s="1633"/>
      <c r="V33" s="1633"/>
    </row>
    <row r="34" spans="1:22" ht="18.75" thickBot="1">
      <c r="A34" s="277"/>
      <c r="B34" s="98" t="s">
        <v>1225</v>
      </c>
      <c r="C34" s="244">
        <f ca="1">ROUND(C32*10000/'数据-汇总表'!D3,0)</f>
        <v>122318</v>
      </c>
      <c r="D34" s="1171" t="s">
        <v>1224</v>
      </c>
      <c r="E34" s="3625"/>
      <c r="F34" s="118" t="s">
        <v>307</v>
      </c>
      <c r="G34" s="276"/>
      <c r="H34" s="96"/>
      <c r="I34" s="287"/>
      <c r="J34" s="1633"/>
      <c r="K34" s="1066" t="str">
        <f>IF(K33="——","——","大写金额：人民币"&amp;NUMBERSTRING(INT(O41*10000),2)&amp;"元整")</f>
        <v>——</v>
      </c>
      <c r="L34" s="1067"/>
      <c r="M34" s="1067"/>
      <c r="N34" s="1067"/>
      <c r="O34" s="1068"/>
      <c r="P34" s="1633"/>
      <c r="V34" s="1633"/>
    </row>
    <row r="35" spans="1:22" ht="15.75" thickBot="1">
      <c r="A35" s="262"/>
      <c r="B35" s="1172"/>
      <c r="C35" s="1173">
        <f ca="1">ROUND(C32/('数据-汇总表'!D3/666.67),0)</f>
        <v>8155</v>
      </c>
      <c r="D35" s="1174" t="s">
        <v>1226</v>
      </c>
      <c r="E35" s="3626"/>
      <c r="F35" s="278" t="s">
        <v>308</v>
      </c>
      <c r="G35" s="3834">
        <f>SUM(E37:E39)</f>
        <v>4570</v>
      </c>
      <c r="H35" s="895" t="s">
        <v>309</v>
      </c>
      <c r="I35" s="287"/>
      <c r="J35" s="1633"/>
      <c r="K35" s="3630" t="s">
        <v>316</v>
      </c>
      <c r="L35" s="3630" t="s">
        <v>317</v>
      </c>
      <c r="M35" s="1069" t="s">
        <v>318</v>
      </c>
      <c r="N35" s="3630" t="s">
        <v>319</v>
      </c>
      <c r="O35" s="3630" t="s">
        <v>320</v>
      </c>
      <c r="P35" s="1633"/>
      <c r="V35" s="1633"/>
    </row>
    <row r="36" spans="1:22" ht="16.5" customHeight="1">
      <c r="A36" s="280" t="s">
        <v>310</v>
      </c>
      <c r="B36" s="281" t="s">
        <v>299</v>
      </c>
      <c r="C36" s="282" t="s">
        <v>311</v>
      </c>
      <c r="D36" s="282" t="s">
        <v>312</v>
      </c>
      <c r="E36" s="283" t="s">
        <v>313</v>
      </c>
      <c r="F36" s="287"/>
      <c r="G36" s="287"/>
      <c r="H36" s="287"/>
      <c r="I36" s="287"/>
      <c r="J36" s="1641"/>
      <c r="K36" s="3631"/>
      <c r="L36" s="3631"/>
      <c r="M36" s="1071" t="s">
        <v>321</v>
      </c>
      <c r="N36" s="3631"/>
      <c r="O36" s="3631"/>
      <c r="P36" s="1633"/>
      <c r="V36" s="1633"/>
    </row>
    <row r="37" spans="1:22" ht="16.5" customHeight="1" thickBot="1">
      <c r="A37" s="1065" t="s">
        <v>314</v>
      </c>
      <c r="B37" s="270">
        <f>'数据-汇总表'!G21+'数据-汇总表'!E11</f>
        <v>1456.86</v>
      </c>
      <c r="C37" s="3505">
        <f>47989*0.25*0.25</f>
        <v>2999.3125</v>
      </c>
      <c r="D37" s="3835">
        <v>3.0499999999999999E-2</v>
      </c>
      <c r="E37" s="272">
        <f>ROUND(C37*B37*(1+D37)/10000,0)</f>
        <v>450</v>
      </c>
      <c r="F37" s="287"/>
      <c r="G37" s="287"/>
      <c r="H37" s="287"/>
      <c r="I37" s="287"/>
      <c r="J37" s="1641"/>
      <c r="K37" s="3632"/>
      <c r="L37" s="3632"/>
      <c r="M37" s="1072"/>
      <c r="N37" s="3632"/>
      <c r="O37" s="3632"/>
      <c r="P37" s="1633"/>
      <c r="V37" s="1633"/>
    </row>
    <row r="38" spans="1:22" ht="16.5" customHeight="1" thickBot="1">
      <c r="A38" s="1065" t="s">
        <v>315</v>
      </c>
      <c r="B38" s="270">
        <f>'数据-汇总表'!G20</f>
        <v>18058.14</v>
      </c>
      <c r="C38" s="3505">
        <f>47989*0.25*0.15</f>
        <v>1799.5874999999999</v>
      </c>
      <c r="D38" s="3835">
        <f>D37</f>
        <v>3.0499999999999999E-2</v>
      </c>
      <c r="E38" s="272">
        <f>ROUND(C38*B38*(1+D38)/10000,0)</f>
        <v>3349</v>
      </c>
      <c r="F38" s="287"/>
      <c r="G38" s="287"/>
      <c r="H38" s="287"/>
      <c r="I38" s="287"/>
      <c r="J38" s="1641"/>
      <c r="K38" s="1073">
        <f>'数据-汇总表'!D3</f>
        <v>36842.300000000003</v>
      </c>
      <c r="L38" s="1074">
        <f>'数据-汇总表'!E3</f>
        <v>122231.91</v>
      </c>
      <c r="M38" s="1074">
        <f ca="1">C34</f>
        <v>122318</v>
      </c>
      <c r="N38" s="1074">
        <f ca="1">C33</f>
        <v>36868</v>
      </c>
      <c r="O38" s="1075">
        <f ca="1">C32</f>
        <v>450648</v>
      </c>
      <c r="P38" s="1633"/>
      <c r="V38" s="1633"/>
    </row>
    <row r="39" spans="1:22" ht="16.5" customHeight="1" thickBot="1">
      <c r="A39" s="1070"/>
      <c r="B39" s="284">
        <f>'数据-汇总表'!G22</f>
        <v>1039.3599999999999</v>
      </c>
      <c r="C39" s="3505">
        <f>47989*0.6*0.25</f>
        <v>7198.3499999999995</v>
      </c>
      <c r="D39" s="3835">
        <f>D37</f>
        <v>3.0499999999999999E-2</v>
      </c>
      <c r="E39" s="272">
        <f>ROUND(C39*B39*(1+D39)/10000,0)</f>
        <v>771</v>
      </c>
      <c r="F39" s="287"/>
      <c r="G39" s="287"/>
      <c r="H39" s="287"/>
      <c r="I39" s="287"/>
      <c r="J39" s="1641"/>
      <c r="K39" s="3643" t="str">
        <f>MID(A44,3,LEN(A44)-2)</f>
        <v>抵押价格</v>
      </c>
      <c r="L39" s="3644"/>
      <c r="M39" s="3644"/>
      <c r="N39" s="3645"/>
      <c r="O39" s="1176">
        <f ca="1">C44</f>
        <v>446078</v>
      </c>
      <c r="P39" s="1633"/>
      <c r="V39" s="1633"/>
    </row>
    <row r="40" spans="1:22" ht="19.5" thickBot="1">
      <c r="A40" s="95" t="s">
        <v>810</v>
      </c>
      <c r="B40" s="287"/>
      <c r="C40" s="287"/>
      <c r="D40" s="287"/>
      <c r="E40" s="287"/>
      <c r="F40" s="287"/>
      <c r="G40" s="287"/>
      <c r="H40" s="287"/>
      <c r="I40" s="287"/>
      <c r="J40" s="1641"/>
      <c r="K40" s="3643" t="str">
        <f>MID(A45,3,LEN(A45)-2)</f>
        <v/>
      </c>
      <c r="L40" s="3644"/>
      <c r="M40" s="3644"/>
      <c r="N40" s="3645"/>
      <c r="O40" s="1176" t="str">
        <f>C45</f>
        <v>——</v>
      </c>
      <c r="P40" s="1633"/>
      <c r="V40" s="1633"/>
    </row>
    <row r="41" spans="1:22" ht="16.5" thickBot="1">
      <c r="A41" s="288" t="s">
        <v>322</v>
      </c>
      <c r="B41" s="289"/>
      <c r="C41" s="290" t="s">
        <v>323</v>
      </c>
      <c r="D41" s="291" t="s">
        <v>324</v>
      </c>
      <c r="E41" s="291" t="s">
        <v>325</v>
      </c>
      <c r="F41" s="292" t="s">
        <v>326</v>
      </c>
      <c r="G41" s="287"/>
      <c r="H41" s="287"/>
      <c r="I41" s="287"/>
      <c r="J41" s="1641"/>
      <c r="K41" s="3643" t="str">
        <f>MID(A46,3,LEN(A46)-2)</f>
        <v/>
      </c>
      <c r="L41" s="3644"/>
      <c r="M41" s="3644"/>
      <c r="N41" s="3645"/>
      <c r="O41" s="1176" t="str">
        <f>C46</f>
        <v>——</v>
      </c>
      <c r="P41" s="1633"/>
      <c r="V41" s="1633"/>
    </row>
    <row r="42" spans="1:22" ht="29.25">
      <c r="A42" s="3672" t="s">
        <v>1582</v>
      </c>
      <c r="B42" s="3673"/>
      <c r="C42" s="244">
        <f ca="1">C32</f>
        <v>450648</v>
      </c>
      <c r="D42" s="293">
        <f ca="1">C33</f>
        <v>36868</v>
      </c>
      <c r="E42" s="293">
        <f ca="1">C34</f>
        <v>122318</v>
      </c>
      <c r="F42" s="294">
        <f ca="1">C35</f>
        <v>8155</v>
      </c>
      <c r="G42" s="287"/>
      <c r="H42" s="287"/>
      <c r="I42" s="295"/>
      <c r="J42" s="1641"/>
      <c r="K42" s="1076" t="s">
        <v>327</v>
      </c>
      <c r="L42" s="1657" t="s">
        <v>328</v>
      </c>
      <c r="M42" s="1077" t="s">
        <v>329</v>
      </c>
      <c r="N42" s="1658" t="s">
        <v>330</v>
      </c>
      <c r="O42" s="1659" t="s">
        <v>331</v>
      </c>
      <c r="P42" s="1633"/>
      <c r="V42" s="1633"/>
    </row>
    <row r="43" spans="1:22" ht="30">
      <c r="A43" s="3682" t="s">
        <v>2007</v>
      </c>
      <c r="B43" s="3683"/>
      <c r="C43" s="244">
        <f>IF(H33="正常操作",G33+G34+G35,G34+G35)</f>
        <v>4570</v>
      </c>
      <c r="D43" s="293" t="s">
        <v>17</v>
      </c>
      <c r="E43" s="293" t="s">
        <v>18</v>
      </c>
      <c r="F43" s="294" t="s">
        <v>18</v>
      </c>
      <c r="G43" s="2168" t="s">
        <v>877</v>
      </c>
      <c r="H43" s="287"/>
      <c r="I43" s="295"/>
      <c r="J43" s="1641"/>
      <c r="K43" s="1078" t="str">
        <f>C4</f>
        <v>比较法-住宅、综合</v>
      </c>
      <c r="L43" s="1079">
        <f ca="1">IF(L42="估价结果/万元",C19,C20)</f>
        <v>473941</v>
      </c>
      <c r="M43" s="1080">
        <f>C18</f>
        <v>0.5</v>
      </c>
      <c r="N43" s="1081">
        <f ca="1">IF(N42="测算结果/万元",G19,G20)</f>
        <v>450648</v>
      </c>
      <c r="O43" s="1082">
        <f ca="1">IF(O42="最终结果/万元",C32,C33)</f>
        <v>450648</v>
      </c>
      <c r="P43" s="1633"/>
      <c r="V43" s="1633"/>
    </row>
    <row r="44" spans="1:22" ht="30.75" thickBot="1">
      <c r="A44" s="3672" t="str">
        <f>IF(OR(项目基本情况!E8="抵押价格",项目基本情况!E8="已注销及未注销"),"3.抵押价格","——")</f>
        <v>3.抵押价格</v>
      </c>
      <c r="B44" s="3673"/>
      <c r="C44" s="244">
        <f ca="1">IF(A44="——","——",C42-C43)</f>
        <v>446078</v>
      </c>
      <c r="D44" s="293">
        <f ca="1">ROUND(C44*10000/'数据-汇总表'!E3,0)</f>
        <v>36494</v>
      </c>
      <c r="E44" s="293">
        <f ca="1">ROUND(C44*10000/'数据-汇总表'!D3,0)</f>
        <v>121078</v>
      </c>
      <c r="F44" s="294">
        <f ca="1">ROUND(C44/('数据-汇总表'!D3/666.67),0)</f>
        <v>8072</v>
      </c>
      <c r="G44" s="287"/>
      <c r="H44" s="287"/>
      <c r="I44" s="295"/>
      <c r="J44" s="1641"/>
      <c r="K44" s="1083" t="str">
        <f>D4</f>
        <v>剩余法-待开发</v>
      </c>
      <c r="L44" s="1084">
        <f ca="1">IF(L42="估价结果/万元",D19,D20)</f>
        <v>427355</v>
      </c>
      <c r="M44" s="1085">
        <f>D18</f>
        <v>0.5</v>
      </c>
      <c r="N44" s="1086"/>
      <c r="O44" s="1087"/>
      <c r="P44" s="1633"/>
      <c r="V44" s="1633"/>
    </row>
    <row r="45" spans="1:22" ht="15">
      <c r="A45" s="3677" t="str">
        <f>IF(项目基本情况!E8="已注销及未注销","4.抵押担保权已注销时的抵押价格",IF(项目基本情况!E8="已注销","3.抵押担保权已注销时的抵押价格","——"))</f>
        <v>——</v>
      </c>
      <c r="B45" s="3678"/>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5.75" thickBot="1">
      <c r="A46" s="3674" t="str">
        <f>IF(项目基本情况!E9="抵押净值",IF(A45="——","4.抵押净值","5.抵押净值"),"——")</f>
        <v>——</v>
      </c>
      <c r="B46" s="3675"/>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75">
      <c r="A47" s="297" t="s">
        <v>332</v>
      </c>
      <c r="B47" s="1088"/>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本次评估估价师知悉的法定优先受偿款为人民币4570万元整。</v>
      </c>
      <c r="L47" s="1633"/>
      <c r="M47" s="1633"/>
      <c r="N47" s="1633"/>
      <c r="O47" s="1633"/>
      <c r="P47" s="1633"/>
      <c r="Q47" s="1633"/>
      <c r="R47" s="1633"/>
      <c r="S47" s="1633"/>
      <c r="T47" s="1633"/>
      <c r="U47" s="1633"/>
      <c r="V47" s="1633"/>
    </row>
    <row r="48" spans="1:22" ht="12.75">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2.75">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2.75">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2.75">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2.75">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2.75">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2.75">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2.75">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2.75">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2.75">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2.75">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2.75">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2.75">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2.75">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8.75">
      <c r="A62" s="11" t="s">
        <v>339</v>
      </c>
      <c r="B62" s="1089"/>
      <c r="C62" s="1089"/>
      <c r="D62" s="1090"/>
      <c r="E62" s="1090"/>
      <c r="F62" s="1091"/>
      <c r="G62" s="1091"/>
      <c r="H62" s="1091"/>
      <c r="I62" s="1091"/>
      <c r="J62" s="1643"/>
      <c r="K62" s="1633"/>
      <c r="L62" s="1633"/>
      <c r="M62" s="1633"/>
      <c r="N62" s="1633"/>
      <c r="O62" s="1633"/>
      <c r="P62" s="1633"/>
      <c r="Q62" s="1633"/>
      <c r="R62" s="1633"/>
      <c r="S62" s="1633"/>
      <c r="T62" s="1633"/>
      <c r="U62" s="1633"/>
      <c r="V62" s="1633"/>
    </row>
    <row r="63" spans="1:22" ht="14.25" customHeight="1" thickBot="1">
      <c r="A63" s="3635" t="s">
        <v>340</v>
      </c>
      <c r="B63" s="3636"/>
      <c r="C63" s="3637"/>
      <c r="D63" s="315">
        <f ca="1">ROUND(C42*F63,0)</f>
        <v>450648</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3679" t="s">
        <v>344</v>
      </c>
      <c r="B64" s="3680"/>
      <c r="C64" s="3680"/>
      <c r="D64" s="3680"/>
      <c r="E64" s="3680"/>
      <c r="F64" s="3680"/>
      <c r="G64" s="3681"/>
      <c r="H64" s="1092"/>
      <c r="I64" s="866"/>
      <c r="J64" s="1635"/>
      <c r="K64" s="1299"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2"/>
      <c r="I65" s="866"/>
      <c r="J65" s="1635"/>
      <c r="K65" s="1093"/>
      <c r="L65" s="1094"/>
      <c r="M65" s="1094"/>
      <c r="N65" s="1124" t="s">
        <v>345</v>
      </c>
      <c r="O65" s="1125"/>
      <c r="P65" s="1126"/>
      <c r="Q65" s="1633"/>
      <c r="R65" s="1633"/>
      <c r="S65" s="1633"/>
      <c r="T65" s="1633"/>
      <c r="U65" s="1633"/>
      <c r="V65" s="1633"/>
    </row>
    <row r="66" spans="1:22" ht="25.5">
      <c r="A66" s="3676" t="s">
        <v>352</v>
      </c>
      <c r="B66" s="3642"/>
      <c r="C66" s="3642"/>
      <c r="D66" s="241" t="b">
        <f>IF(H66="情况1",0,IF(H66="情况2",D70,IF(H66="情况3",D71,IF(H66="情况4",D72))))</f>
        <v>0</v>
      </c>
      <c r="E66" s="905" t="str">
        <f>IF(H66="情况4","(销售额-原购置价)×税（费）率","销售额×税（费）率")</f>
        <v>销售额×税（费）率</v>
      </c>
      <c r="F66" s="324">
        <f>IF(H66="情况1","免征",'数据-取费表'!B41)</f>
        <v>5.6000000000000001E-2</v>
      </c>
      <c r="G66" s="325" t="s">
        <v>353</v>
      </c>
      <c r="H66" s="174"/>
      <c r="I66" s="1092"/>
      <c r="J66" s="1645"/>
      <c r="K66" s="1095">
        <v>1</v>
      </c>
      <c r="L66" s="3603" t="s">
        <v>351</v>
      </c>
      <c r="M66" s="3604"/>
      <c r="N66" s="1970"/>
      <c r="O66" s="1971"/>
      <c r="P66" s="1972"/>
      <c r="Q66" s="1633"/>
      <c r="R66" s="1633"/>
      <c r="S66" s="1633"/>
      <c r="T66" s="1633"/>
      <c r="U66" s="1633"/>
      <c r="V66" s="1633"/>
    </row>
    <row r="67" spans="1:22" ht="25.5" customHeight="1">
      <c r="A67" s="326" t="s">
        <v>355</v>
      </c>
      <c r="B67" s="3654" t="s">
        <v>356</v>
      </c>
      <c r="C67" s="3654"/>
      <c r="D67" s="327">
        <v>0</v>
      </c>
      <c r="E67" s="37" t="s">
        <v>357</v>
      </c>
      <c r="F67" s="58" t="s">
        <v>15</v>
      </c>
      <c r="G67" s="3638"/>
      <c r="H67" s="2539" t="s">
        <v>2239</v>
      </c>
      <c r="I67" s="2541"/>
      <c r="J67" s="1646"/>
      <c r="K67" s="1629">
        <v>2</v>
      </c>
      <c r="L67" s="3608" t="s">
        <v>354</v>
      </c>
      <c r="M67" s="3608"/>
      <c r="N67" s="1127">
        <f>'数据-取费表'!B2</f>
        <v>45789</v>
      </c>
      <c r="O67" s="1127"/>
      <c r="P67" s="1127"/>
      <c r="Q67" s="1633"/>
      <c r="R67" s="1633"/>
      <c r="S67" s="1633"/>
      <c r="T67" s="1633"/>
      <c r="U67" s="1633"/>
      <c r="V67" s="1633"/>
    </row>
    <row r="68" spans="1:22" ht="25.5" customHeight="1">
      <c r="A68" s="328"/>
      <c r="B68" s="3654" t="s">
        <v>359</v>
      </c>
      <c r="C68" s="3654"/>
      <c r="D68" s="329"/>
      <c r="E68" s="73"/>
      <c r="F68" s="330"/>
      <c r="G68" s="3639"/>
      <c r="H68" s="2540" t="s">
        <v>2240</v>
      </c>
      <c r="I68" s="2541"/>
      <c r="J68" s="1646"/>
      <c r="K68" s="1629">
        <v>3</v>
      </c>
      <c r="L68" s="3608" t="s">
        <v>358</v>
      </c>
      <c r="M68" s="3608"/>
      <c r="N68" s="1097">
        <f ca="1">C42</f>
        <v>450648</v>
      </c>
      <c r="O68" s="1097"/>
      <c r="P68" s="1097"/>
      <c r="Q68" s="1633"/>
      <c r="R68" s="1633"/>
      <c r="S68" s="1633"/>
      <c r="T68" s="1633"/>
      <c r="U68" s="1633"/>
      <c r="V68" s="1633"/>
    </row>
    <row r="69" spans="1:22" ht="23.45" customHeight="1">
      <c r="A69" s="331"/>
      <c r="B69" s="3654" t="s">
        <v>360</v>
      </c>
      <c r="C69" s="3654"/>
      <c r="D69" s="332"/>
      <c r="E69" s="69"/>
      <c r="F69" s="330"/>
      <c r="G69" s="3640"/>
      <c r="H69" s="2540" t="s">
        <v>2241</v>
      </c>
      <c r="I69" s="2541"/>
      <c r="J69" s="1646"/>
      <c r="K69" s="1098">
        <v>4</v>
      </c>
      <c r="L69" s="3609" t="s">
        <v>2152</v>
      </c>
      <c r="M69" s="3610"/>
      <c r="N69" s="1099">
        <f ca="1">C44</f>
        <v>446078</v>
      </c>
      <c r="O69" s="1099"/>
      <c r="P69" s="1099"/>
      <c r="Q69" s="1633"/>
      <c r="R69" s="1633"/>
      <c r="S69" s="1633"/>
      <c r="T69" s="1633"/>
      <c r="U69" s="1633"/>
      <c r="V69" s="1633"/>
    </row>
    <row r="70" spans="1:22" ht="24" customHeight="1">
      <c r="A70" s="333" t="s">
        <v>361</v>
      </c>
      <c r="B70" s="3654" t="s">
        <v>362</v>
      </c>
      <c r="C70" s="3654"/>
      <c r="D70" s="332">
        <f ca="1">ROUND(D63*'数据-取费表'!B41/(1+'数据-取费表'!C42),0)</f>
        <v>24035</v>
      </c>
      <c r="E70" s="14" t="s">
        <v>363</v>
      </c>
      <c r="F70" s="334">
        <f>'数据-取费表'!B41</f>
        <v>5.6000000000000001E-2</v>
      </c>
      <c r="G70" s="335"/>
      <c r="H70" s="287"/>
      <c r="I70" s="1096"/>
      <c r="J70" s="1646"/>
      <c r="K70" s="2330"/>
      <c r="L70" s="2331"/>
      <c r="M70" s="2331"/>
      <c r="N70" s="2332" t="s">
        <v>2156</v>
      </c>
      <c r="O70" s="2331"/>
      <c r="P70" s="2333"/>
      <c r="Q70" s="1633"/>
      <c r="R70" s="1633"/>
      <c r="S70" s="1633"/>
      <c r="T70" s="1633"/>
      <c r="U70" s="1633"/>
      <c r="V70" s="1633"/>
    </row>
    <row r="71" spans="1:22" ht="12" customHeight="1">
      <c r="A71" s="333" t="s">
        <v>369</v>
      </c>
      <c r="B71" s="3653" t="s">
        <v>2264</v>
      </c>
      <c r="C71" s="3670"/>
      <c r="D71" s="332">
        <f ca="1">ROUND(D63*'数据-取费表'!B41/(1+'数据-取费表'!C42),0)</f>
        <v>24035</v>
      </c>
      <c r="E71" s="14" t="s">
        <v>363</v>
      </c>
      <c r="F71" s="334">
        <f>'数据-取费表'!B41</f>
        <v>5.6000000000000001E-2</v>
      </c>
      <c r="G71" s="335"/>
      <c r="H71" s="287"/>
      <c r="I71" s="1096"/>
      <c r="J71" s="1646"/>
      <c r="K71" s="2329" t="s">
        <v>364</v>
      </c>
      <c r="L71" s="3611" t="s">
        <v>365</v>
      </c>
      <c r="M71" s="3611"/>
      <c r="N71" s="2329" t="s">
        <v>366</v>
      </c>
      <c r="O71" s="2329" t="s">
        <v>367</v>
      </c>
      <c r="P71" s="2329" t="s">
        <v>368</v>
      </c>
      <c r="Q71" s="1633"/>
      <c r="R71" s="1633"/>
      <c r="S71" s="1633"/>
      <c r="T71" s="1633"/>
      <c r="U71" s="1633"/>
      <c r="V71" s="1633"/>
    </row>
    <row r="72" spans="1:22" ht="12" customHeight="1">
      <c r="A72" s="333" t="s">
        <v>371</v>
      </c>
      <c r="B72" s="3653" t="s">
        <v>2265</v>
      </c>
      <c r="C72" s="3670"/>
      <c r="D72" s="332">
        <f ca="1">C86</f>
        <v>24035</v>
      </c>
      <c r="E72" s="69" t="s">
        <v>372</v>
      </c>
      <c r="F72" s="334">
        <f>'数据-取费表'!B41</f>
        <v>5.6000000000000001E-2</v>
      </c>
      <c r="G72" s="335"/>
      <c r="H72" s="1102"/>
      <c r="I72" s="1096"/>
      <c r="J72" s="1646"/>
      <c r="K72" s="1629">
        <v>1</v>
      </c>
      <c r="L72" s="3607" t="s">
        <v>370</v>
      </c>
      <c r="M72" s="3607"/>
      <c r="N72" s="1100" t="b">
        <f>D66</f>
        <v>0</v>
      </c>
      <c r="O72" s="1536" t="str">
        <f>E66</f>
        <v>销售额×税（费）率</v>
      </c>
      <c r="P72" s="1101">
        <f>F66</f>
        <v>5.6000000000000001E-2</v>
      </c>
      <c r="Q72" s="1633"/>
      <c r="R72" s="1633"/>
      <c r="S72" s="1633"/>
      <c r="T72" s="1633"/>
      <c r="U72" s="1633"/>
      <c r="V72" s="1633"/>
    </row>
    <row r="73" spans="1:22" ht="24" customHeight="1">
      <c r="A73" s="3641" t="s">
        <v>374</v>
      </c>
      <c r="B73" s="3642"/>
      <c r="C73" s="3642"/>
      <c r="D73" s="336">
        <f ca="1">IF(H73="个人住宅",0,ROUND(D63*I73,0))</f>
        <v>225</v>
      </c>
      <c r="E73" s="14" t="s">
        <v>375</v>
      </c>
      <c r="F73" s="334" t="str">
        <f>IF(H73="正常",I73,"免征")</f>
        <v>免征</v>
      </c>
      <c r="G73" s="335"/>
      <c r="H73" s="174"/>
      <c r="I73" s="334">
        <f>'数据-取费表'!B49</f>
        <v>5.0000000000000001E-4</v>
      </c>
      <c r="J73" s="1646"/>
      <c r="K73" s="1629">
        <v>2</v>
      </c>
      <c r="L73" s="3607" t="s">
        <v>373</v>
      </c>
      <c r="M73" s="3607"/>
      <c r="N73" s="1100">
        <f t="shared" ref="N73:P74" ca="1" si="0">D73</f>
        <v>225</v>
      </c>
      <c r="O73" s="1536" t="str">
        <f t="shared" si="0"/>
        <v>销售额×税（费）率</v>
      </c>
      <c r="P73" s="1101" t="str">
        <f t="shared" si="0"/>
        <v>免征</v>
      </c>
      <c r="Q73" s="1633"/>
      <c r="R73" s="1633"/>
      <c r="S73" s="1633"/>
      <c r="T73" s="1633"/>
      <c r="U73" s="1633"/>
      <c r="V73" s="1633"/>
    </row>
    <row r="74" spans="1:22" ht="24.75">
      <c r="A74" s="3641" t="s">
        <v>377</v>
      </c>
      <c r="B74" s="3642"/>
      <c r="C74" s="3642"/>
      <c r="D74" s="336">
        <f ca="1">IF(H74="个人住宅",D75,D76)</f>
        <v>255067</v>
      </c>
      <c r="E74" s="14" t="s">
        <v>378</v>
      </c>
      <c r="F74" s="334" t="str">
        <f>IF(H74="正常",F76,"免征")</f>
        <v>免征</v>
      </c>
      <c r="G74" s="896" t="s">
        <v>379</v>
      </c>
      <c r="H74" s="337"/>
      <c r="I74" s="38"/>
      <c r="J74" s="1646"/>
      <c r="K74" s="1629">
        <v>3</v>
      </c>
      <c r="L74" s="3607" t="s">
        <v>376</v>
      </c>
      <c r="M74" s="3607"/>
      <c r="N74" s="1100">
        <f t="shared" ca="1" si="0"/>
        <v>255067</v>
      </c>
      <c r="O74" s="1536" t="str">
        <f t="shared" si="0"/>
        <v>增值额×税（费）率</v>
      </c>
      <c r="P74" s="1103" t="str">
        <f t="shared" si="0"/>
        <v>免征</v>
      </c>
      <c r="Q74" s="1633"/>
      <c r="R74" s="1633"/>
      <c r="S74" s="1633"/>
      <c r="T74" s="1633"/>
      <c r="U74" s="1633"/>
      <c r="V74" s="1633"/>
    </row>
    <row r="75" spans="1:22" ht="12.75">
      <c r="A75" s="333" t="s">
        <v>380</v>
      </c>
      <c r="B75" s="3622" t="s">
        <v>381</v>
      </c>
      <c r="C75" s="3623"/>
      <c r="D75" s="338">
        <v>0</v>
      </c>
      <c r="E75" s="37" t="s">
        <v>382</v>
      </c>
      <c r="F75" s="339"/>
      <c r="G75" s="335"/>
      <c r="H75" s="38"/>
      <c r="I75" s="38"/>
      <c r="J75" s="1646"/>
      <c r="K75" s="1629">
        <f>IF(H77="非个人房产","",4)</f>
        <v>4</v>
      </c>
      <c r="L75" s="3607" t="str">
        <f>IF(H77="非个人房产","——","个人所得税")</f>
        <v>个人所得税</v>
      </c>
      <c r="M75" s="3607"/>
      <c r="N75" s="1104">
        <f>D77</f>
        <v>0</v>
      </c>
      <c r="O75" s="1537" t="str">
        <f>E77</f>
        <v>差额计税</v>
      </c>
      <c r="P75" s="1105">
        <f>F77</f>
        <v>0.01</v>
      </c>
      <c r="Q75" s="1633"/>
      <c r="R75" s="1633"/>
      <c r="S75" s="1633"/>
      <c r="T75" s="1633"/>
      <c r="U75" s="1633"/>
      <c r="V75" s="1633"/>
    </row>
    <row r="76" spans="1:22" ht="24.75">
      <c r="A76" s="333" t="s">
        <v>361</v>
      </c>
      <c r="B76" s="3622" t="s">
        <v>384</v>
      </c>
      <c r="C76" s="3664"/>
      <c r="D76" s="336">
        <f ca="1">IF(H76="转让取得",C99,C115)</f>
        <v>255067</v>
      </c>
      <c r="E76" s="14" t="s">
        <v>385</v>
      </c>
      <c r="F76" s="49" t="s">
        <v>15</v>
      </c>
      <c r="G76" s="335"/>
      <c r="H76" s="337"/>
      <c r="I76" s="38"/>
      <c r="J76" s="1646"/>
      <c r="K76" s="1629" t="str">
        <f>IF(项目基本情况!K6="上海银行",IF(K75="",4,K75+1),"")</f>
        <v/>
      </c>
      <c r="L76" s="3618" t="str">
        <f>IF(项目基本情况!K6="上海银行","其他处置费用","")</f>
        <v/>
      </c>
      <c r="M76" s="3619"/>
      <c r="N76" s="1100" t="str">
        <f>IF(项目基本情况!K6="上海银行",N89,"")</f>
        <v/>
      </c>
      <c r="O76" s="3620" t="str">
        <f>IF(项目基本情况!K6="上海银行","包含处置中涉及的律师、诉讼、拍卖、评估等费用","")</f>
        <v/>
      </c>
      <c r="P76" s="3621"/>
      <c r="Q76" s="1633"/>
      <c r="R76" s="1633"/>
      <c r="S76" s="1633"/>
      <c r="T76" s="1633"/>
      <c r="U76" s="1633"/>
      <c r="V76" s="1633"/>
    </row>
    <row r="77" spans="1:22" ht="24.75" thickBot="1">
      <c r="A77" s="3633" t="s">
        <v>387</v>
      </c>
      <c r="B77" s="3634"/>
      <c r="C77" s="3634"/>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2242</v>
      </c>
      <c r="J77" s="1646"/>
      <c r="K77" s="3629">
        <f>IF(AND(K75="",K76=""),4,IF(项目基本情况!K6="上海银行",K76+1,K75+1))</f>
        <v>5</v>
      </c>
      <c r="L77" s="3607" t="s">
        <v>2153</v>
      </c>
      <c r="M77" s="2328" t="s">
        <v>383</v>
      </c>
      <c r="N77" s="1106"/>
      <c r="O77" s="1107">
        <f ca="1">SUMIF(N72:N76,"&lt;9e307")</f>
        <v>255292</v>
      </c>
      <c r="P77" s="1108"/>
      <c r="Q77" s="2326">
        <f ca="1">O77/N69</f>
        <v>0.57230349849129525</v>
      </c>
      <c r="R77" s="1633"/>
      <c r="S77" s="1633"/>
      <c r="T77" s="1633"/>
      <c r="U77" s="1633"/>
      <c r="V77" s="1633"/>
    </row>
    <row r="78" spans="1:22" ht="12" customHeight="1">
      <c r="A78" s="1109"/>
      <c r="B78" s="287"/>
      <c r="C78" s="287"/>
      <c r="D78" s="287"/>
      <c r="E78" s="38"/>
      <c r="F78" s="38"/>
      <c r="G78" s="38"/>
      <c r="H78" s="866"/>
      <c r="I78" s="287"/>
      <c r="J78" s="1646"/>
      <c r="K78" s="3629"/>
      <c r="L78" s="3607"/>
      <c r="M78" s="2328" t="s">
        <v>386</v>
      </c>
      <c r="N78" s="1106"/>
      <c r="O78" s="1107" t="str">
        <f ca="1">NUMBERSTRING(INT(O77*10000),2)&amp;"元整"</f>
        <v>贰拾伍亿伍仟贰佰玖拾贰万元整</v>
      </c>
      <c r="P78" s="1108"/>
      <c r="Q78" s="1633"/>
      <c r="R78" s="1633"/>
      <c r="S78" s="1633"/>
      <c r="T78" s="1633"/>
      <c r="U78" s="1633"/>
      <c r="V78" s="1633"/>
    </row>
    <row r="79" spans="1:22" ht="13.5" thickBot="1">
      <c r="A79" s="3684" t="s">
        <v>388</v>
      </c>
      <c r="B79" s="3684"/>
      <c r="C79" s="3684"/>
      <c r="D79" s="3684"/>
      <c r="E79" s="3684"/>
      <c r="F79" s="38"/>
      <c r="G79" s="38"/>
      <c r="H79" s="866"/>
      <c r="I79" s="287"/>
      <c r="J79" s="1646"/>
      <c r="K79" s="3605">
        <f>K77+1</f>
        <v>6</v>
      </c>
      <c r="L79" s="3607" t="s">
        <v>2154</v>
      </c>
      <c r="M79" s="2328" t="s">
        <v>383</v>
      </c>
      <c r="N79" s="1106"/>
      <c r="O79" s="1107">
        <f ca="1">N69-O77</f>
        <v>190786</v>
      </c>
      <c r="P79" s="1108"/>
      <c r="Q79" s="1633"/>
      <c r="R79" s="1633"/>
      <c r="S79" s="1633"/>
      <c r="T79" s="1633"/>
      <c r="U79" s="1633"/>
      <c r="V79" s="1633"/>
    </row>
    <row r="80" spans="1:22" ht="25.5">
      <c r="A80" s="3615" t="s">
        <v>389</v>
      </c>
      <c r="B80" s="3616"/>
      <c r="C80" s="906"/>
      <c r="D80" s="906" t="s">
        <v>390</v>
      </c>
      <c r="E80" s="340" t="s">
        <v>391</v>
      </c>
      <c r="F80" s="38"/>
      <c r="G80" s="38"/>
      <c r="H80" s="866"/>
      <c r="I80" s="287"/>
      <c r="J80" s="1633"/>
      <c r="K80" s="3606"/>
      <c r="L80" s="3607"/>
      <c r="M80" s="2328" t="s">
        <v>386</v>
      </c>
      <c r="N80" s="1106"/>
      <c r="O80" s="1107" t="str">
        <f ca="1">NUMBERSTRING(INT(O79*10000),2)&amp;"元整"</f>
        <v>壹拾玖亿零柒佰捌拾陆万元整</v>
      </c>
      <c r="P80" s="1108"/>
      <c r="Q80" s="1633"/>
      <c r="R80" s="1633"/>
      <c r="S80" s="1633"/>
      <c r="T80" s="1633"/>
      <c r="U80" s="1633"/>
      <c r="V80" s="1633"/>
    </row>
    <row r="81" spans="1:26" ht="13.5" thickBot="1">
      <c r="A81" s="351" t="s">
        <v>1352</v>
      </c>
      <c r="B81" s="341" t="s">
        <v>392</v>
      </c>
      <c r="C81" s="342">
        <f ca="1">ROUND((C82+C83)/(1+'数据-取费表'!C42),0)</f>
        <v>429189</v>
      </c>
      <c r="D81" s="343"/>
      <c r="E81" s="344"/>
      <c r="F81" s="38"/>
      <c r="G81" s="38"/>
      <c r="H81" s="866"/>
      <c r="I81" s="287"/>
      <c r="J81" s="1633"/>
      <c r="K81" s="1629">
        <f>K79+1</f>
        <v>7</v>
      </c>
      <c r="L81" s="3627" t="s">
        <v>2155</v>
      </c>
      <c r="M81" s="3628"/>
      <c r="N81" s="1110"/>
      <c r="O81" s="1111">
        <f ca="1">ROUND(O79*10000/'数据-汇总表'!E3,0)</f>
        <v>15609</v>
      </c>
      <c r="P81" s="1112"/>
      <c r="Q81" s="1633"/>
      <c r="R81" s="1633"/>
      <c r="S81" s="1633"/>
      <c r="T81" s="1633"/>
      <c r="U81" s="1633"/>
      <c r="V81" s="1633"/>
    </row>
    <row r="82" spans="1:26" ht="13.5" thickTop="1">
      <c r="A82" s="345" t="s">
        <v>1353</v>
      </c>
      <c r="B82" s="346" t="s">
        <v>393</v>
      </c>
      <c r="C82" s="347">
        <f ca="1">D63</f>
        <v>450648</v>
      </c>
      <c r="D82" s="348" t="s">
        <v>13</v>
      </c>
      <c r="E82" s="349"/>
      <c r="F82" s="38"/>
      <c r="G82" s="38"/>
      <c r="H82" s="866"/>
      <c r="I82" s="287"/>
      <c r="J82" s="1633"/>
      <c r="K82" s="1633"/>
      <c r="L82" s="1633"/>
      <c r="M82" s="1633"/>
      <c r="N82" s="1633"/>
      <c r="O82" s="1633"/>
      <c r="P82" s="1633"/>
      <c r="Q82" s="1633"/>
      <c r="R82" s="1633"/>
      <c r="S82" s="1633"/>
      <c r="T82" s="1633"/>
      <c r="U82" s="1633"/>
      <c r="V82" s="1633"/>
    </row>
    <row r="83" spans="1:26" ht="12.75">
      <c r="A83" s="345" t="s">
        <v>1354</v>
      </c>
      <c r="B83" s="346" t="s">
        <v>394</v>
      </c>
      <c r="C83" s="350"/>
      <c r="D83" s="348"/>
      <c r="E83" s="349"/>
      <c r="F83" s="38"/>
      <c r="G83" s="38"/>
      <c r="H83" s="866"/>
      <c r="I83" s="287"/>
      <c r="J83" s="1633"/>
      <c r="K83" s="3617" t="s">
        <v>2143</v>
      </c>
      <c r="L83" s="2334" t="s">
        <v>2144</v>
      </c>
      <c r="M83" s="2324">
        <f ca="1">IF(N69&gt;10000,N69*0.5%,IF(AND(N69&gt;1000,N69&lt;=10000),N69*1%,IF(AND(N69&gt;100,N69&lt;=1000),N69*3%,IF(AND(N69&gt;10,N69&lt;=100),N69*5%,N69*8%))))</f>
        <v>2230.39</v>
      </c>
      <c r="N83" s="49">
        <f ca="1">ROUND(M83,1)</f>
        <v>2230.4</v>
      </c>
      <c r="O83" s="2327"/>
      <c r="P83" s="1633"/>
      <c r="Q83" s="1633"/>
      <c r="R83" s="1633"/>
      <c r="S83" s="1633"/>
      <c r="T83" s="1633"/>
      <c r="U83" s="1633"/>
      <c r="V83" s="1633"/>
    </row>
    <row r="84" spans="1:26" ht="12.75">
      <c r="A84" s="351" t="s">
        <v>1355</v>
      </c>
      <c r="B84" s="352" t="s">
        <v>395</v>
      </c>
      <c r="C84" s="353"/>
      <c r="D84" s="354" t="s">
        <v>13</v>
      </c>
      <c r="E84" s="2349" t="s">
        <v>2185</v>
      </c>
      <c r="F84" s="38"/>
      <c r="G84" s="38"/>
      <c r="H84" s="866"/>
      <c r="I84" s="287"/>
      <c r="J84" s="1633"/>
      <c r="K84" s="3617"/>
      <c r="L84" s="2334" t="s">
        <v>2145</v>
      </c>
      <c r="M84" s="2324">
        <f ca="1">IF(N69&gt;2000,N69*0.5%,IF(AND(N69&gt;1000,N69&lt;=2000),N69*0.6%,IF(AND(N69&gt;500,N69&lt;=1000),N69*0.7%,IF(AND(N69&gt;200,N69&lt;=500),N69*0.8%,IF(AND(N69&gt;100,N69&lt;=200),N69*0.9%,IF(AND(N69&gt;50,N69&lt;=100),N69*1%,IF(AND(N69&gt;20,N69&lt;=50),N69*1.5%,IF(AND(N69&gt;10,N69&lt;=20),N69*2%,IF(AND(N69&gt;1,N69&lt;=10),N69*2.5%)))))))))</f>
        <v>2230.39</v>
      </c>
      <c r="N84" s="49">
        <f ca="1">ROUND(M84,1)</f>
        <v>2230.4</v>
      </c>
      <c r="O84" s="1633" t="s">
        <v>2146</v>
      </c>
      <c r="P84" s="1633"/>
      <c r="Q84" s="1633"/>
      <c r="R84" s="1633"/>
      <c r="S84" s="1633"/>
      <c r="T84" s="1633"/>
      <c r="U84" s="1633"/>
      <c r="V84" s="1633"/>
    </row>
    <row r="85" spans="1:26" ht="12.75">
      <c r="A85" s="351" t="s">
        <v>1356</v>
      </c>
      <c r="B85" s="352" t="s">
        <v>396</v>
      </c>
      <c r="C85" s="355">
        <f ca="1">C81-C84</f>
        <v>429189</v>
      </c>
      <c r="D85" s="348" t="s">
        <v>13</v>
      </c>
      <c r="E85" s="349"/>
      <c r="F85" s="38"/>
      <c r="G85" s="38"/>
      <c r="H85" s="866"/>
      <c r="I85" s="287"/>
      <c r="J85" s="1633"/>
      <c r="K85" s="3617"/>
      <c r="L85" s="2334" t="s">
        <v>2147</v>
      </c>
      <c r="M85" s="2324">
        <f ca="1">IF(N69&gt;1000,N69*0.1%,IF(AND(N69&gt;500,N69&lt;=1000),N69*0.5%,IF(AND(N69&gt;50,N69&lt;=500),N69*1%,IF(AND(N69&gt;1,N69&lt;=50),N69*1.5%))))</f>
        <v>446.07800000000003</v>
      </c>
      <c r="N85" s="49">
        <f ca="1">ROUND(M85,1)</f>
        <v>446.1</v>
      </c>
      <c r="O85" s="1633" t="s">
        <v>2146</v>
      </c>
      <c r="P85" s="1633"/>
      <c r="Q85" s="1633"/>
      <c r="R85" s="1633"/>
      <c r="S85" s="1633"/>
      <c r="T85" s="1633"/>
      <c r="U85" s="1633"/>
      <c r="V85" s="1633"/>
    </row>
    <row r="86" spans="1:26" ht="13.5" thickBot="1">
      <c r="A86" s="356" t="s">
        <v>1357</v>
      </c>
      <c r="B86" s="357" t="s">
        <v>397</v>
      </c>
      <c r="C86" s="358">
        <f ca="1">IF(C85&lt;=0,0,ROUND(C85*D86,0))</f>
        <v>24035</v>
      </c>
      <c r="D86" s="359">
        <f>'数据-取费表'!B41</f>
        <v>5.6000000000000001E-2</v>
      </c>
      <c r="E86" s="360"/>
      <c r="F86" s="38"/>
      <c r="G86" s="38"/>
      <c r="H86" s="866"/>
      <c r="I86" s="287"/>
      <c r="J86" s="1633"/>
      <c r="K86" s="3617"/>
      <c r="L86" s="2334" t="s">
        <v>2148</v>
      </c>
      <c r="M86" s="2324">
        <f ca="1">N69*0.5%</f>
        <v>2230.39</v>
      </c>
      <c r="N86" s="49">
        <f ca="1">IF(M86&gt;0.5,0.5,ROUND(M86,0))</f>
        <v>0.5</v>
      </c>
      <c r="O86" s="1633" t="s">
        <v>2149</v>
      </c>
      <c r="P86" s="1633"/>
      <c r="Q86" s="1633"/>
      <c r="R86" s="1633"/>
      <c r="S86" s="1633"/>
      <c r="T86" s="1633"/>
      <c r="U86" s="1633"/>
      <c r="V86" s="1633"/>
    </row>
    <row r="87" spans="1:26" ht="14.25" customHeight="1">
      <c r="A87" s="1113"/>
      <c r="B87" s="1114"/>
      <c r="C87" s="1115"/>
      <c r="D87" s="1116"/>
      <c r="E87" s="1117"/>
      <c r="F87" s="38"/>
      <c r="G87" s="38"/>
      <c r="H87" s="866"/>
      <c r="I87" s="287"/>
      <c r="J87" s="1633"/>
      <c r="K87" s="3617"/>
      <c r="L87" s="2334" t="s">
        <v>2150</v>
      </c>
      <c r="M87" s="2324">
        <f ca="1">IF(N69&gt;=10000,(8.25+(N69-10000)*0.01%),IF(AND(N69&gt;=8000,N69&lt;10000),(7.85+(N69-8000)*0.02%),IF(AND(N69&gt;=5000,N69&lt;8000),(6.65+(N69-5000)*0.04%),IF(AND(N69&gt;=2000,N69&lt;5000),(4.25+(PN69-2000)*0.08%),IF(AND(N69&gt;=1000,N69&lt;2000),(2.75+(N69-1000)*0.15%),IF(AND(N69&gt;=100,N69&lt;1000),(0.5+(N69-100)*0.25%),IF(AND(N69&gt;0,N69&lt;100),N69*0.5%)))))))</f>
        <v>51.857800000000005</v>
      </c>
      <c r="N87" s="49">
        <f ca="1">ROUND(M87*0.9,1)</f>
        <v>46.7</v>
      </c>
      <c r="O87" s="2327"/>
      <c r="P87" s="1633"/>
      <c r="Q87" s="1633"/>
      <c r="R87" s="1633"/>
      <c r="S87" s="1633"/>
      <c r="T87" s="1633"/>
      <c r="U87" s="1633"/>
      <c r="V87" s="1633"/>
    </row>
    <row r="88" spans="1:26" s="1006" customFormat="1" ht="15" thickBot="1">
      <c r="A88" s="3656" t="s">
        <v>398</v>
      </c>
      <c r="B88" s="3657"/>
      <c r="C88" s="3657"/>
      <c r="D88" s="3657"/>
      <c r="E88" s="3657"/>
      <c r="F88" s="3657"/>
      <c r="G88" s="3657"/>
      <c r="H88" s="3657"/>
      <c r="I88" s="1118"/>
      <c r="J88" s="1647"/>
      <c r="K88" s="3617"/>
      <c r="L88" s="2334" t="s">
        <v>2151</v>
      </c>
      <c r="M88" s="2324">
        <f ca="1">IF(N69&gt;10000,N69*0.5%,IF(AND(N69&gt;5000,N69&lt;=10000),N69*1%,IF(AND(N69&gt;1000,N69&lt;=5000),N69*2%,IF(AND(N69&gt;200,N69&lt;=1000),N69*3%,N69*5%))))</f>
        <v>2230.39</v>
      </c>
      <c r="N88" s="49">
        <f ca="1">ROUND(M88,1)</f>
        <v>2230.4</v>
      </c>
      <c r="O88" s="2327"/>
      <c r="P88" s="1644"/>
      <c r="Q88" s="1644"/>
      <c r="R88" s="1644"/>
      <c r="S88" s="1644"/>
      <c r="T88" s="1644"/>
      <c r="U88" s="1644"/>
      <c r="V88" s="1644"/>
      <c r="W88" s="1648"/>
      <c r="X88" s="1648"/>
      <c r="Y88" s="1648"/>
      <c r="Z88" s="1648"/>
    </row>
    <row r="89" spans="1:26" s="1006" customFormat="1" ht="14.25">
      <c r="A89" s="3615" t="s">
        <v>389</v>
      </c>
      <c r="B89" s="3616"/>
      <c r="C89" s="906"/>
      <c r="D89" s="906" t="s">
        <v>390</v>
      </c>
      <c r="E89" s="361" t="s">
        <v>399</v>
      </c>
      <c r="F89" s="362"/>
      <c r="G89" s="362"/>
      <c r="H89" s="363"/>
      <c r="I89" s="1119"/>
      <c r="J89" s="1649"/>
      <c r="K89" s="3617"/>
      <c r="L89" s="2334" t="s">
        <v>16</v>
      </c>
      <c r="M89" s="2325"/>
      <c r="N89" s="49">
        <f ca="1">ROUND(SUM(N83:N88),0)</f>
        <v>7185</v>
      </c>
      <c r="O89" s="2335">
        <f ca="1">N89/N69</f>
        <v>1.610704854307991E-2</v>
      </c>
      <c r="P89" s="1644"/>
      <c r="Q89" s="1644"/>
      <c r="R89" s="1644"/>
      <c r="S89" s="1644"/>
      <c r="T89" s="1644"/>
      <c r="U89" s="1644"/>
      <c r="V89" s="1644"/>
      <c r="W89" s="1648"/>
      <c r="X89" s="1648"/>
      <c r="Y89" s="1648"/>
      <c r="Z89" s="1648"/>
    </row>
    <row r="90" spans="1:26" s="1006" customFormat="1" ht="14.25">
      <c r="A90" s="351" t="s">
        <v>1352</v>
      </c>
      <c r="B90" s="352" t="s">
        <v>400</v>
      </c>
      <c r="C90" s="355">
        <f ca="1">ROUND(D63/(1+'数据-取费表'!C42),0)</f>
        <v>429189</v>
      </c>
      <c r="D90" s="348" t="s">
        <v>13</v>
      </c>
      <c r="E90" s="904"/>
      <c r="F90" s="903"/>
      <c r="G90" s="903"/>
      <c r="H90" s="364"/>
      <c r="I90" s="1119"/>
      <c r="J90" s="1649"/>
      <c r="K90" s="1644"/>
      <c r="L90" s="1644"/>
      <c r="M90" s="1644"/>
      <c r="N90" s="1644"/>
      <c r="O90" s="1644"/>
      <c r="P90" s="1644"/>
      <c r="Q90" s="1644"/>
      <c r="R90" s="1644"/>
      <c r="S90" s="1644"/>
      <c r="T90" s="1644"/>
      <c r="U90" s="1644"/>
      <c r="V90" s="1644"/>
      <c r="W90" s="1648"/>
      <c r="X90" s="1648"/>
      <c r="Y90" s="1648"/>
      <c r="Z90" s="1648"/>
    </row>
    <row r="91" spans="1:26" s="1006" customFormat="1" ht="14.25">
      <c r="A91" s="351" t="s">
        <v>1358</v>
      </c>
      <c r="B91" s="322" t="s">
        <v>401</v>
      </c>
      <c r="C91" s="355">
        <f ca="1">C92+C96</f>
        <v>2575</v>
      </c>
      <c r="D91" s="348" t="s">
        <v>13</v>
      </c>
      <c r="E91" s="904"/>
      <c r="F91" s="903"/>
      <c r="G91" s="903"/>
      <c r="H91" s="364"/>
      <c r="I91" s="1119"/>
      <c r="J91" s="1649"/>
      <c r="K91" s="1644"/>
      <c r="L91" s="1644"/>
      <c r="M91" s="1644"/>
      <c r="N91" s="1644"/>
      <c r="O91" s="1644"/>
      <c r="P91" s="1644"/>
      <c r="Q91" s="1644"/>
      <c r="R91" s="1644"/>
      <c r="S91" s="1644"/>
      <c r="T91" s="1644"/>
      <c r="U91" s="1644"/>
      <c r="V91" s="1644"/>
      <c r="W91" s="1648"/>
      <c r="X91" s="1648"/>
      <c r="Y91" s="1648"/>
      <c r="Z91" s="1648"/>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49"/>
      <c r="K92" s="1644"/>
      <c r="L92" s="1644"/>
      <c r="M92" s="1644"/>
      <c r="N92" s="1644"/>
      <c r="O92" s="1644"/>
      <c r="P92" s="1644"/>
      <c r="Q92" s="1644"/>
      <c r="R92" s="1644"/>
      <c r="S92" s="1644"/>
      <c r="T92" s="1644"/>
      <c r="U92" s="1644"/>
      <c r="V92" s="1644"/>
      <c r="W92" s="1648"/>
      <c r="X92" s="1648"/>
      <c r="Y92" s="1648"/>
      <c r="Z92" s="1648"/>
    </row>
    <row r="93" spans="1:26" s="1006" customFormat="1" ht="14.25">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6" customFormat="1" ht="24.75" customHeight="1">
      <c r="A94" s="365" t="s">
        <v>1361</v>
      </c>
      <c r="B94" s="370" t="s">
        <v>406</v>
      </c>
      <c r="C94" s="348">
        <f>IF(F93="购房发票",ROUND(C93*H93*5%,0),0)</f>
        <v>0</v>
      </c>
      <c r="D94" s="371">
        <v>0.05</v>
      </c>
      <c r="E94" s="3653" t="s">
        <v>407</v>
      </c>
      <c r="F94" s="3654"/>
      <c r="G94" s="3654"/>
      <c r="H94" s="3655"/>
      <c r="I94" s="1119"/>
      <c r="J94" s="1649"/>
      <c r="K94" s="1644"/>
      <c r="L94" s="1644"/>
      <c r="M94" s="1644"/>
      <c r="N94" s="1644"/>
      <c r="O94" s="1644"/>
      <c r="P94" s="1644"/>
      <c r="Q94" s="1644"/>
      <c r="R94" s="1644"/>
      <c r="S94" s="1644"/>
      <c r="T94" s="1644"/>
      <c r="U94" s="1644"/>
      <c r="V94" s="1644"/>
      <c r="W94" s="1648"/>
      <c r="X94" s="1648"/>
      <c r="Y94" s="1648"/>
      <c r="Z94" s="1648"/>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49"/>
      <c r="K95" s="1644"/>
      <c r="L95" s="1644"/>
      <c r="M95" s="1644"/>
      <c r="N95" s="1644"/>
      <c r="O95" s="1644"/>
      <c r="P95" s="1644"/>
      <c r="Q95" s="1644"/>
      <c r="R95" s="1644"/>
      <c r="S95" s="1644"/>
      <c r="T95" s="1644"/>
      <c r="U95" s="1644"/>
      <c r="V95" s="1644"/>
      <c r="W95" s="1648"/>
      <c r="X95" s="1648"/>
      <c r="Y95" s="1648"/>
      <c r="Z95" s="1648"/>
    </row>
    <row r="96" spans="1:26" s="1006" customFormat="1" ht="24.75" customHeight="1">
      <c r="A96" s="365" t="s">
        <v>1363</v>
      </c>
      <c r="B96" s="346" t="s">
        <v>410</v>
      </c>
      <c r="C96" s="375">
        <f ca="1">ROUND(D63*D96/(1+'数据-取费表'!C42),0)</f>
        <v>2575</v>
      </c>
      <c r="D96" s="376">
        <f>'数据-取费表'!B43</f>
        <v>6.000000000000001E-3</v>
      </c>
      <c r="E96" s="3612" t="s">
        <v>1775</v>
      </c>
      <c r="F96" s="3613"/>
      <c r="G96" s="3613"/>
      <c r="H96" s="3614"/>
      <c r="I96" s="1120"/>
      <c r="J96" s="1650"/>
      <c r="K96" s="1644"/>
      <c r="L96" s="1644"/>
      <c r="M96" s="1644"/>
      <c r="N96" s="1644"/>
      <c r="O96" s="1644"/>
      <c r="P96" s="1644"/>
      <c r="Q96" s="1644"/>
      <c r="R96" s="1644"/>
      <c r="S96" s="1644"/>
      <c r="T96" s="1644"/>
      <c r="U96" s="1644"/>
      <c r="V96" s="1644"/>
      <c r="W96" s="1648"/>
      <c r="X96" s="1648"/>
      <c r="Y96" s="1648"/>
      <c r="Z96" s="1648"/>
    </row>
    <row r="97" spans="1:26" s="1006" customFormat="1" ht="14.25">
      <c r="A97" s="1337" t="s">
        <v>1364</v>
      </c>
      <c r="B97" s="352" t="s">
        <v>411</v>
      </c>
      <c r="C97" s="355">
        <f ca="1">C90-C91</f>
        <v>426614</v>
      </c>
      <c r="D97" s="348" t="s">
        <v>13</v>
      </c>
      <c r="E97" s="904"/>
      <c r="F97" s="903"/>
      <c r="G97" s="903"/>
      <c r="H97" s="364"/>
      <c r="I97" s="1119"/>
      <c r="J97" s="1649"/>
      <c r="K97" s="1644"/>
      <c r="L97" s="1644"/>
      <c r="M97" s="1644"/>
      <c r="N97" s="1644"/>
      <c r="O97" s="1644"/>
      <c r="P97" s="1644"/>
      <c r="Q97" s="1644"/>
      <c r="R97" s="1644"/>
      <c r="S97" s="1644"/>
      <c r="T97" s="1644"/>
      <c r="U97" s="1644"/>
      <c r="V97" s="1644"/>
      <c r="W97" s="1648"/>
      <c r="X97" s="1648"/>
      <c r="Y97" s="1648"/>
      <c r="Z97" s="1648"/>
    </row>
    <row r="98" spans="1:26" s="1006" customFormat="1" ht="24">
      <c r="A98" s="1337" t="s">
        <v>1365</v>
      </c>
      <c r="B98" s="352" t="s">
        <v>412</v>
      </c>
      <c r="C98" s="377">
        <f ca="1">IF(C97&lt;=0,0,C97/C91)</f>
        <v>165.67533980582525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4"/>
      <c r="I98" s="1119"/>
      <c r="J98" s="1649"/>
      <c r="K98" s="1644"/>
      <c r="L98" s="1644"/>
      <c r="M98" s="1644"/>
      <c r="N98" s="1644"/>
      <c r="O98" s="1644"/>
      <c r="P98" s="1644"/>
      <c r="Q98" s="1644"/>
      <c r="R98" s="1644"/>
      <c r="S98" s="1644"/>
      <c r="T98" s="1644"/>
      <c r="U98" s="1644"/>
      <c r="V98" s="1644"/>
      <c r="W98" s="1648"/>
      <c r="X98" s="1648"/>
      <c r="Y98" s="1648"/>
      <c r="Z98" s="1648"/>
    </row>
    <row r="99" spans="1:26" s="1006" customFormat="1" ht="24.75" thickBot="1">
      <c r="A99" s="1338" t="s">
        <v>1366</v>
      </c>
      <c r="B99" s="357" t="s">
        <v>413</v>
      </c>
      <c r="C99" s="378">
        <f ca="1">ROUND(IF(C97&lt;=0,0,IF(C98&gt;=200%,C97*60%-C91*35%,IF(C98&gt;=100%,C97*50%-C91*15%,IF(C98&gt;=50%,C97*40%-C91*5%,IF(C98&lt;50%,C97*30%,0))))),0)</f>
        <v>255067</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9"/>
      <c r="J99" s="1649"/>
      <c r="K99" s="1644"/>
      <c r="L99" s="1644"/>
      <c r="M99" s="1644"/>
      <c r="N99" s="1644"/>
      <c r="O99" s="1644"/>
      <c r="P99" s="1644"/>
      <c r="Q99" s="1644"/>
      <c r="R99" s="1644"/>
      <c r="S99" s="1644"/>
      <c r="T99" s="1644"/>
      <c r="U99" s="1644"/>
      <c r="V99" s="1644"/>
      <c r="W99" s="1648"/>
      <c r="X99" s="1648"/>
      <c r="Y99" s="1648"/>
      <c r="Z99" s="1648"/>
    </row>
    <row r="100" spans="1:26" s="1006" customFormat="1" ht="7.5" customHeight="1">
      <c r="A100" s="9"/>
      <c r="B100" s="1121"/>
      <c r="C100" s="9"/>
      <c r="D100" s="9"/>
      <c r="E100" s="1121"/>
      <c r="F100" s="1121"/>
      <c r="G100" s="1121"/>
      <c r="H100" s="1122"/>
      <c r="I100" s="1120"/>
      <c r="J100" s="1650"/>
      <c r="K100" s="1644"/>
      <c r="L100" s="1644"/>
      <c r="M100" s="1644"/>
      <c r="N100" s="1644"/>
      <c r="O100" s="1644"/>
      <c r="P100" s="1644"/>
      <c r="Q100" s="1644"/>
      <c r="R100" s="1644"/>
      <c r="S100" s="1644"/>
      <c r="T100" s="1644"/>
      <c r="U100" s="1644"/>
      <c r="V100" s="1644"/>
      <c r="W100" s="1648"/>
      <c r="X100" s="1648"/>
      <c r="Y100" s="1648"/>
      <c r="Z100" s="1648"/>
    </row>
    <row r="101" spans="1:26" s="1006" customFormat="1" ht="15" thickBot="1">
      <c r="A101" s="3656" t="s">
        <v>414</v>
      </c>
      <c r="B101" s="3657"/>
      <c r="C101" s="3657"/>
      <c r="D101" s="3657"/>
      <c r="E101" s="3657"/>
      <c r="F101" s="3657"/>
      <c r="G101" s="3657"/>
      <c r="H101" s="3657"/>
      <c r="I101" s="9"/>
      <c r="J101" s="1644"/>
      <c r="K101" s="1644"/>
      <c r="L101" s="1644"/>
      <c r="M101" s="1644"/>
      <c r="N101" s="1644"/>
      <c r="O101" s="1644"/>
      <c r="P101" s="1644"/>
      <c r="Q101" s="1644"/>
      <c r="R101" s="1644"/>
      <c r="S101" s="1644"/>
      <c r="T101" s="1644"/>
      <c r="U101" s="1644"/>
      <c r="V101" s="1644"/>
      <c r="W101" s="1648"/>
      <c r="X101" s="1648"/>
      <c r="Y101" s="1648"/>
      <c r="Z101" s="1648"/>
    </row>
    <row r="102" spans="1:26" s="1006" customFormat="1" ht="14.25">
      <c r="A102" s="3615" t="s">
        <v>389</v>
      </c>
      <c r="B102" s="3616"/>
      <c r="C102" s="906"/>
      <c r="D102" s="906"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6" customFormat="1" ht="14.25">
      <c r="A103" s="351" t="s">
        <v>1352</v>
      </c>
      <c r="B103" s="352" t="s">
        <v>400</v>
      </c>
      <c r="C103" s="355">
        <f ca="1">ROUND(D63/(1+'数据-取费表'!C42),0)</f>
        <v>429189</v>
      </c>
      <c r="D103" s="348" t="s">
        <v>13</v>
      </c>
      <c r="E103" s="904"/>
      <c r="F103" s="903"/>
      <c r="G103" s="903"/>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6" customFormat="1" ht="14.25">
      <c r="A104" s="351" t="s">
        <v>1358</v>
      </c>
      <c r="B104" s="322" t="s">
        <v>401</v>
      </c>
      <c r="C104" s="355">
        <f ca="1">IF(H106="仅含出让金",C105+C108+C109+C110+C111+C112,C105+C109+C110+C111+C112)</f>
        <v>2575</v>
      </c>
      <c r="D104" s="385"/>
      <c r="E104" s="904"/>
      <c r="F104" s="903"/>
      <c r="G104" s="903"/>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6" customFormat="1" ht="14.25">
      <c r="A105" s="365" t="s">
        <v>1359</v>
      </c>
      <c r="B105" s="346" t="s">
        <v>415</v>
      </c>
      <c r="C105" s="375">
        <f>C106+C107</f>
        <v>0</v>
      </c>
      <c r="D105" s="376"/>
      <c r="E105" s="898"/>
      <c r="F105" s="899"/>
      <c r="G105" s="899"/>
      <c r="H105" s="900"/>
      <c r="I105" s="9"/>
      <c r="J105" s="1644"/>
      <c r="K105" s="1644"/>
      <c r="L105" s="1644"/>
      <c r="M105" s="1644"/>
      <c r="N105" s="1644"/>
      <c r="O105" s="1644"/>
      <c r="P105" s="1644"/>
      <c r="Q105" s="1644"/>
      <c r="R105" s="1644"/>
      <c r="S105" s="1644"/>
      <c r="T105" s="1644"/>
      <c r="U105" s="1644"/>
      <c r="V105" s="1644"/>
      <c r="W105" s="1648"/>
      <c r="X105" s="1648"/>
      <c r="Y105" s="1648"/>
      <c r="Z105" s="1648"/>
    </row>
    <row r="106" spans="1:26" s="1006" customFormat="1" ht="14.25">
      <c r="A106" s="365" t="s">
        <v>1360</v>
      </c>
      <c r="B106" s="346" t="s">
        <v>416</v>
      </c>
      <c r="C106" s="386"/>
      <c r="D106" s="376"/>
      <c r="E106" s="387" t="s">
        <v>417</v>
      </c>
      <c r="F106" s="899"/>
      <c r="G106" s="388" t="s">
        <v>418</v>
      </c>
      <c r="H106" s="389"/>
      <c r="I106" s="9"/>
      <c r="J106" s="1644"/>
      <c r="K106" s="2740" t="s">
        <v>2258</v>
      </c>
      <c r="L106" s="1644"/>
      <c r="M106" s="1644"/>
      <c r="N106" s="1644"/>
      <c r="O106" s="1644"/>
      <c r="P106" s="1644"/>
      <c r="Q106" s="1644"/>
      <c r="R106" s="1644"/>
      <c r="S106" s="1644"/>
      <c r="T106" s="1644"/>
      <c r="U106" s="1644"/>
      <c r="V106" s="1644"/>
      <c r="W106" s="1648"/>
      <c r="X106" s="1648"/>
      <c r="Y106" s="1648"/>
      <c r="Z106" s="1648"/>
    </row>
    <row r="107" spans="1:26" s="1006" customFormat="1" ht="14.25">
      <c r="A107" s="365" t="s">
        <v>1361</v>
      </c>
      <c r="B107" s="346" t="s">
        <v>408</v>
      </c>
      <c r="C107" s="375">
        <f>ROUND(C106*D107,0)</f>
        <v>0</v>
      </c>
      <c r="D107" s="376">
        <f>'数据-取费表'!B48+'数据-取费表'!B49</f>
        <v>3.0499999999999999E-2</v>
      </c>
      <c r="E107" s="387" t="s">
        <v>419</v>
      </c>
      <c r="F107" s="899"/>
      <c r="G107" s="899"/>
      <c r="H107" s="900"/>
      <c r="I107" s="9"/>
      <c r="J107" s="1644"/>
      <c r="K107" s="1644"/>
      <c r="L107" s="1644"/>
      <c r="M107" s="1644"/>
      <c r="N107" s="1644"/>
      <c r="O107" s="1644"/>
      <c r="P107" s="1644"/>
      <c r="Q107" s="1644"/>
      <c r="R107" s="1644"/>
      <c r="S107" s="1644"/>
      <c r="T107" s="1644"/>
      <c r="U107" s="1644"/>
      <c r="V107" s="1644"/>
      <c r="W107" s="1648"/>
      <c r="X107" s="1648"/>
      <c r="Y107" s="1648"/>
      <c r="Z107" s="1648"/>
    </row>
    <row r="108" spans="1:26" s="1006" customFormat="1" ht="14.25">
      <c r="A108" s="365" t="s">
        <v>1363</v>
      </c>
      <c r="B108" s="346" t="s">
        <v>420</v>
      </c>
      <c r="C108" s="386"/>
      <c r="D108" s="376"/>
      <c r="E108" s="387" t="str">
        <f>IF(H106="-","土地取得成本中已包含该笔费用"," ")</f>
        <v xml:space="preserve"> </v>
      </c>
      <c r="F108" s="899"/>
      <c r="G108" s="3668" t="s">
        <v>2234</v>
      </c>
      <c r="H108" s="3669"/>
      <c r="I108" s="2414"/>
      <c r="J108" s="1644"/>
      <c r="K108" s="2740" t="s">
        <v>2259</v>
      </c>
      <c r="L108" s="1644"/>
      <c r="M108" s="1644"/>
      <c r="N108" s="1644"/>
      <c r="O108" s="1644"/>
      <c r="P108" s="1644"/>
      <c r="Q108" s="1644"/>
      <c r="R108" s="1644"/>
      <c r="S108" s="1644"/>
      <c r="T108" s="1644"/>
      <c r="U108" s="1644"/>
      <c r="V108" s="1644"/>
      <c r="W108" s="1648"/>
      <c r="X108" s="1648"/>
      <c r="Y108" s="1648"/>
      <c r="Z108" s="1648"/>
    </row>
    <row r="109" spans="1:26" s="1006" customFormat="1" ht="24" customHeight="1">
      <c r="A109" s="1339" t="s">
        <v>1367</v>
      </c>
      <c r="B109" s="346" t="s">
        <v>421</v>
      </c>
      <c r="C109" s="375">
        <f>IF(H109="——",IF(F1="现房",'剩余法-现房'!C18,0),I109)</f>
        <v>0</v>
      </c>
      <c r="D109" s="376"/>
      <c r="E109" s="3646" t="s">
        <v>422</v>
      </c>
      <c r="F109" s="3613"/>
      <c r="G109" s="3613"/>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6" customFormat="1" ht="25.5" customHeight="1">
      <c r="A110" s="1339" t="s">
        <v>1368</v>
      </c>
      <c r="B110" s="346" t="s">
        <v>423</v>
      </c>
      <c r="C110" s="375">
        <f>ROUND((C105+C108+C109)*D110,0)</f>
        <v>0</v>
      </c>
      <c r="D110" s="2770">
        <v>0</v>
      </c>
      <c r="E110" s="3646" t="s">
        <v>424</v>
      </c>
      <c r="F110" s="3613"/>
      <c r="G110" s="3613"/>
      <c r="H110" s="3614"/>
      <c r="I110" s="9"/>
      <c r="J110" s="1644"/>
      <c r="K110" s="2741" t="s">
        <v>2260</v>
      </c>
      <c r="L110" s="1644"/>
      <c r="M110" s="1644"/>
      <c r="N110" s="1644"/>
      <c r="O110" s="1644"/>
      <c r="P110" s="1644"/>
      <c r="Q110" s="1644"/>
      <c r="R110" s="1644"/>
      <c r="S110" s="1644"/>
      <c r="T110" s="1644"/>
      <c r="U110" s="1644"/>
      <c r="V110" s="1644"/>
      <c r="W110" s="1648"/>
      <c r="X110" s="1648"/>
      <c r="Y110" s="1648"/>
      <c r="Z110" s="1648"/>
    </row>
    <row r="111" spans="1:26" s="1006" customFormat="1" ht="25.5" customHeight="1">
      <c r="A111" s="1339" t="s">
        <v>1369</v>
      </c>
      <c r="B111" s="346" t="s">
        <v>410</v>
      </c>
      <c r="C111" s="375">
        <f ca="1">ROUND(D63*D111/(1+'数据-取费表'!C42),0)</f>
        <v>2575</v>
      </c>
      <c r="D111" s="376">
        <f>'数据-取费表'!B43</f>
        <v>6.000000000000001E-3</v>
      </c>
      <c r="E111" s="3612" t="s">
        <v>1775</v>
      </c>
      <c r="F111" s="3613"/>
      <c r="G111" s="3613"/>
      <c r="H111" s="3614"/>
      <c r="I111" s="9"/>
      <c r="J111" s="1644"/>
      <c r="K111" s="1644"/>
      <c r="L111" s="1644"/>
      <c r="M111" s="1644"/>
      <c r="N111" s="1644"/>
      <c r="O111" s="1644"/>
      <c r="P111" s="1644"/>
      <c r="Q111" s="1644"/>
      <c r="R111" s="1644"/>
      <c r="S111" s="1644"/>
      <c r="T111" s="1644"/>
      <c r="U111" s="1644"/>
      <c r="V111" s="1644"/>
      <c r="W111" s="1648"/>
      <c r="X111" s="1648"/>
      <c r="Y111" s="1648"/>
      <c r="Z111" s="1648"/>
    </row>
    <row r="112" spans="1:26" s="1006" customFormat="1" ht="25.5" customHeight="1">
      <c r="A112" s="1339" t="s">
        <v>1370</v>
      </c>
      <c r="B112" s="346" t="s">
        <v>425</v>
      </c>
      <c r="C112" s="375">
        <f>ROUND(C108*D112,0)</f>
        <v>0</v>
      </c>
      <c r="D112" s="376">
        <v>0.2</v>
      </c>
      <c r="E112" s="3646" t="s">
        <v>1794</v>
      </c>
      <c r="F112" s="3613"/>
      <c r="G112" s="3613"/>
      <c r="H112" s="3614"/>
      <c r="I112" s="9"/>
      <c r="J112" s="1644"/>
      <c r="K112" s="1644"/>
      <c r="L112" s="1644"/>
      <c r="M112" s="1644"/>
      <c r="N112" s="1644"/>
      <c r="O112" s="1644"/>
      <c r="P112" s="1644"/>
      <c r="Q112" s="1644"/>
      <c r="R112" s="1644"/>
      <c r="S112" s="1644"/>
      <c r="T112" s="1644"/>
      <c r="U112" s="1644"/>
      <c r="V112" s="1644"/>
      <c r="W112" s="1648"/>
      <c r="X112" s="1648"/>
      <c r="Y112" s="1648"/>
      <c r="Z112" s="1648"/>
    </row>
    <row r="113" spans="1:26" s="1006" customFormat="1" ht="14.25">
      <c r="A113" s="1337" t="s">
        <v>1364</v>
      </c>
      <c r="B113" s="352" t="s">
        <v>411</v>
      </c>
      <c r="C113" s="355">
        <f ca="1">ROUND(C103-C104,0)</f>
        <v>426614</v>
      </c>
      <c r="D113" s="348" t="s">
        <v>13</v>
      </c>
      <c r="E113" s="904"/>
      <c r="F113" s="903"/>
      <c r="G113" s="903"/>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6" customFormat="1" ht="24">
      <c r="A114" s="1337" t="s">
        <v>1365</v>
      </c>
      <c r="B114" s="352" t="s">
        <v>412</v>
      </c>
      <c r="C114" s="377">
        <f ca="1">IF(C113&lt;=0,0,C113/C104)</f>
        <v>165.67533980582525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6" customFormat="1" ht="24.75" thickBot="1">
      <c r="A115" s="1338" t="s">
        <v>1366</v>
      </c>
      <c r="B115" s="357" t="s">
        <v>413</v>
      </c>
      <c r="C115" s="378">
        <f ca="1">ROUND(IF(C113&lt;=0,0,IF(C114&gt;=200%,C113*60%-C104*35%,IF(C114&gt;=100%,C113*50%-C104*15%,IF(C114&gt;=50%,C113*40%-C104*5%,IF(C114&lt;50%,C113*30%,0))))),0)</f>
        <v>255067</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C258"/>
  <sheetViews>
    <sheetView view="pageBreakPreview" topLeftCell="A18" zoomScale="80" zoomScaleNormal="95" zoomScaleSheetLayoutView="80" workbookViewId="0">
      <selection activeCell="N60" sqref="N60"/>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7.37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f>F67</f>
        <v>473941</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8" t="s">
        <v>1217</v>
      </c>
      <c r="B3" s="461">
        <f>ROUND(B2*10000/'数据-汇总表'!E3,0)</f>
        <v>38774</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9" customFormat="1" ht="28.5" customHeight="1">
      <c r="A4" s="462" t="s">
        <v>469</v>
      </c>
      <c r="B4" s="397">
        <f>IF(B48="单位面积地价",C50,ROUND(B2*10000/'数据-汇总表'!D3,0))</f>
        <v>128640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f>ROUND(B2/('数据-汇总表'!D3/666.67),0)</f>
        <v>8576</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0.25">
      <c r="A6" s="463" t="s">
        <v>470</v>
      </c>
      <c r="B6" s="464"/>
      <c r="C6" s="3708" t="s">
        <v>471</v>
      </c>
      <c r="D6" s="3709"/>
      <c r="E6" s="3708" t="s">
        <v>472</v>
      </c>
      <c r="F6" s="3709"/>
      <c r="G6" s="3708" t="s">
        <v>473</v>
      </c>
      <c r="H6" s="3709"/>
      <c r="I6" s="3708" t="s">
        <v>474</v>
      </c>
      <c r="J6" s="3709"/>
      <c r="K6" s="465" t="s">
        <v>475</v>
      </c>
      <c r="L6" s="1738"/>
      <c r="M6" s="1737"/>
      <c r="N6" s="1737"/>
      <c r="O6" s="1739"/>
      <c r="P6" s="3710" t="s">
        <v>476</v>
      </c>
      <c r="Q6" s="3711"/>
      <c r="R6" s="3694" t="s">
        <v>472</v>
      </c>
      <c r="S6" s="3695"/>
      <c r="T6" s="3694" t="s">
        <v>473</v>
      </c>
      <c r="U6" s="3695"/>
      <c r="V6" s="3716" t="s">
        <v>474</v>
      </c>
      <c r="W6" s="3716"/>
      <c r="X6" s="1300"/>
      <c r="Y6" s="3694" t="s">
        <v>476</v>
      </c>
      <c r="Z6" s="3695"/>
      <c r="AA6" s="3689" t="s">
        <v>472</v>
      </c>
      <c r="AB6" s="3690" t="s">
        <v>473</v>
      </c>
      <c r="AC6" s="3689" t="s">
        <v>474</v>
      </c>
    </row>
    <row r="7" spans="1:29" ht="47.25" customHeight="1">
      <c r="A7" s="466"/>
      <c r="B7" s="467"/>
      <c r="C7" s="3719" t="str">
        <f>项目基本情况!F10</f>
        <v>朝阳区三间房D区棚户区改造</v>
      </c>
      <c r="D7" s="3720"/>
      <c r="E7" s="3719" t="str">
        <f>案例库!A7</f>
        <v>北京市朝阳区十八里店朝阳港一期土地一级开发项目1303-678地块R2二类居住用地</v>
      </c>
      <c r="F7" s="3720"/>
      <c r="G7" s="3719" t="str">
        <f>案例库!A13</f>
        <v>北京市朝阳区平房乡棚户区改造和环境整治项目(一期)PF-45地块R2二类居住用地</v>
      </c>
      <c r="H7" s="3720"/>
      <c r="I7" s="3719" t="str">
        <f>案例库!A14</f>
        <v>北京市朝阳区平房乡棚户区改造和环境整治项目(一期)PF-44地块R2二类居住用地</v>
      </c>
      <c r="J7" s="3720"/>
      <c r="K7" s="465"/>
      <c r="L7" s="1738"/>
      <c r="M7" s="1737"/>
      <c r="N7" s="1737"/>
      <c r="O7" s="1739"/>
      <c r="P7" s="3712"/>
      <c r="Q7" s="3713"/>
      <c r="R7" s="3696"/>
      <c r="S7" s="3697"/>
      <c r="T7" s="3696"/>
      <c r="U7" s="3697"/>
      <c r="V7" s="3716"/>
      <c r="W7" s="3716"/>
      <c r="X7" s="1300"/>
      <c r="Y7" s="3696"/>
      <c r="Z7" s="3697"/>
      <c r="AA7" s="3690"/>
      <c r="AB7" s="3690"/>
      <c r="AC7" s="3690"/>
    </row>
    <row r="8" spans="1:29" ht="21" thickBot="1">
      <c r="A8" s="466"/>
      <c r="B8" s="467"/>
      <c r="C8" s="3721" t="s">
        <v>2178</v>
      </c>
      <c r="D8" s="3722"/>
      <c r="E8" s="3721" t="s">
        <v>2178</v>
      </c>
      <c r="F8" s="3722"/>
      <c r="G8" s="3717" t="s">
        <v>2178</v>
      </c>
      <c r="H8" s="3718"/>
      <c r="I8" s="3717" t="s">
        <v>2178</v>
      </c>
      <c r="J8" s="3718"/>
      <c r="K8" s="465" t="s">
        <v>477</v>
      </c>
      <c r="L8" s="1738"/>
      <c r="M8" s="1737"/>
      <c r="N8" s="1737"/>
      <c r="O8" s="1739"/>
      <c r="P8" s="3714"/>
      <c r="Q8" s="3715"/>
      <c r="R8" s="3696"/>
      <c r="S8" s="3697"/>
      <c r="T8" s="3698"/>
      <c r="U8" s="3699"/>
      <c r="V8" s="3716"/>
      <c r="W8" s="3716"/>
      <c r="X8" s="1300"/>
      <c r="Y8" s="3698"/>
      <c r="Z8" s="3699"/>
      <c r="AA8" s="3691"/>
      <c r="AB8" s="3691"/>
      <c r="AC8" s="3691"/>
    </row>
    <row r="9" spans="1:29" s="1058" customFormat="1" ht="21" thickBot="1">
      <c r="A9" s="2206"/>
      <c r="B9" s="2213" t="s">
        <v>478</v>
      </c>
      <c r="C9" s="2205">
        <f>'数据-取费表'!B2</f>
        <v>45789</v>
      </c>
      <c r="D9" s="471">
        <v>100</v>
      </c>
      <c r="E9" s="472" t="str">
        <f>案例库!L7</f>
        <v>2023-09-27</v>
      </c>
      <c r="F9" s="473">
        <f>SUMIF(71:71,YEAR(E9)&amp;"-"&amp;INT((MONTH(E9)+2)/3),72:72)</f>
        <v>100</v>
      </c>
      <c r="G9" s="474" t="str">
        <f>案例库!L13</f>
        <v>2022-11-29</v>
      </c>
      <c r="H9" s="471">
        <f>SUMIF(71:71,YEAR(G9)&amp;"-"&amp;INT((MONTH(G9)+2)/3),72:72)</f>
        <v>100</v>
      </c>
      <c r="I9" s="474" t="str">
        <f>案例库!L14</f>
        <v>2022-11-28</v>
      </c>
      <c r="J9" s="471">
        <f>SUMIF(71:71,YEAR(I9)&amp;"-"&amp;INT((MONTH(I9)+2)/3),72:72)</f>
        <v>100</v>
      </c>
      <c r="K9" s="88"/>
      <c r="L9" s="1740"/>
      <c r="M9" s="1737"/>
      <c r="N9" s="1737"/>
      <c r="O9" s="1637"/>
      <c r="P9" s="3692" t="s">
        <v>479</v>
      </c>
      <c r="Q9" s="3701"/>
      <c r="R9" s="1301" t="s">
        <v>5</v>
      </c>
      <c r="S9" s="1302">
        <f t="shared" ref="S9:S17" si="0">F9</f>
        <v>100</v>
      </c>
      <c r="T9" s="1301" t="s">
        <v>5</v>
      </c>
      <c r="U9" s="1302">
        <f t="shared" ref="U9:U17" si="1">H9</f>
        <v>100</v>
      </c>
      <c r="V9" s="1301" t="s">
        <v>5</v>
      </c>
      <c r="W9" s="1302">
        <f t="shared" ref="W9:W17" si="2">J9</f>
        <v>100</v>
      </c>
      <c r="X9" s="1303"/>
      <c r="Y9" s="3692" t="s">
        <v>479</v>
      </c>
      <c r="Z9" s="3693"/>
      <c r="AA9" s="995">
        <f>D9/F9</f>
        <v>1</v>
      </c>
      <c r="AB9" s="995">
        <f>D9/H9</f>
        <v>1</v>
      </c>
      <c r="AC9" s="995">
        <f>D9/J9</f>
        <v>1</v>
      </c>
    </row>
    <row r="10" spans="1:29" s="1058" customFormat="1" ht="21" thickBot="1">
      <c r="A10" s="2207"/>
      <c r="B10" s="2214" t="s">
        <v>480</v>
      </c>
      <c r="C10" s="790" t="s">
        <v>481</v>
      </c>
      <c r="D10" s="471">
        <v>100</v>
      </c>
      <c r="E10" s="475" t="s">
        <v>3417</v>
      </c>
      <c r="F10" s="473">
        <f>SUMIF(74:74,E10,75:75)-SUMIF(74:74,C10,75:75)+100</f>
        <v>100</v>
      </c>
      <c r="G10" s="475" t="s">
        <v>3417</v>
      </c>
      <c r="H10" s="471">
        <f>SUMIF(74:74,G10,75:75)-SUMIF(74:74,C10,75:75)+100</f>
        <v>100</v>
      </c>
      <c r="I10" s="475" t="s">
        <v>3417</v>
      </c>
      <c r="J10" s="471">
        <f>SUMIF(74:74,I10,75:75)-SUMIF(74:74,C10,75:75)+100</f>
        <v>100</v>
      </c>
      <c r="K10" s="88"/>
      <c r="L10" s="1740"/>
      <c r="M10" s="1737"/>
      <c r="N10" s="1737"/>
      <c r="O10" s="1637"/>
      <c r="P10" s="3692" t="s">
        <v>482</v>
      </c>
      <c r="Q10" s="3693"/>
      <c r="R10" s="1301" t="s">
        <v>5</v>
      </c>
      <c r="S10" s="1302">
        <f t="shared" si="0"/>
        <v>100</v>
      </c>
      <c r="T10" s="1301" t="s">
        <v>5</v>
      </c>
      <c r="U10" s="1302">
        <f t="shared" si="1"/>
        <v>100</v>
      </c>
      <c r="V10" s="1301" t="s">
        <v>5</v>
      </c>
      <c r="W10" s="1302">
        <f t="shared" si="2"/>
        <v>100</v>
      </c>
      <c r="X10" s="1303"/>
      <c r="Y10" s="3692" t="s">
        <v>482</v>
      </c>
      <c r="Z10" s="3693"/>
      <c r="AA10" s="995">
        <f t="shared" ref="AA10:AA47" si="3">D10/F10</f>
        <v>1</v>
      </c>
      <c r="AB10" s="995">
        <f t="shared" ref="AB10:AB47" si="4">D10/H10</f>
        <v>1</v>
      </c>
      <c r="AC10" s="995">
        <f t="shared" ref="AC10:AC47" si="5">D10/J10</f>
        <v>1</v>
      </c>
    </row>
    <row r="11" spans="1:29" s="1058" customFormat="1" ht="20.25">
      <c r="A11" s="2208"/>
      <c r="B11" s="2215" t="s">
        <v>2033</v>
      </c>
      <c r="C11" s="2202" t="s">
        <v>851</v>
      </c>
      <c r="D11" s="154">
        <v>100</v>
      </c>
      <c r="E11" s="2202" t="s">
        <v>851</v>
      </c>
      <c r="F11" s="154">
        <f>SUMIF(76:76,E11,77:77)-SUMIF(76:76,C11,77:77)+100</f>
        <v>100</v>
      </c>
      <c r="G11" s="2202" t="s">
        <v>851</v>
      </c>
      <c r="H11" s="154">
        <f>SUMIF(76:76,G11,77:77)-SUMIF(76:76,C11,77:77)+100</f>
        <v>100</v>
      </c>
      <c r="I11" s="2202" t="s">
        <v>851</v>
      </c>
      <c r="J11" s="154">
        <f>SUMIF(76:76,I11,77:77)-SUMIF(76:76,C11,77:77)+100</f>
        <v>100</v>
      </c>
      <c r="K11" s="88"/>
      <c r="L11" s="1740"/>
      <c r="M11" s="1737"/>
      <c r="N11" s="1737"/>
      <c r="O11" s="1741"/>
      <c r="P11" s="3700" t="s">
        <v>484</v>
      </c>
      <c r="Q11" s="817" t="str">
        <f t="shared" ref="Q11:Q17" si="6">B11</f>
        <v>用途</v>
      </c>
      <c r="R11" s="1301" t="s">
        <v>5</v>
      </c>
      <c r="S11" s="1302">
        <f t="shared" si="0"/>
        <v>100</v>
      </c>
      <c r="T11" s="1301" t="s">
        <v>5</v>
      </c>
      <c r="U11" s="1302">
        <f t="shared" si="1"/>
        <v>100</v>
      </c>
      <c r="V11" s="1301" t="s">
        <v>5</v>
      </c>
      <c r="W11" s="1302">
        <f t="shared" si="2"/>
        <v>100</v>
      </c>
      <c r="X11" s="1303"/>
      <c r="Y11" s="3652" t="s">
        <v>485</v>
      </c>
      <c r="Z11" s="995" t="str">
        <f t="shared" ref="Z11:Z17" si="7">Q11</f>
        <v>用途</v>
      </c>
      <c r="AA11" s="995">
        <f t="shared" si="3"/>
        <v>1</v>
      </c>
      <c r="AB11" s="995">
        <f t="shared" si="4"/>
        <v>1</v>
      </c>
      <c r="AC11" s="995">
        <f t="shared" si="5"/>
        <v>1</v>
      </c>
    </row>
    <row r="12" spans="1:29" s="1131" customFormat="1" ht="27">
      <c r="A12" s="2209"/>
      <c r="B12" s="2214" t="s">
        <v>2034</v>
      </c>
      <c r="C12" s="832">
        <f>'数据-取费表'!F6</f>
        <v>69.81</v>
      </c>
      <c r="D12" s="235">
        <v>100</v>
      </c>
      <c r="E12" s="479" t="s">
        <v>3439</v>
      </c>
      <c r="F12" s="235">
        <f>ROUND(100/'数据-取费表'!G16,0)</f>
        <v>100</v>
      </c>
      <c r="G12" s="479" t="s">
        <v>3439</v>
      </c>
      <c r="H12" s="235">
        <f>ROUND(100/'数据-取费表'!G16,0)</f>
        <v>100</v>
      </c>
      <c r="I12" s="479" t="s">
        <v>3439</v>
      </c>
      <c r="J12" s="235">
        <f>ROUND(100/'数据-取费表'!G16,0)</f>
        <v>100</v>
      </c>
      <c r="K12" s="481"/>
      <c r="L12" s="1742"/>
      <c r="M12" s="1737"/>
      <c r="N12" s="1737"/>
      <c r="O12" s="1743"/>
      <c r="P12" s="3700"/>
      <c r="Q12" s="817" t="str">
        <f t="shared" si="6"/>
        <v>土地使用年限（年）</v>
      </c>
      <c r="R12" s="1301" t="s">
        <v>5</v>
      </c>
      <c r="S12" s="1302">
        <f t="shared" si="0"/>
        <v>100</v>
      </c>
      <c r="T12" s="1301" t="s">
        <v>5</v>
      </c>
      <c r="U12" s="1302">
        <f t="shared" si="1"/>
        <v>100</v>
      </c>
      <c r="V12" s="1301" t="s">
        <v>5</v>
      </c>
      <c r="W12" s="1302">
        <f t="shared" si="2"/>
        <v>100</v>
      </c>
      <c r="X12" s="1303"/>
      <c r="Y12" s="3652"/>
      <c r="Z12" s="995" t="str">
        <f t="shared" si="7"/>
        <v>土地使用年限（年）</v>
      </c>
      <c r="AA12" s="995">
        <f t="shared" si="3"/>
        <v>1</v>
      </c>
      <c r="AB12" s="995">
        <f t="shared" si="4"/>
        <v>1</v>
      </c>
      <c r="AC12" s="995">
        <f t="shared" si="5"/>
        <v>1</v>
      </c>
    </row>
    <row r="13" spans="1:29" ht="20.25">
      <c r="A13" s="2210"/>
      <c r="B13" s="2214"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4"/>
      <c r="M13" s="1737"/>
      <c r="N13" s="1737"/>
      <c r="O13" s="1745"/>
      <c r="P13" s="3700"/>
      <c r="Q13" s="817" t="str">
        <f t="shared" si="6"/>
        <v>容积率</v>
      </c>
      <c r="R13" s="1301" t="s">
        <v>5</v>
      </c>
      <c r="S13" s="1302">
        <f t="shared" si="0"/>
        <v>100</v>
      </c>
      <c r="T13" s="1301" t="s">
        <v>5</v>
      </c>
      <c r="U13" s="1302">
        <f t="shared" si="1"/>
        <v>100</v>
      </c>
      <c r="V13" s="1301" t="s">
        <v>5</v>
      </c>
      <c r="W13" s="1302">
        <f t="shared" si="2"/>
        <v>100</v>
      </c>
      <c r="X13" s="1303"/>
      <c r="Y13" s="3652"/>
      <c r="Z13" s="995" t="str">
        <f t="shared" si="7"/>
        <v>容积率</v>
      </c>
      <c r="AA13" s="995">
        <f t="shared" si="3"/>
        <v>1</v>
      </c>
      <c r="AB13" s="995">
        <f t="shared" si="4"/>
        <v>1</v>
      </c>
      <c r="AC13" s="995">
        <f t="shared" si="5"/>
        <v>1</v>
      </c>
    </row>
    <row r="14" spans="1:29" s="1058" customFormat="1" ht="20.25">
      <c r="A14" s="2207"/>
      <c r="B14" s="2216" t="s">
        <v>2036</v>
      </c>
      <c r="C14" s="2203"/>
      <c r="D14" s="488">
        <v>100</v>
      </c>
      <c r="E14" s="1164"/>
      <c r="F14" s="235">
        <f>SUMIF(83:83,E14,84:84)-SUMIF(83:83,C14,84:84)+100</f>
        <v>100</v>
      </c>
      <c r="G14" s="480"/>
      <c r="H14" s="235">
        <f>SUMIF(83:83,G14,84:84)-SUMIF(83:83,C14,84:84)+100</f>
        <v>100</v>
      </c>
      <c r="I14" s="479"/>
      <c r="J14" s="235">
        <f>SUMIF(83:83,I14,84:84)-SUMIF(83:83,C14,84:84)+100</f>
        <v>100</v>
      </c>
      <c r="K14" s="481"/>
      <c r="L14" s="1740"/>
      <c r="M14" s="1737"/>
      <c r="N14" s="1737"/>
      <c r="O14" s="1741"/>
      <c r="P14" s="3700"/>
      <c r="Q14" s="817" t="str">
        <f t="shared" si="6"/>
        <v>配建</v>
      </c>
      <c r="R14" s="1301" t="s">
        <v>5</v>
      </c>
      <c r="S14" s="1302">
        <f t="shared" si="0"/>
        <v>100</v>
      </c>
      <c r="T14" s="1301" t="s">
        <v>5</v>
      </c>
      <c r="U14" s="1302">
        <f t="shared" si="1"/>
        <v>100</v>
      </c>
      <c r="V14" s="1301" t="s">
        <v>5</v>
      </c>
      <c r="W14" s="1302">
        <f t="shared" si="2"/>
        <v>100</v>
      </c>
      <c r="X14" s="1303"/>
      <c r="Y14" s="3652"/>
      <c r="Z14" s="995" t="str">
        <f t="shared" si="7"/>
        <v>配建</v>
      </c>
      <c r="AA14" s="995">
        <f>D14/F14</f>
        <v>1</v>
      </c>
      <c r="AB14" s="995">
        <f>D14/H14</f>
        <v>1</v>
      </c>
      <c r="AC14" s="995">
        <f>D14/J14</f>
        <v>1</v>
      </c>
    </row>
    <row r="15" spans="1:29" ht="20.25">
      <c r="A15" s="2211"/>
      <c r="B15" s="3833" t="s">
        <v>3672</v>
      </c>
      <c r="C15" s="3489">
        <v>0.1</v>
      </c>
      <c r="D15" s="490">
        <v>100</v>
      </c>
      <c r="E15" s="3490">
        <v>0.15</v>
      </c>
      <c r="F15" s="235">
        <f>SUMIF(85:85,E15,86:86)-SUMIF(85:85,C15,86:86)+100</f>
        <v>105</v>
      </c>
      <c r="G15" s="3490">
        <v>0.15</v>
      </c>
      <c r="H15" s="490">
        <f>SUMIF(85:85,G15,86:86)-SUMIF(85:85,C15,86:86)+100</f>
        <v>105</v>
      </c>
      <c r="I15" s="3490">
        <v>0.15</v>
      </c>
      <c r="J15" s="490">
        <f>SUMIF(85:85,I15,86:86)-SUMIF(85:85,C15,86:86)+100</f>
        <v>105</v>
      </c>
      <c r="K15" s="481"/>
      <c r="L15" s="1746"/>
      <c r="M15" s="1737"/>
      <c r="N15" s="1737"/>
      <c r="O15" s="1745"/>
      <c r="P15" s="3700"/>
      <c r="Q15" s="817" t="str">
        <f t="shared" si="6"/>
        <v>溢价率</v>
      </c>
      <c r="R15" s="1301" t="s">
        <v>5</v>
      </c>
      <c r="S15" s="1302">
        <f t="shared" si="0"/>
        <v>105</v>
      </c>
      <c r="T15" s="1301" t="s">
        <v>5</v>
      </c>
      <c r="U15" s="1302">
        <f t="shared" si="1"/>
        <v>105</v>
      </c>
      <c r="V15" s="1301" t="s">
        <v>5</v>
      </c>
      <c r="W15" s="1302">
        <f t="shared" si="2"/>
        <v>105</v>
      </c>
      <c r="X15" s="1303"/>
      <c r="Y15" s="3652"/>
      <c r="Z15" s="995" t="str">
        <f t="shared" si="7"/>
        <v>溢价率</v>
      </c>
      <c r="AA15" s="995">
        <f>D15/F15</f>
        <v>0.95238095238095233</v>
      </c>
      <c r="AB15" s="995">
        <f>D15/H15</f>
        <v>0.95238095238095233</v>
      </c>
      <c r="AC15" s="995">
        <f>D15/J15</f>
        <v>0.95238095238095233</v>
      </c>
    </row>
    <row r="16" spans="1:29" ht="21" thickBot="1">
      <c r="A16" s="2212"/>
      <c r="B16" s="2218">
        <v>111</v>
      </c>
      <c r="C16" s="837"/>
      <c r="D16" s="496">
        <v>100</v>
      </c>
      <c r="E16" s="491"/>
      <c r="F16" s="496">
        <f>SUMIF(87:87,E16,88:88)-SUMIF(87:87,C16,88:88)+100</f>
        <v>100</v>
      </c>
      <c r="G16" s="492"/>
      <c r="H16" s="496">
        <f>SUMIF(87:87,G16,88:88)-SUMIF(87:87,C16,88:88)+100</f>
        <v>100</v>
      </c>
      <c r="I16" s="492"/>
      <c r="J16" s="496">
        <f>SUMIF(87:87,I16,88:88)-SUMIF(87:87,C16,88:88)+100</f>
        <v>100</v>
      </c>
      <c r="K16" s="481"/>
      <c r="L16" s="1746"/>
      <c r="M16" s="1737"/>
      <c r="N16" s="1737"/>
      <c r="O16" s="1745"/>
      <c r="P16" s="3700"/>
      <c r="Q16" s="817">
        <f t="shared" si="6"/>
        <v>111</v>
      </c>
      <c r="R16" s="1301" t="s">
        <v>5</v>
      </c>
      <c r="S16" s="1302">
        <f t="shared" si="0"/>
        <v>100</v>
      </c>
      <c r="T16" s="1301" t="s">
        <v>5</v>
      </c>
      <c r="U16" s="1302">
        <f t="shared" si="1"/>
        <v>100</v>
      </c>
      <c r="V16" s="1301" t="s">
        <v>5</v>
      </c>
      <c r="W16" s="1302">
        <f t="shared" si="2"/>
        <v>100</v>
      </c>
      <c r="X16" s="1303"/>
      <c r="Y16" s="3652"/>
      <c r="Z16" s="995">
        <f t="shared" si="7"/>
        <v>111</v>
      </c>
      <c r="AA16" s="995">
        <f>D16/F16</f>
        <v>1</v>
      </c>
      <c r="AB16" s="995">
        <f>D16/H16</f>
        <v>1</v>
      </c>
      <c r="AC16" s="995">
        <f>D16/J16</f>
        <v>1</v>
      </c>
    </row>
    <row r="17" spans="1:29" ht="42.75">
      <c r="A17" s="2204" t="s">
        <v>2031</v>
      </c>
      <c r="B17" s="528" t="s">
        <v>261</v>
      </c>
      <c r="C17" s="498" t="str">
        <f>估价对象房地状况!C15</f>
        <v>泰福苑、三间房西里、万方家园等，较好</v>
      </c>
      <c r="D17" s="501">
        <v>100</v>
      </c>
      <c r="E17" s="3502" t="s">
        <v>3674</v>
      </c>
      <c r="F17" s="499">
        <f>SUMIF(89:89,E18,90:90)-SUMIF(89:89,C18,90:90)+100</f>
        <v>98</v>
      </c>
      <c r="G17" s="502" t="s">
        <v>3329</v>
      </c>
      <c r="H17" s="499">
        <f>SUMIF(89:89,G18,90:90)-SUMIF(89:89,C18,90:90)+100</f>
        <v>100</v>
      </c>
      <c r="I17" s="3407" t="s">
        <v>3428</v>
      </c>
      <c r="J17" s="499">
        <f>SUMIF(89:89,I18,90:90)-SUMIF(89:89,C18,90:90)+100</f>
        <v>100</v>
      </c>
      <c r="K17" s="485">
        <v>2</v>
      </c>
      <c r="L17" s="1746"/>
      <c r="M17" s="1737"/>
      <c r="N17" s="1737"/>
      <c r="O17" s="1745"/>
      <c r="P17" s="3702" t="s">
        <v>489</v>
      </c>
      <c r="Q17" s="1304" t="str">
        <f t="shared" si="6"/>
        <v>居住社区成熟度</v>
      </c>
      <c r="R17" s="1305" t="s">
        <v>5</v>
      </c>
      <c r="S17" s="1306">
        <f t="shared" si="0"/>
        <v>98</v>
      </c>
      <c r="T17" s="1305" t="s">
        <v>5</v>
      </c>
      <c r="U17" s="1306">
        <f t="shared" si="1"/>
        <v>100</v>
      </c>
      <c r="V17" s="1305" t="s">
        <v>5</v>
      </c>
      <c r="W17" s="1306">
        <f t="shared" si="2"/>
        <v>100</v>
      </c>
      <c r="X17" s="1300"/>
      <c r="Y17" s="3702" t="s">
        <v>489</v>
      </c>
      <c r="Z17" s="1307" t="str">
        <f t="shared" si="7"/>
        <v>居住社区成熟度</v>
      </c>
      <c r="AA17" s="1307">
        <f t="shared" si="3"/>
        <v>1.0204081632653061</v>
      </c>
      <c r="AB17" s="1307">
        <f t="shared" si="4"/>
        <v>1</v>
      </c>
      <c r="AC17" s="1307">
        <f t="shared" si="5"/>
        <v>1</v>
      </c>
    </row>
    <row r="18" spans="1:29" ht="20.25">
      <c r="A18" s="482"/>
      <c r="B18" s="503"/>
      <c r="C18" s="504" t="s">
        <v>3329</v>
      </c>
      <c r="D18" s="507"/>
      <c r="E18" s="508" t="s">
        <v>3330</v>
      </c>
      <c r="F18" s="505"/>
      <c r="G18" s="508" t="s">
        <v>3329</v>
      </c>
      <c r="H18" s="509"/>
      <c r="I18" s="508" t="s">
        <v>3329</v>
      </c>
      <c r="J18" s="505"/>
      <c r="K18" s="481"/>
      <c r="L18" s="1746"/>
      <c r="M18" s="1737"/>
      <c r="N18" s="1737"/>
      <c r="O18" s="1745"/>
      <c r="P18" s="3703"/>
      <c r="Q18" s="1304"/>
      <c r="R18" s="1305"/>
      <c r="S18" s="1306"/>
      <c r="T18" s="1305"/>
      <c r="U18" s="1306"/>
      <c r="V18" s="1305"/>
      <c r="W18" s="1306"/>
      <c r="X18" s="1300"/>
      <c r="Y18" s="3703"/>
      <c r="Z18" s="1307"/>
      <c r="AA18" s="1307">
        <v>1</v>
      </c>
      <c r="AB18" s="1307">
        <v>1</v>
      </c>
      <c r="AC18" s="1307">
        <v>1</v>
      </c>
    </row>
    <row r="19" spans="1:29" ht="20.25" hidden="1">
      <c r="A19" s="482"/>
      <c r="B19" s="510" t="s">
        <v>490</v>
      </c>
      <c r="C19" s="511">
        <f>估价对象房地状况!C16</f>
        <v>0</v>
      </c>
      <c r="D19" s="513">
        <v>100</v>
      </c>
      <c r="E19" s="514" t="s">
        <v>3329</v>
      </c>
      <c r="F19" s="509">
        <f>SUMIF(91:91,E20,92:92)-SUMIF(91:91,C20,92:92)+100</f>
        <v>100</v>
      </c>
      <c r="G19" s="514" t="s">
        <v>3329</v>
      </c>
      <c r="H19" s="515">
        <f>SUMIF(91:91,G20,92:92)-SUMIF(91:91,C20,92:92)+100</f>
        <v>100</v>
      </c>
      <c r="I19" s="514" t="s">
        <v>3329</v>
      </c>
      <c r="J19" s="515">
        <f>SUMIF(91:91,I20,92:92)-SUMIF(91:91,C20,92:92)+100</f>
        <v>100</v>
      </c>
      <c r="K19" s="485"/>
      <c r="L19" s="1746"/>
      <c r="M19" s="1737"/>
      <c r="N19" s="1737"/>
      <c r="O19" s="1745"/>
      <c r="P19" s="3703"/>
      <c r="Q19" s="1304" t="str">
        <f>B19</f>
        <v>商业繁华度</v>
      </c>
      <c r="R19" s="1305" t="s">
        <v>5</v>
      </c>
      <c r="S19" s="1306">
        <f>F19</f>
        <v>100</v>
      </c>
      <c r="T19" s="1305" t="s">
        <v>5</v>
      </c>
      <c r="U19" s="1306">
        <f>H19</f>
        <v>100</v>
      </c>
      <c r="V19" s="1305" t="s">
        <v>5</v>
      </c>
      <c r="W19" s="1306">
        <f>J19</f>
        <v>100</v>
      </c>
      <c r="X19" s="1300"/>
      <c r="Y19" s="3703"/>
      <c r="Z19" s="1307" t="str">
        <f>Q19</f>
        <v>商业繁华度</v>
      </c>
      <c r="AA19" s="1307">
        <f t="shared" si="3"/>
        <v>1</v>
      </c>
      <c r="AB19" s="1307">
        <f t="shared" si="4"/>
        <v>1</v>
      </c>
      <c r="AC19" s="1307">
        <f t="shared" si="5"/>
        <v>1</v>
      </c>
    </row>
    <row r="20" spans="1:29" ht="20.25" hidden="1">
      <c r="A20" s="482"/>
      <c r="B20" s="516"/>
      <c r="C20" s="517"/>
      <c r="D20" s="513"/>
      <c r="E20" s="519"/>
      <c r="F20" s="509"/>
      <c r="G20" s="519"/>
      <c r="H20" s="505"/>
      <c r="I20" s="519"/>
      <c r="J20" s="505"/>
      <c r="K20" s="481"/>
      <c r="L20" s="1746"/>
      <c r="M20" s="1737"/>
      <c r="N20" s="1737"/>
      <c r="O20" s="1745"/>
      <c r="P20" s="3703"/>
      <c r="Q20" s="1304"/>
      <c r="R20" s="1305"/>
      <c r="S20" s="1306"/>
      <c r="T20" s="1305"/>
      <c r="U20" s="1306"/>
      <c r="V20" s="1305"/>
      <c r="W20" s="1306"/>
      <c r="X20" s="1300"/>
      <c r="Y20" s="3703"/>
      <c r="Z20" s="1307"/>
      <c r="AA20" s="1307">
        <v>1</v>
      </c>
      <c r="AB20" s="1307">
        <v>1</v>
      </c>
      <c r="AC20" s="1307">
        <v>1</v>
      </c>
    </row>
    <row r="21" spans="1:29" ht="20.25" hidden="1">
      <c r="A21" s="482"/>
      <c r="B21" s="510" t="s">
        <v>491</v>
      </c>
      <c r="C21" s="511">
        <f>估价对象房地状况!C17</f>
        <v>0</v>
      </c>
      <c r="D21" s="521">
        <v>100</v>
      </c>
      <c r="E21" s="522" t="s">
        <v>3330</v>
      </c>
      <c r="F21" s="515">
        <f>SUMIF(93:93,E22,94:94)-SUMIF(93:93,C22,94:94)+100</f>
        <v>100</v>
      </c>
      <c r="G21" s="522" t="s">
        <v>3330</v>
      </c>
      <c r="H21" s="509">
        <f>SUMIF(93:93,G22,94:94)-SUMIF(93:93,C22,94:94)+100</f>
        <v>100</v>
      </c>
      <c r="I21" s="522" t="s">
        <v>3330</v>
      </c>
      <c r="J21" s="509">
        <f>SUMIF(93:93,I22,94:94)-SUMIF(93:93,C22,94:94)+100</f>
        <v>100</v>
      </c>
      <c r="K21" s="485"/>
      <c r="L21" s="1746"/>
      <c r="M21" s="1737"/>
      <c r="N21" s="1737"/>
      <c r="O21" s="1745"/>
      <c r="P21" s="3703"/>
      <c r="Q21" s="1304" t="str">
        <f>B21</f>
        <v>办公集聚程度</v>
      </c>
      <c r="R21" s="1305" t="s">
        <v>5</v>
      </c>
      <c r="S21" s="1306">
        <f>F21</f>
        <v>100</v>
      </c>
      <c r="T21" s="1305" t="s">
        <v>5</v>
      </c>
      <c r="U21" s="1306">
        <f>H21</f>
        <v>100</v>
      </c>
      <c r="V21" s="1305" t="s">
        <v>5</v>
      </c>
      <c r="W21" s="1306">
        <f>J21</f>
        <v>100</v>
      </c>
      <c r="X21" s="1300"/>
      <c r="Y21" s="3703"/>
      <c r="Z21" s="1307" t="str">
        <f>Q21</f>
        <v>办公集聚程度</v>
      </c>
      <c r="AA21" s="1307">
        <f t="shared" si="3"/>
        <v>1</v>
      </c>
      <c r="AB21" s="1307">
        <f t="shared" si="4"/>
        <v>1</v>
      </c>
      <c r="AC21" s="1307">
        <f t="shared" si="5"/>
        <v>1</v>
      </c>
    </row>
    <row r="22" spans="1:29" ht="20.25" hidden="1">
      <c r="A22" s="482"/>
      <c r="B22" s="516"/>
      <c r="C22" s="504"/>
      <c r="D22" s="507"/>
      <c r="E22" s="508"/>
      <c r="F22" s="505"/>
      <c r="G22" s="508"/>
      <c r="H22" s="505"/>
      <c r="I22" s="508"/>
      <c r="J22" s="505"/>
      <c r="K22" s="481"/>
      <c r="L22" s="1746"/>
      <c r="M22" s="1737"/>
      <c r="N22" s="1737"/>
      <c r="O22" s="1745"/>
      <c r="P22" s="3703"/>
      <c r="Q22" s="1304"/>
      <c r="R22" s="1305"/>
      <c r="S22" s="1306"/>
      <c r="T22" s="1305"/>
      <c r="U22" s="1306"/>
      <c r="V22" s="1305"/>
      <c r="W22" s="1306"/>
      <c r="X22" s="1300"/>
      <c r="Y22" s="3703"/>
      <c r="Z22" s="1307"/>
      <c r="AA22" s="1307">
        <v>1</v>
      </c>
      <c r="AB22" s="1307">
        <v>1</v>
      </c>
      <c r="AC22" s="1307">
        <v>1</v>
      </c>
    </row>
    <row r="23" spans="1:29" ht="42.75">
      <c r="A23" s="482"/>
      <c r="B23" s="510" t="s">
        <v>492</v>
      </c>
      <c r="C23" s="523" t="str">
        <f>估价对象房地状况!C18</f>
        <v>451、488、615等，地铁6、八通线等</v>
      </c>
      <c r="D23" s="513">
        <v>100</v>
      </c>
      <c r="E23" s="514" t="s">
        <v>3671</v>
      </c>
      <c r="F23" s="515">
        <f>SUMIF(95:95,E24,96:96)-SUMIF(95:95,C24,96:96)+100</f>
        <v>100</v>
      </c>
      <c r="G23" s="514" t="s">
        <v>3329</v>
      </c>
      <c r="H23" s="509">
        <f>SUMIF(95:95,G24,96:96)-SUMIF(95:95,C24,96:96)+100</f>
        <v>100</v>
      </c>
      <c r="I23" s="514" t="s">
        <v>3329</v>
      </c>
      <c r="J23" s="509">
        <f>SUMIF(95:95,I24,96:96)-SUMIF(95:95,C24,96:96)+100</f>
        <v>100</v>
      </c>
      <c r="K23" s="485">
        <v>2</v>
      </c>
      <c r="L23" s="1746"/>
      <c r="M23" s="1737"/>
      <c r="N23" s="1737"/>
      <c r="O23" s="1745"/>
      <c r="P23" s="3703"/>
      <c r="Q23" s="1304" t="str">
        <f>B23</f>
        <v>交通便捷度</v>
      </c>
      <c r="R23" s="1305" t="s">
        <v>5</v>
      </c>
      <c r="S23" s="1306">
        <f>F23</f>
        <v>100</v>
      </c>
      <c r="T23" s="1305" t="s">
        <v>5</v>
      </c>
      <c r="U23" s="1306">
        <f>H23</f>
        <v>100</v>
      </c>
      <c r="V23" s="1305" t="s">
        <v>5</v>
      </c>
      <c r="W23" s="1306">
        <f>J23</f>
        <v>100</v>
      </c>
      <c r="X23" s="1300"/>
      <c r="Y23" s="3703"/>
      <c r="Z23" s="1307" t="str">
        <f>Q23</f>
        <v>交通便捷度</v>
      </c>
      <c r="AA23" s="1307">
        <f t="shared" si="3"/>
        <v>1</v>
      </c>
      <c r="AB23" s="1307">
        <f t="shared" si="4"/>
        <v>1</v>
      </c>
      <c r="AC23" s="1307">
        <f t="shared" si="5"/>
        <v>1</v>
      </c>
    </row>
    <row r="24" spans="1:29" ht="20.25">
      <c r="A24" s="482"/>
      <c r="B24" s="528"/>
      <c r="C24" s="504" t="s">
        <v>3329</v>
      </c>
      <c r="D24" s="507"/>
      <c r="E24" s="508" t="s">
        <v>3329</v>
      </c>
      <c r="F24" s="505"/>
      <c r="G24" s="508" t="s">
        <v>3329</v>
      </c>
      <c r="H24" s="505"/>
      <c r="I24" s="508" t="s">
        <v>3329</v>
      </c>
      <c r="J24" s="505"/>
      <c r="K24" s="481"/>
      <c r="L24" s="1746"/>
      <c r="M24" s="1737"/>
      <c r="N24" s="1737"/>
      <c r="O24" s="1745"/>
      <c r="P24" s="3703"/>
      <c r="Q24" s="1304"/>
      <c r="R24" s="1305"/>
      <c r="S24" s="1306"/>
      <c r="T24" s="1305"/>
      <c r="U24" s="1306"/>
      <c r="V24" s="1305"/>
      <c r="W24" s="1306"/>
      <c r="X24" s="1300"/>
      <c r="Y24" s="3703"/>
      <c r="Z24" s="1307"/>
      <c r="AA24" s="1307">
        <v>1</v>
      </c>
      <c r="AB24" s="1307">
        <v>1</v>
      </c>
      <c r="AC24" s="1307">
        <v>1</v>
      </c>
    </row>
    <row r="25" spans="1:29" ht="27">
      <c r="A25" s="466"/>
      <c r="B25" s="239" t="s">
        <v>493</v>
      </c>
      <c r="C25" s="523" t="str">
        <f>估价对象房地状况!C19</f>
        <v>较好</v>
      </c>
      <c r="D25" s="513">
        <v>100</v>
      </c>
      <c r="E25" s="514" t="s">
        <v>3329</v>
      </c>
      <c r="F25" s="515">
        <f>SUMIF(97:97,E26,98:98)-SUMIF(97:97,C26,98:98)+100</f>
        <v>100</v>
      </c>
      <c r="G25" s="514" t="s">
        <v>3329</v>
      </c>
      <c r="H25" s="509">
        <f>SUMIF(97:97,G26,98:98)-SUMIF(97:97,C26,98:98)+100</f>
        <v>100</v>
      </c>
      <c r="I25" s="514" t="s">
        <v>3329</v>
      </c>
      <c r="J25" s="509">
        <f>SUMIF(97:97,I26,98:98)-SUMIF(97:97,C26,98:98)+100</f>
        <v>100</v>
      </c>
      <c r="K25" s="485">
        <v>2</v>
      </c>
      <c r="L25" s="1746"/>
      <c r="M25" s="1737"/>
      <c r="N25" s="1737"/>
      <c r="O25" s="1745"/>
      <c r="P25" s="3703"/>
      <c r="Q25" s="1304" t="str">
        <f t="shared" ref="Q25:Q39" si="8">B25</f>
        <v>区域土地利用方向</v>
      </c>
      <c r="R25" s="1305" t="s">
        <v>5</v>
      </c>
      <c r="S25" s="1306">
        <f>F25</f>
        <v>100</v>
      </c>
      <c r="T25" s="1305" t="s">
        <v>5</v>
      </c>
      <c r="U25" s="1306">
        <f>H25</f>
        <v>100</v>
      </c>
      <c r="V25" s="1305" t="s">
        <v>5</v>
      </c>
      <c r="W25" s="1306">
        <f>J25</f>
        <v>100</v>
      </c>
      <c r="X25" s="1300"/>
      <c r="Y25" s="3703"/>
      <c r="Z25" s="1307" t="str">
        <f>Q25</f>
        <v>区域土地利用方向</v>
      </c>
      <c r="AA25" s="1307">
        <f t="shared" si="3"/>
        <v>1</v>
      </c>
      <c r="AB25" s="1307">
        <f t="shared" si="4"/>
        <v>1</v>
      </c>
      <c r="AC25" s="1307">
        <f t="shared" si="5"/>
        <v>1</v>
      </c>
    </row>
    <row r="26" spans="1:29" ht="21" thickBot="1">
      <c r="A26" s="466"/>
      <c r="B26" s="917"/>
      <c r="C26" s="504" t="s">
        <v>3329</v>
      </c>
      <c r="D26" s="507"/>
      <c r="E26" s="508" t="s">
        <v>3329</v>
      </c>
      <c r="F26" s="505"/>
      <c r="G26" s="508" t="s">
        <v>3329</v>
      </c>
      <c r="H26" s="505"/>
      <c r="I26" s="508" t="s">
        <v>3329</v>
      </c>
      <c r="J26" s="505"/>
      <c r="K26" s="481"/>
      <c r="L26" s="1746"/>
      <c r="M26" s="1737"/>
      <c r="N26" s="1737"/>
      <c r="O26" s="1745"/>
      <c r="P26" s="3703"/>
      <c r="Q26" s="1304"/>
      <c r="R26" s="1305"/>
      <c r="S26" s="1306"/>
      <c r="T26" s="1305"/>
      <c r="U26" s="1306"/>
      <c r="V26" s="1305"/>
      <c r="W26" s="1306"/>
      <c r="X26" s="1300"/>
      <c r="Y26" s="3703"/>
      <c r="Z26" s="1307"/>
      <c r="AA26" s="1307"/>
      <c r="AB26" s="1307"/>
      <c r="AC26" s="1307"/>
    </row>
    <row r="27" spans="1:29" ht="28.5">
      <c r="A27" s="466"/>
      <c r="B27" s="528" t="s">
        <v>494</v>
      </c>
      <c r="C27" s="511" t="str">
        <f>估价对象房地状况!C20</f>
        <v>黄渠公园、二外，较好</v>
      </c>
      <c r="D27" s="513">
        <v>100</v>
      </c>
      <c r="E27" s="3502" t="s">
        <v>3673</v>
      </c>
      <c r="F27" s="509">
        <f>SUMIF(99:99,E28,100:100)-SUMIF(99:99,C28,100:100)+100</f>
        <v>98</v>
      </c>
      <c r="G27" s="514" t="s">
        <v>3329</v>
      </c>
      <c r="H27" s="509">
        <f>SUMIF(99:99,G28,100:100)-SUMIF(99:99,C28,100:100)+100</f>
        <v>100</v>
      </c>
      <c r="I27" s="3407" t="s">
        <v>3428</v>
      </c>
      <c r="J27" s="509">
        <f>SUMIF(99:99,I28,100:100)-SUMIF(99:99,C28,100:100)+100</f>
        <v>100</v>
      </c>
      <c r="K27" s="485">
        <v>2</v>
      </c>
      <c r="L27" s="1746"/>
      <c r="M27" s="1737"/>
      <c r="N27" s="1737"/>
      <c r="O27" s="1745"/>
      <c r="P27" s="3703"/>
      <c r="Q27" s="1304" t="str">
        <f t="shared" si="8"/>
        <v>自然及人文环境状况</v>
      </c>
      <c r="R27" s="1305" t="s">
        <v>5</v>
      </c>
      <c r="S27" s="1306">
        <f>F27</f>
        <v>98</v>
      </c>
      <c r="T27" s="1305" t="s">
        <v>5</v>
      </c>
      <c r="U27" s="1306">
        <f>H27</f>
        <v>100</v>
      </c>
      <c r="V27" s="1305" t="s">
        <v>5</v>
      </c>
      <c r="W27" s="1306">
        <f>J27</f>
        <v>100</v>
      </c>
      <c r="X27" s="1300"/>
      <c r="Y27" s="3703"/>
      <c r="Z27" s="1307" t="str">
        <f>Q27</f>
        <v>自然及人文环境状况</v>
      </c>
      <c r="AA27" s="1307">
        <f t="shared" si="3"/>
        <v>1.0204081632653061</v>
      </c>
      <c r="AB27" s="1307">
        <f t="shared" si="4"/>
        <v>1</v>
      </c>
      <c r="AC27" s="1307">
        <f t="shared" si="5"/>
        <v>1</v>
      </c>
    </row>
    <row r="28" spans="1:29" ht="21" thickBot="1">
      <c r="A28" s="466"/>
      <c r="B28" s="516"/>
      <c r="C28" s="504" t="s">
        <v>3329</v>
      </c>
      <c r="D28" s="507"/>
      <c r="E28" s="526" t="s">
        <v>3330</v>
      </c>
      <c r="F28" s="505"/>
      <c r="G28" s="526" t="s">
        <v>3329</v>
      </c>
      <c r="H28" s="505"/>
      <c r="I28" s="508" t="s">
        <v>3329</v>
      </c>
      <c r="J28" s="505"/>
      <c r="K28" s="481"/>
      <c r="L28" s="1746"/>
      <c r="M28" s="1737"/>
      <c r="N28" s="1737"/>
      <c r="O28" s="1745"/>
      <c r="P28" s="3703"/>
      <c r="Q28" s="1304"/>
      <c r="R28" s="1305"/>
      <c r="S28" s="1306"/>
      <c r="T28" s="1305"/>
      <c r="U28" s="1306"/>
      <c r="V28" s="1305"/>
      <c r="W28" s="1306"/>
      <c r="X28" s="1300"/>
      <c r="Y28" s="3703"/>
      <c r="Z28" s="1307"/>
      <c r="AA28" s="1307">
        <v>1</v>
      </c>
      <c r="AB28" s="1307">
        <v>1</v>
      </c>
      <c r="AC28" s="1307">
        <v>1</v>
      </c>
    </row>
    <row r="29" spans="1:29" s="1058" customFormat="1" ht="20.25">
      <c r="A29" s="527"/>
      <c r="B29" s="2047" t="s">
        <v>1826</v>
      </c>
      <c r="C29" s="523" t="str">
        <f>估价对象房地状况!C21</f>
        <v>较好</v>
      </c>
      <c r="D29" s="513">
        <v>100</v>
      </c>
      <c r="E29" s="514" t="s">
        <v>3329</v>
      </c>
      <c r="F29" s="509">
        <f>SUMIF(101:101,E30,102:102)-SUMIF(101:101,C30,102:102)+100</f>
        <v>100</v>
      </c>
      <c r="G29" s="514" t="s">
        <v>3329</v>
      </c>
      <c r="H29" s="509">
        <f>SUMIF(101:101,G30,102:102)-SUMIF(101:101,C30,102:102)+100</f>
        <v>100</v>
      </c>
      <c r="I29" s="3407" t="s">
        <v>3428</v>
      </c>
      <c r="J29" s="509">
        <f>SUMIF(101:101,I30,102:102)-SUMIF(101:101,C30,102:102)+100</f>
        <v>100</v>
      </c>
      <c r="K29" s="485">
        <v>2</v>
      </c>
      <c r="L29" s="1740"/>
      <c r="M29" s="1737"/>
      <c r="N29" s="1737"/>
      <c r="O29" s="1741"/>
      <c r="P29" s="3703"/>
      <c r="Q29" s="817" t="str">
        <f t="shared" si="8"/>
        <v>公共配套设施</v>
      </c>
      <c r="R29" s="1301" t="s">
        <v>5</v>
      </c>
      <c r="S29" s="1302">
        <f>F29</f>
        <v>100</v>
      </c>
      <c r="T29" s="1301" t="s">
        <v>5</v>
      </c>
      <c r="U29" s="1302">
        <f>H29</f>
        <v>100</v>
      </c>
      <c r="V29" s="1301" t="s">
        <v>5</v>
      </c>
      <c r="W29" s="1302">
        <f>J29</f>
        <v>100</v>
      </c>
      <c r="X29" s="1303"/>
      <c r="Y29" s="3703"/>
      <c r="Z29" s="995" t="str">
        <f>Q29</f>
        <v>公共配套设施</v>
      </c>
      <c r="AA29" s="1307">
        <f>D29/F29</f>
        <v>1</v>
      </c>
      <c r="AB29" s="1307">
        <f>D29/H29</f>
        <v>1</v>
      </c>
      <c r="AC29" s="1307">
        <f>D29/J29</f>
        <v>1</v>
      </c>
    </row>
    <row r="30" spans="1:29" s="1058" customFormat="1" ht="20.25">
      <c r="A30" s="527"/>
      <c r="B30" s="516"/>
      <c r="C30" s="529" t="s">
        <v>3329</v>
      </c>
      <c r="D30" s="507"/>
      <c r="E30" s="526" t="s">
        <v>3329</v>
      </c>
      <c r="F30" s="505"/>
      <c r="G30" s="526" t="s">
        <v>3329</v>
      </c>
      <c r="H30" s="505"/>
      <c r="I30" s="508" t="s">
        <v>3329</v>
      </c>
      <c r="J30" s="505"/>
      <c r="K30" s="481"/>
      <c r="L30" s="1740"/>
      <c r="M30" s="1737"/>
      <c r="N30" s="1737"/>
      <c r="O30" s="1741"/>
      <c r="P30" s="3703"/>
      <c r="Q30" s="817"/>
      <c r="R30" s="1301"/>
      <c r="S30" s="1302"/>
      <c r="T30" s="1301"/>
      <c r="U30" s="1302"/>
      <c r="V30" s="1301"/>
      <c r="W30" s="1302"/>
      <c r="X30" s="1303"/>
      <c r="Y30" s="3703"/>
      <c r="Z30" s="995"/>
      <c r="AA30" s="1307">
        <v>1</v>
      </c>
      <c r="AB30" s="1307">
        <v>1</v>
      </c>
      <c r="AC30" s="1307">
        <v>1</v>
      </c>
    </row>
    <row r="31" spans="1:29" s="1058" customFormat="1" ht="20.25">
      <c r="A31" s="527"/>
      <c r="B31" s="2047" t="s">
        <v>1827</v>
      </c>
      <c r="C31" s="523" t="str">
        <f>估价对象房地状况!C22</f>
        <v>七通</v>
      </c>
      <c r="D31" s="513">
        <v>100</v>
      </c>
      <c r="E31" s="514" t="s">
        <v>3332</v>
      </c>
      <c r="F31" s="509">
        <f>SUMIF(103:103,E32,104:104)-SUMIF(103:103,C32,104:104)+100</f>
        <v>100</v>
      </c>
      <c r="G31" s="514" t="s">
        <v>3332</v>
      </c>
      <c r="H31" s="509">
        <f>SUMIF(103:103,G32,104:104)-SUMIF(103:103,C32,104:104)+100</f>
        <v>100</v>
      </c>
      <c r="I31" s="514" t="s">
        <v>3332</v>
      </c>
      <c r="J31" s="509">
        <f>SUMIF(103:103,I32,104:104)-SUMIF(103:103,C32,104:104)+100</f>
        <v>100</v>
      </c>
      <c r="K31" s="485">
        <v>1</v>
      </c>
      <c r="L31" s="1740"/>
      <c r="M31" s="1737"/>
      <c r="N31" s="1737"/>
      <c r="O31" s="1741"/>
      <c r="P31" s="3703"/>
      <c r="Q31" s="817" t="str">
        <f>B31</f>
        <v>基础设施水平</v>
      </c>
      <c r="R31" s="1301" t="s">
        <v>5</v>
      </c>
      <c r="S31" s="1302">
        <f>F31</f>
        <v>100</v>
      </c>
      <c r="T31" s="1301" t="s">
        <v>5</v>
      </c>
      <c r="U31" s="1302">
        <f>H31</f>
        <v>100</v>
      </c>
      <c r="V31" s="1301" t="s">
        <v>5</v>
      </c>
      <c r="W31" s="1302">
        <f>J31</f>
        <v>100</v>
      </c>
      <c r="X31" s="1303"/>
      <c r="Y31" s="3703"/>
      <c r="Z31" s="995" t="str">
        <f>Q31</f>
        <v>基础设施水平</v>
      </c>
      <c r="AA31" s="1307">
        <f>D31/F31</f>
        <v>1</v>
      </c>
      <c r="AB31" s="1307">
        <f>D31/H31</f>
        <v>1</v>
      </c>
      <c r="AC31" s="1307">
        <f>D31/J31</f>
        <v>1</v>
      </c>
    </row>
    <row r="32" spans="1:29" s="1058" customFormat="1" ht="20.25">
      <c r="A32" s="527"/>
      <c r="B32" s="516"/>
      <c r="C32" s="529" t="s">
        <v>3332</v>
      </c>
      <c r="D32" s="507"/>
      <c r="E32" s="2048" t="s">
        <v>3332</v>
      </c>
      <c r="F32" s="505"/>
      <c r="G32" s="2048" t="s">
        <v>3332</v>
      </c>
      <c r="H32" s="505"/>
      <c r="I32" s="2048" t="s">
        <v>3332</v>
      </c>
      <c r="J32" s="505"/>
      <c r="K32" s="481"/>
      <c r="L32" s="1740"/>
      <c r="M32" s="1737"/>
      <c r="N32" s="1737"/>
      <c r="O32" s="1741"/>
      <c r="P32" s="3703"/>
      <c r="Q32" s="817"/>
      <c r="R32" s="1301"/>
      <c r="S32" s="1302"/>
      <c r="T32" s="1301"/>
      <c r="U32" s="1302"/>
      <c r="V32" s="1301"/>
      <c r="W32" s="1302"/>
      <c r="X32" s="1303"/>
      <c r="Y32" s="3703"/>
      <c r="Z32" s="995"/>
      <c r="AA32" s="1307">
        <v>1</v>
      </c>
      <c r="AB32" s="1307">
        <v>1</v>
      </c>
      <c r="AC32" s="1307">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6"/>
      <c r="M33" s="1737"/>
      <c r="N33" s="1737"/>
      <c r="O33" s="1745"/>
      <c r="P33" s="3703"/>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03"/>
      <c r="Z33" s="1307" t="str">
        <f t="shared" ref="Z33:Z47" si="12">Q33</f>
        <v>临街状况</v>
      </c>
      <c r="AA33" s="1307">
        <f t="shared" si="3"/>
        <v>1</v>
      </c>
      <c r="AB33" s="1307">
        <f t="shared" si="4"/>
        <v>1</v>
      </c>
      <c r="AC33" s="1307">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6"/>
      <c r="M34" s="1737"/>
      <c r="N34" s="1737"/>
      <c r="O34" s="1745"/>
      <c r="P34" s="3703"/>
      <c r="Q34" s="1304" t="str">
        <f t="shared" si="8"/>
        <v>毗邻道路的类型与等级</v>
      </c>
      <c r="R34" s="1305" t="s">
        <v>5</v>
      </c>
      <c r="S34" s="1306">
        <f t="shared" si="9"/>
        <v>100</v>
      </c>
      <c r="T34" s="1305" t="s">
        <v>5</v>
      </c>
      <c r="U34" s="1306">
        <f t="shared" si="10"/>
        <v>100</v>
      </c>
      <c r="V34" s="1305" t="s">
        <v>5</v>
      </c>
      <c r="W34" s="1306">
        <f t="shared" si="11"/>
        <v>100</v>
      </c>
      <c r="X34" s="1300"/>
      <c r="Y34" s="3703"/>
      <c r="Z34" s="1307" t="str">
        <f t="shared" si="12"/>
        <v>毗邻道路的类型与等级</v>
      </c>
      <c r="AA34" s="1307">
        <f t="shared" si="3"/>
        <v>1</v>
      </c>
      <c r="AB34" s="1307">
        <f t="shared" si="4"/>
        <v>1</v>
      </c>
      <c r="AC34" s="1307">
        <f t="shared" si="5"/>
        <v>1</v>
      </c>
    </row>
    <row r="35" spans="1:29" ht="21" thickBot="1">
      <c r="A35" s="482"/>
      <c r="B35" s="516"/>
      <c r="C35" s="504"/>
      <c r="D35" s="507"/>
      <c r="E35" s="526"/>
      <c r="F35" s="505"/>
      <c r="G35" s="504"/>
      <c r="H35" s="505"/>
      <c r="I35" s="526"/>
      <c r="J35" s="505"/>
      <c r="K35" s="531"/>
      <c r="L35" s="1746"/>
      <c r="M35" s="1737"/>
      <c r="N35" s="1737"/>
      <c r="O35" s="1745"/>
      <c r="P35" s="3703"/>
      <c r="Q35" s="1304"/>
      <c r="R35" s="1305"/>
      <c r="S35" s="1306"/>
      <c r="T35" s="1305"/>
      <c r="U35" s="1306"/>
      <c r="V35" s="1305"/>
      <c r="W35" s="1306"/>
      <c r="X35" s="1300"/>
      <c r="Y35" s="3703"/>
      <c r="Z35" s="1307"/>
      <c r="AA35" s="1307">
        <v>1</v>
      </c>
      <c r="AB35" s="1307">
        <v>1</v>
      </c>
      <c r="AC35" s="1307">
        <v>1</v>
      </c>
    </row>
    <row r="36" spans="1:29" ht="21"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6"/>
      <c r="M36" s="1737"/>
      <c r="N36" s="1737"/>
      <c r="O36" s="1745"/>
      <c r="P36" s="3703"/>
      <c r="Q36" s="1304" t="str">
        <f t="shared" si="8"/>
        <v>土地级别</v>
      </c>
      <c r="R36" s="1305" t="s">
        <v>5</v>
      </c>
      <c r="S36" s="1306">
        <f t="shared" si="9"/>
        <v>100</v>
      </c>
      <c r="T36" s="1305" t="s">
        <v>5</v>
      </c>
      <c r="U36" s="1306">
        <f t="shared" si="10"/>
        <v>100</v>
      </c>
      <c r="V36" s="1305" t="s">
        <v>5</v>
      </c>
      <c r="W36" s="1306">
        <f t="shared" si="11"/>
        <v>100</v>
      </c>
      <c r="X36" s="1300"/>
      <c r="Y36" s="3703"/>
      <c r="Z36" s="1307" t="str">
        <f t="shared" si="12"/>
        <v>土地级别</v>
      </c>
      <c r="AA36" s="1307">
        <f t="shared" si="3"/>
        <v>1</v>
      </c>
      <c r="AB36" s="1307">
        <f t="shared" si="4"/>
        <v>1</v>
      </c>
      <c r="AC36" s="1307">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6"/>
      <c r="M37" s="1737"/>
      <c r="N37" s="1737"/>
      <c r="O37" s="1745"/>
      <c r="P37" s="3703"/>
      <c r="Q37" s="1304">
        <f t="shared" si="8"/>
        <v>111</v>
      </c>
      <c r="R37" s="1305" t="s">
        <v>5</v>
      </c>
      <c r="S37" s="1306">
        <f t="shared" si="9"/>
        <v>100</v>
      </c>
      <c r="T37" s="1305" t="s">
        <v>5</v>
      </c>
      <c r="U37" s="1306">
        <f t="shared" si="10"/>
        <v>100</v>
      </c>
      <c r="V37" s="1305" t="s">
        <v>5</v>
      </c>
      <c r="W37" s="1306">
        <f t="shared" si="11"/>
        <v>100</v>
      </c>
      <c r="X37" s="1300"/>
      <c r="Y37" s="3703"/>
      <c r="Z37" s="1307">
        <f t="shared" si="12"/>
        <v>111</v>
      </c>
      <c r="AA37" s="1307">
        <f t="shared" si="3"/>
        <v>1</v>
      </c>
      <c r="AB37" s="1307">
        <f t="shared" si="4"/>
        <v>1</v>
      </c>
      <c r="AC37" s="1307">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6"/>
      <c r="M38" s="1737"/>
      <c r="N38" s="1737"/>
      <c r="O38" s="1745"/>
      <c r="P38" s="3704" t="s">
        <v>499</v>
      </c>
      <c r="Q38" s="1304">
        <f t="shared" si="8"/>
        <v>111</v>
      </c>
      <c r="R38" s="1305" t="s">
        <v>5</v>
      </c>
      <c r="S38" s="1306">
        <f t="shared" si="9"/>
        <v>100</v>
      </c>
      <c r="T38" s="1305" t="s">
        <v>5</v>
      </c>
      <c r="U38" s="1306">
        <f t="shared" si="10"/>
        <v>100</v>
      </c>
      <c r="V38" s="1305" t="s">
        <v>5</v>
      </c>
      <c r="W38" s="1306">
        <f t="shared" si="11"/>
        <v>100</v>
      </c>
      <c r="X38" s="1300"/>
      <c r="Y38" s="3705" t="s">
        <v>499</v>
      </c>
      <c r="Z38" s="1307">
        <f t="shared" si="12"/>
        <v>111</v>
      </c>
      <c r="AA38" s="1307">
        <f t="shared" si="3"/>
        <v>1</v>
      </c>
      <c r="AB38" s="1307">
        <f t="shared" si="4"/>
        <v>1</v>
      </c>
      <c r="AC38" s="1307">
        <f t="shared" si="5"/>
        <v>1</v>
      </c>
    </row>
    <row r="39" spans="1:29" s="1132"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4"/>
      <c r="M39" s="1737"/>
      <c r="N39" s="1737"/>
      <c r="O39" s="1747"/>
      <c r="P39" s="3705"/>
      <c r="Q39" s="1304">
        <f t="shared" si="8"/>
        <v>111</v>
      </c>
      <c r="R39" s="1308" t="s">
        <v>5</v>
      </c>
      <c r="S39" s="1309">
        <f t="shared" si="9"/>
        <v>100</v>
      </c>
      <c r="T39" s="1308" t="s">
        <v>5</v>
      </c>
      <c r="U39" s="1309">
        <f t="shared" si="10"/>
        <v>100</v>
      </c>
      <c r="V39" s="1308" t="s">
        <v>5</v>
      </c>
      <c r="W39" s="1309">
        <f t="shared" si="11"/>
        <v>100</v>
      </c>
      <c r="X39" s="1310"/>
      <c r="Y39" s="3705"/>
      <c r="Z39" s="1311">
        <f t="shared" si="12"/>
        <v>111</v>
      </c>
      <c r="AA39" s="1307">
        <f t="shared" si="3"/>
        <v>1</v>
      </c>
      <c r="AB39" s="1307">
        <f t="shared" si="4"/>
        <v>1</v>
      </c>
      <c r="AC39" s="1307">
        <f t="shared" si="5"/>
        <v>1</v>
      </c>
    </row>
    <row r="40" spans="1:29" ht="20.25">
      <c r="A40" s="2201"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6"/>
      <c r="M40" s="1737"/>
      <c r="N40" s="1737"/>
      <c r="O40" s="1745"/>
      <c r="P40" s="3705"/>
      <c r="Q40" s="1304" t="str">
        <f>B40</f>
        <v>宗地面积</v>
      </c>
      <c r="R40" s="1305" t="s">
        <v>5</v>
      </c>
      <c r="S40" s="1306">
        <f t="shared" si="9"/>
        <v>99</v>
      </c>
      <c r="T40" s="1305" t="s">
        <v>5</v>
      </c>
      <c r="U40" s="1306">
        <f t="shared" si="10"/>
        <v>99</v>
      </c>
      <c r="V40" s="1305" t="s">
        <v>5</v>
      </c>
      <c r="W40" s="1306">
        <f t="shared" si="11"/>
        <v>99</v>
      </c>
      <c r="X40" s="1300"/>
      <c r="Y40" s="3705"/>
      <c r="Z40" s="1307" t="str">
        <f t="shared" si="12"/>
        <v>宗地面积</v>
      </c>
      <c r="AA40" s="1307">
        <f t="shared" si="3"/>
        <v>1.0101010101010102</v>
      </c>
      <c r="AB40" s="1307">
        <f t="shared" si="4"/>
        <v>1.0101010101010102</v>
      </c>
      <c r="AC40" s="1307">
        <f t="shared" si="5"/>
        <v>1.0101010101010102</v>
      </c>
    </row>
    <row r="41" spans="1:29" ht="20.25">
      <c r="A41" s="543"/>
      <c r="B41" s="477" t="s">
        <v>502</v>
      </c>
      <c r="C41" s="548" t="s">
        <v>3426</v>
      </c>
      <c r="D41" s="490">
        <v>100</v>
      </c>
      <c r="E41" s="548" t="s">
        <v>3429</v>
      </c>
      <c r="F41" s="490">
        <f>SUMIF(120:120,E41,121:121)-SUMIF(120:120,C41,121:121)+100</f>
        <v>99</v>
      </c>
      <c r="G41" s="548" t="s">
        <v>3426</v>
      </c>
      <c r="H41" s="490">
        <f>SUMIF(120:120,G41,121:121)-SUMIF(120:120,C41,121:121)+100</f>
        <v>100</v>
      </c>
      <c r="I41" s="548" t="s">
        <v>3429</v>
      </c>
      <c r="J41" s="490">
        <f>SUMIF(120:120,I41,121:121)-SUMIF(120:120,C41,121:121)+100</f>
        <v>99</v>
      </c>
      <c r="K41" s="533">
        <v>1</v>
      </c>
      <c r="L41" s="1746"/>
      <c r="M41" s="1737"/>
      <c r="N41" s="1737"/>
      <c r="O41" s="1745"/>
      <c r="P41" s="3705"/>
      <c r="Q41" s="1304" t="str">
        <f t="shared" ref="Q41:Q47" si="13">B41</f>
        <v>宗地形状</v>
      </c>
      <c r="R41" s="1305" t="s">
        <v>5</v>
      </c>
      <c r="S41" s="1306">
        <f t="shared" si="9"/>
        <v>99</v>
      </c>
      <c r="T41" s="1305" t="s">
        <v>5</v>
      </c>
      <c r="U41" s="1306">
        <f t="shared" si="10"/>
        <v>100</v>
      </c>
      <c r="V41" s="1305" t="s">
        <v>5</v>
      </c>
      <c r="W41" s="1306">
        <f t="shared" si="11"/>
        <v>99</v>
      </c>
      <c r="X41" s="1300"/>
      <c r="Y41" s="3705"/>
      <c r="Z41" s="1307" t="str">
        <f t="shared" si="12"/>
        <v>宗地形状</v>
      </c>
      <c r="AA41" s="1307">
        <f t="shared" si="3"/>
        <v>1.0101010101010102</v>
      </c>
      <c r="AB41" s="1307">
        <f t="shared" si="4"/>
        <v>1</v>
      </c>
      <c r="AC41" s="1307">
        <f t="shared" si="5"/>
        <v>1.0101010101010102</v>
      </c>
    </row>
    <row r="42" spans="1:29" ht="20.25">
      <c r="A42" s="543"/>
      <c r="B42" s="477" t="s">
        <v>503</v>
      </c>
      <c r="C42" s="548" t="s">
        <v>3433</v>
      </c>
      <c r="D42" s="490">
        <v>100</v>
      </c>
      <c r="E42" s="548" t="s">
        <v>3433</v>
      </c>
      <c r="F42" s="490">
        <f>SUMIF(122:122,E42,123:123)-SUMIF(122:122,C42,123:123)+100</f>
        <v>100</v>
      </c>
      <c r="G42" s="548" t="s">
        <v>3433</v>
      </c>
      <c r="H42" s="490">
        <f>SUMIF(122:122,G42,123:123)-SUMIF(122:122,C42,123:123)+100</f>
        <v>100</v>
      </c>
      <c r="I42" s="548" t="s">
        <v>3433</v>
      </c>
      <c r="J42" s="490">
        <f>SUMIF(122:122,I42,123:123)-SUMIF(122:122,C42,123:123)+100</f>
        <v>100</v>
      </c>
      <c r="K42" s="533">
        <v>2</v>
      </c>
      <c r="L42" s="1746"/>
      <c r="M42" s="1737"/>
      <c r="N42" s="1737"/>
      <c r="O42" s="1745"/>
      <c r="P42" s="3705"/>
      <c r="Q42" s="1304" t="str">
        <f t="shared" si="13"/>
        <v>临街宽度及深度</v>
      </c>
      <c r="R42" s="1305" t="s">
        <v>5</v>
      </c>
      <c r="S42" s="1306">
        <f t="shared" si="9"/>
        <v>100</v>
      </c>
      <c r="T42" s="1305" t="s">
        <v>5</v>
      </c>
      <c r="U42" s="1306">
        <f t="shared" si="10"/>
        <v>100</v>
      </c>
      <c r="V42" s="1305" t="s">
        <v>5</v>
      </c>
      <c r="W42" s="1306">
        <f t="shared" si="11"/>
        <v>100</v>
      </c>
      <c r="X42" s="1300"/>
      <c r="Y42" s="3705"/>
      <c r="Z42" s="1307" t="str">
        <f t="shared" si="12"/>
        <v>临街宽度及深度</v>
      </c>
      <c r="AA42" s="1307">
        <f t="shared" si="3"/>
        <v>1</v>
      </c>
      <c r="AB42" s="1307">
        <f t="shared" si="4"/>
        <v>1</v>
      </c>
      <c r="AC42" s="1307">
        <f t="shared" si="5"/>
        <v>1</v>
      </c>
    </row>
    <row r="43" spans="1:29" s="1058" customFormat="1" ht="20.25">
      <c r="A43" s="549"/>
      <c r="B43" s="1551" t="s">
        <v>1771</v>
      </c>
      <c r="C43" s="550" t="s">
        <v>3437</v>
      </c>
      <c r="D43" s="235">
        <v>100</v>
      </c>
      <c r="E43" s="550" t="s">
        <v>3438</v>
      </c>
      <c r="F43" s="490">
        <f>SUMIF(124:124,E43,125:125)-SUMIF(124:124,C43,125:125)+100</f>
        <v>99</v>
      </c>
      <c r="G43" s="550" t="s">
        <v>3437</v>
      </c>
      <c r="H43" s="490">
        <f>SUMIF(124:124,G43,125:125)-SUMIF(124:124,C43,125:125)+100</f>
        <v>100</v>
      </c>
      <c r="I43" s="550" t="s">
        <v>3437</v>
      </c>
      <c r="J43" s="490">
        <f>SUMIF(124:124,I43,125:125)-SUMIF(124:124,C43,125:125)+100</f>
        <v>100</v>
      </c>
      <c r="K43" s="533">
        <v>1</v>
      </c>
      <c r="L43" s="1740"/>
      <c r="M43" s="1737"/>
      <c r="N43" s="1737"/>
      <c r="O43" s="1741"/>
      <c r="P43" s="3705"/>
      <c r="Q43" s="1304" t="str">
        <f t="shared" si="13"/>
        <v>宗地开发程度</v>
      </c>
      <c r="R43" s="1301" t="s">
        <v>5</v>
      </c>
      <c r="S43" s="1302">
        <f t="shared" si="9"/>
        <v>99</v>
      </c>
      <c r="T43" s="1301" t="s">
        <v>5</v>
      </c>
      <c r="U43" s="1302">
        <f t="shared" si="10"/>
        <v>100</v>
      </c>
      <c r="V43" s="1301" t="s">
        <v>5</v>
      </c>
      <c r="W43" s="1302">
        <f t="shared" si="11"/>
        <v>100</v>
      </c>
      <c r="X43" s="1303"/>
      <c r="Y43" s="3705"/>
      <c r="Z43" s="995" t="str">
        <f t="shared" si="12"/>
        <v>宗地开发程度</v>
      </c>
      <c r="AA43" s="995">
        <f t="shared" si="3"/>
        <v>1.0101010101010102</v>
      </c>
      <c r="AB43" s="995">
        <f t="shared" si="4"/>
        <v>1</v>
      </c>
      <c r="AC43" s="995">
        <f t="shared" si="5"/>
        <v>1</v>
      </c>
    </row>
    <row r="44" spans="1:29" ht="21" thickBot="1">
      <c r="A44" s="543"/>
      <c r="B44" s="477" t="s">
        <v>504</v>
      </c>
      <c r="C44" s="548" t="s">
        <v>3329</v>
      </c>
      <c r="D44" s="490">
        <v>100</v>
      </c>
      <c r="E44" s="548" t="s">
        <v>3329</v>
      </c>
      <c r="F44" s="490">
        <f>SUMIF(126:126,E44,127:127)-SUMIF(126:126,C44,127:127)+100</f>
        <v>100</v>
      </c>
      <c r="G44" s="548" t="s">
        <v>3329</v>
      </c>
      <c r="H44" s="490">
        <f>SUMIF(126:126,G44,127:127)-SUMIF(126:126,C44,127:127)+100</f>
        <v>100</v>
      </c>
      <c r="I44" s="548" t="s">
        <v>3329</v>
      </c>
      <c r="J44" s="490">
        <f>SUMIF(126:126,I44,127:127)-SUMIF(126:126,C44,127:127)+100</f>
        <v>100</v>
      </c>
      <c r="K44" s="533">
        <v>2</v>
      </c>
      <c r="L44" s="1746"/>
      <c r="M44" s="1737"/>
      <c r="N44" s="1737"/>
      <c r="O44" s="1745"/>
      <c r="P44" s="3705" t="s">
        <v>499</v>
      </c>
      <c r="Q44" s="1304" t="str">
        <f t="shared" si="13"/>
        <v>工程地质条件</v>
      </c>
      <c r="R44" s="1305" t="s">
        <v>5</v>
      </c>
      <c r="S44" s="1306">
        <f t="shared" si="9"/>
        <v>100</v>
      </c>
      <c r="T44" s="1305" t="s">
        <v>5</v>
      </c>
      <c r="U44" s="1306">
        <f t="shared" si="10"/>
        <v>100</v>
      </c>
      <c r="V44" s="1305" t="s">
        <v>5</v>
      </c>
      <c r="W44" s="1306">
        <f t="shared" si="11"/>
        <v>100</v>
      </c>
      <c r="X44" s="1300"/>
      <c r="Y44" s="3705" t="s">
        <v>499</v>
      </c>
      <c r="Z44" s="1307" t="str">
        <f t="shared" si="12"/>
        <v>工程地质条件</v>
      </c>
      <c r="AA44" s="1307">
        <f t="shared" si="3"/>
        <v>1</v>
      </c>
      <c r="AB44" s="1307">
        <f t="shared" si="4"/>
        <v>1</v>
      </c>
      <c r="AC44" s="1307">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6"/>
      <c r="M45" s="1737"/>
      <c r="N45" s="1737"/>
      <c r="O45" s="1745"/>
      <c r="P45" s="3705"/>
      <c r="Q45" s="1304">
        <f t="shared" si="13"/>
        <v>111</v>
      </c>
      <c r="R45" s="1305" t="s">
        <v>5</v>
      </c>
      <c r="S45" s="1306">
        <f t="shared" si="9"/>
        <v>100</v>
      </c>
      <c r="T45" s="1305" t="s">
        <v>5</v>
      </c>
      <c r="U45" s="1306">
        <f t="shared" si="10"/>
        <v>100</v>
      </c>
      <c r="V45" s="1305" t="s">
        <v>5</v>
      </c>
      <c r="W45" s="1306">
        <f t="shared" si="11"/>
        <v>100</v>
      </c>
      <c r="X45" s="1300"/>
      <c r="Y45" s="3705"/>
      <c r="Z45" s="1307">
        <f t="shared" si="12"/>
        <v>111</v>
      </c>
      <c r="AA45" s="1307">
        <f t="shared" si="3"/>
        <v>1</v>
      </c>
      <c r="AB45" s="1307">
        <f t="shared" si="4"/>
        <v>1</v>
      </c>
      <c r="AC45" s="1307">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6"/>
      <c r="M46" s="1737"/>
      <c r="N46" s="1737"/>
      <c r="O46" s="1745"/>
      <c r="P46" s="3705"/>
      <c r="Q46" s="1304">
        <f t="shared" si="13"/>
        <v>111</v>
      </c>
      <c r="R46" s="1305" t="s">
        <v>5</v>
      </c>
      <c r="S46" s="1306">
        <f t="shared" si="9"/>
        <v>100</v>
      </c>
      <c r="T46" s="1305" t="s">
        <v>5</v>
      </c>
      <c r="U46" s="1306">
        <f t="shared" si="10"/>
        <v>100</v>
      </c>
      <c r="V46" s="1305" t="s">
        <v>5</v>
      </c>
      <c r="W46" s="1306">
        <f t="shared" si="11"/>
        <v>100</v>
      </c>
      <c r="X46" s="1300"/>
      <c r="Y46" s="3705"/>
      <c r="Z46" s="1307">
        <f t="shared" si="12"/>
        <v>111</v>
      </c>
      <c r="AA46" s="1307">
        <f t="shared" si="3"/>
        <v>1</v>
      </c>
      <c r="AB46" s="1307">
        <f t="shared" si="4"/>
        <v>1</v>
      </c>
      <c r="AC46" s="1307">
        <f t="shared" si="5"/>
        <v>1</v>
      </c>
    </row>
    <row r="47" spans="1:29" s="1132"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4"/>
      <c r="M47" s="1737"/>
      <c r="N47" s="1737"/>
      <c r="O47" s="1747"/>
      <c r="P47" s="3705"/>
      <c r="Q47" s="1304">
        <f t="shared" si="13"/>
        <v>111</v>
      </c>
      <c r="R47" s="1308" t="s">
        <v>5</v>
      </c>
      <c r="S47" s="1309">
        <f t="shared" si="9"/>
        <v>100</v>
      </c>
      <c r="T47" s="1308" t="s">
        <v>5</v>
      </c>
      <c r="U47" s="1309">
        <f t="shared" si="10"/>
        <v>100</v>
      </c>
      <c r="V47" s="1308" t="s">
        <v>5</v>
      </c>
      <c r="W47" s="1309">
        <f t="shared" si="11"/>
        <v>100</v>
      </c>
      <c r="X47" s="1310"/>
      <c r="Y47" s="3705"/>
      <c r="Z47" s="1311">
        <f t="shared" si="12"/>
        <v>111</v>
      </c>
      <c r="AA47" s="1307">
        <f t="shared" si="3"/>
        <v>1</v>
      </c>
      <c r="AB47" s="1307">
        <f t="shared" si="4"/>
        <v>1</v>
      </c>
      <c r="AC47" s="1307">
        <f t="shared" si="5"/>
        <v>1</v>
      </c>
    </row>
    <row r="48" spans="1:29" ht="20.25">
      <c r="A48" s="556" t="s">
        <v>505</v>
      </c>
      <c r="B48" s="557" t="s">
        <v>3418</v>
      </c>
      <c r="C48" s="558" t="s">
        <v>0</v>
      </c>
      <c r="D48" s="559"/>
      <c r="E48" s="560">
        <f>案例库!S7</f>
        <v>51858</v>
      </c>
      <c r="F48" s="561"/>
      <c r="G48" s="562">
        <f>案例库!S13</f>
        <v>52202</v>
      </c>
      <c r="H48" s="563"/>
      <c r="I48" s="560">
        <f>案例库!S14</f>
        <v>52092</v>
      </c>
      <c r="J48" s="563"/>
      <c r="K48" s="1133"/>
      <c r="L48" s="1748"/>
      <c r="M48" s="1737"/>
      <c r="N48" s="1737"/>
      <c r="O48" s="1739"/>
      <c r="P48" s="3700" t="str">
        <f>A48</f>
        <v>成交单价</v>
      </c>
      <c r="Q48" s="3700"/>
      <c r="R48" s="3716">
        <f>E48</f>
        <v>51858</v>
      </c>
      <c r="S48" s="3716"/>
      <c r="T48" s="3716">
        <f>G48</f>
        <v>52202</v>
      </c>
      <c r="U48" s="3716"/>
      <c r="V48" s="3716">
        <f>I48</f>
        <v>52092</v>
      </c>
      <c r="W48" s="3716"/>
      <c r="X48" s="799"/>
      <c r="Y48" s="1312"/>
      <c r="Z48" s="799"/>
      <c r="AA48" s="799"/>
      <c r="AB48" s="799"/>
      <c r="AC48" s="799"/>
    </row>
    <row r="49" spans="1:29" ht="21" thickBot="1">
      <c r="A49" s="564" t="s">
        <v>1970</v>
      </c>
      <c r="B49" s="565"/>
      <c r="C49" s="566">
        <f>R50</f>
        <v>51279</v>
      </c>
      <c r="D49" s="2547" t="s">
        <v>2243</v>
      </c>
      <c r="E49" s="566">
        <f>R49</f>
        <v>52999</v>
      </c>
      <c r="F49" s="2548"/>
      <c r="G49" s="567">
        <f>T49</f>
        <v>50218</v>
      </c>
      <c r="H49" s="2548"/>
      <c r="I49" s="566">
        <f>V49</f>
        <v>50619</v>
      </c>
      <c r="J49" s="2548"/>
      <c r="K49" s="2549">
        <f>F49+H49+J49</f>
        <v>0</v>
      </c>
      <c r="L49" s="1748"/>
      <c r="M49" s="1737"/>
      <c r="N49" s="1737"/>
      <c r="O49" s="1739"/>
      <c r="P49" s="3700" t="str">
        <f>A49</f>
        <v>比较价格（元/平方米）</v>
      </c>
      <c r="Q49" s="3700"/>
      <c r="R49" s="3724">
        <f>ROUND(PRODUCT(R48,AA9:AA47),0)</f>
        <v>52999</v>
      </c>
      <c r="S49" s="3724"/>
      <c r="T49" s="3724">
        <f>ROUND(PRODUCT(T48,AB9:AB47),0)</f>
        <v>50218</v>
      </c>
      <c r="U49" s="3724"/>
      <c r="V49" s="3724">
        <f>ROUND(PRODUCT(V48,AC9:AC47),0)</f>
        <v>50619</v>
      </c>
      <c r="W49" s="3724"/>
      <c r="X49" s="799"/>
      <c r="Y49" s="799"/>
      <c r="Z49" s="799"/>
      <c r="AA49" s="799"/>
      <c r="AB49" s="799"/>
      <c r="AC49" s="799"/>
    </row>
    <row r="50" spans="1:29" ht="21" thickBot="1">
      <c r="A50" s="568" t="s">
        <v>2180</v>
      </c>
      <c r="B50" s="569"/>
      <c r="C50" s="570">
        <f>R50</f>
        <v>51279</v>
      </c>
      <c r="D50" s="570"/>
      <c r="E50" s="570"/>
      <c r="F50" s="570"/>
      <c r="G50" s="570"/>
      <c r="H50" s="570"/>
      <c r="I50" s="570"/>
      <c r="J50" s="570"/>
      <c r="K50" s="1134"/>
      <c r="L50" s="1748"/>
      <c r="M50" s="1737"/>
      <c r="N50" s="1737"/>
      <c r="O50" s="1739"/>
      <c r="P50" s="3706" t="str">
        <f>A50</f>
        <v>估价对象XX用房的比较价格（楼面单价，元/平方米）</v>
      </c>
      <c r="Q50" s="3707"/>
      <c r="R50" s="3723">
        <f>ROUND(IF(D49="简单平均",AVERAGE(R49:W49),R49*F49+T49*H49+V49*J49),0)</f>
        <v>51279</v>
      </c>
      <c r="S50" s="3723"/>
      <c r="T50" s="3723"/>
      <c r="U50" s="3723"/>
      <c r="V50" s="3723"/>
      <c r="W50" s="3723"/>
      <c r="X50" s="799"/>
      <c r="Y50" s="799"/>
      <c r="Z50" s="799"/>
      <c r="AA50" s="799"/>
      <c r="AB50" s="799"/>
      <c r="AC50" s="799"/>
    </row>
    <row r="51" spans="1:29" ht="20.25">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0.25">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f>IF(E48&lt;E49,E49/E48-1,E48/E49-1)</f>
        <v>2.2002391145049982E-2</v>
      </c>
      <c r="F53" s="574" t="str">
        <f>IF(OR(E53&gt;=0.3,E53&lt;=-0.3),"超过30%","")</f>
        <v/>
      </c>
      <c r="G53" s="573">
        <f>IF(G48&lt;G49,G49/G48-1,G48/G49-1)</f>
        <v>3.9507746226452589E-2</v>
      </c>
      <c r="H53" s="574" t="str">
        <f>IF(OR(G53&gt;=0.3,G53&lt;=-0.3),"超过30%","")</f>
        <v/>
      </c>
      <c r="I53" s="573">
        <f>IF(I48&lt;I49,I49/I48-1,I48/I49-1)</f>
        <v>2.909974515498126E-2</v>
      </c>
      <c r="J53" s="574" t="str">
        <f>IF(OR(I53&gt;=0.3,I53&lt;=-0.3),"超过30%","")</f>
        <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f>IF(E49&lt;G49,G49/E49-1,E49/G49-1)</f>
        <v>5.537854952407506E-2</v>
      </c>
      <c r="F54" s="574" t="str">
        <f>IF(OR(E54&gt;=0.2,E54&lt;=-0.2),"超过20%","")</f>
        <v/>
      </c>
      <c r="G54" s="573">
        <f>IF(G49&lt;I49,I49/G49-1,G49/I49-1)</f>
        <v>7.9851845951650624E-3</v>
      </c>
      <c r="H54" s="574" t="str">
        <f>IF(OR(G54&gt;=0.2,G54&lt;=-0.2),"超过20%","")</f>
        <v/>
      </c>
      <c r="I54" s="573">
        <f>IF(I49&lt;E49,E49/I49-1,I49/E49-1)</f>
        <v>4.7017918173018147E-2</v>
      </c>
      <c r="J54" s="574" t="str">
        <f>IF(OR(I54&gt;=0.2,I54&lt;=-0.2),"超过20%","")</f>
        <v/>
      </c>
      <c r="K54" s="2719"/>
      <c r="L54" s="1752"/>
      <c r="M54" s="1737"/>
      <c r="N54" s="1737"/>
      <c r="O54" s="1739"/>
      <c r="P54" s="1739"/>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0"/>
      <c r="L55" s="1755"/>
      <c r="M55" s="1737"/>
      <c r="N55" s="1737"/>
      <c r="O55" s="1749"/>
      <c r="P55" s="1749"/>
      <c r="Q55" s="1749"/>
      <c r="R55" s="1749"/>
      <c r="S55" s="1749"/>
      <c r="T55" s="1749"/>
      <c r="U55" s="1749"/>
      <c r="V55" s="1749"/>
      <c r="W55" s="1749"/>
      <c r="X55" s="1749"/>
      <c r="Y55" s="1749"/>
      <c r="Z55" s="1749"/>
      <c r="AA55" s="1749"/>
      <c r="AB55" s="1749"/>
      <c r="AC55" s="1749"/>
    </row>
    <row r="56" spans="1:29" s="1137" customFormat="1" ht="21"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6" t="s">
        <v>509</v>
      </c>
      <c r="B57" s="577" t="s">
        <v>510</v>
      </c>
      <c r="C57" s="1298" t="s">
        <v>1253</v>
      </c>
      <c r="D57" s="1818" t="s">
        <v>1647</v>
      </c>
      <c r="E57" s="578" t="s">
        <v>511</v>
      </c>
      <c r="F57" s="579" t="s">
        <v>512</v>
      </c>
      <c r="G57" s="3685" t="s">
        <v>1636</v>
      </c>
      <c r="H57" s="3686"/>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8" customFormat="1" ht="12.75">
      <c r="A58" s="580" t="s">
        <v>513</v>
      </c>
      <c r="B58" s="581">
        <f>C50</f>
        <v>51279</v>
      </c>
      <c r="C58" s="582">
        <v>1</v>
      </c>
      <c r="D58" s="1819">
        <v>1</v>
      </c>
      <c r="E58" s="582">
        <f>'数据-汇总表'!E8+'数据-汇总表'!E9</f>
        <v>91499.81</v>
      </c>
      <c r="F58" s="583">
        <f t="shared" ref="F58:F66" si="14">ROUND(B58*E58/10000,0)</f>
        <v>469202</v>
      </c>
      <c r="G58" s="3687"/>
      <c r="H58" s="3688"/>
      <c r="I58" s="1296">
        <v>1</v>
      </c>
      <c r="J58" s="1296">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2.75">
      <c r="A59" s="584" t="s">
        <v>514</v>
      </c>
      <c r="B59" s="585">
        <f>ROUND($C$50*C59*D59,0)</f>
        <v>7692</v>
      </c>
      <c r="C59" s="348">
        <f t="shared" ref="C59:C66" si="15">IF($C$57="北京市系数",I59,J59)</f>
        <v>0.6</v>
      </c>
      <c r="D59" s="1820">
        <v>0.25</v>
      </c>
      <c r="E59" s="586">
        <f>'数据-汇总表'!G22</f>
        <v>1039.3599999999999</v>
      </c>
      <c r="F59" s="583">
        <f t="shared" si="14"/>
        <v>799</v>
      </c>
      <c r="G59" s="3023" t="s">
        <v>1637</v>
      </c>
      <c r="H59" s="1604" t="str">
        <f>项目基本情况!B43</f>
        <v>五级</v>
      </c>
      <c r="I59" s="1296">
        <f>SUMIF(修正!$A$57:$A$68,H59,修正!B57:B68)</f>
        <v>0.6</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2.75">
      <c r="A60" s="584" t="s">
        <v>515</v>
      </c>
      <c r="B60" s="585">
        <f t="shared" ref="B60:B66" si="16">ROUND($C$50*C60*D60,0)</f>
        <v>3846</v>
      </c>
      <c r="C60" s="348">
        <f t="shared" si="15"/>
        <v>0.3</v>
      </c>
      <c r="D60" s="1820">
        <v>0.25</v>
      </c>
      <c r="E60" s="586">
        <v>0</v>
      </c>
      <c r="F60" s="583">
        <f t="shared" si="14"/>
        <v>0</v>
      </c>
      <c r="G60" s="3024"/>
      <c r="H60" s="1604" t="str">
        <f>项目基本情况!B43</f>
        <v>五级</v>
      </c>
      <c r="I60" s="1296">
        <f>SUMIF(修正!$A$57:$A$68,H60,修正!C57:C68)</f>
        <v>0.3</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2.75">
      <c r="A61" s="584" t="s">
        <v>516</v>
      </c>
      <c r="B61" s="585">
        <f t="shared" si="16"/>
        <v>3205</v>
      </c>
      <c r="C61" s="348">
        <f t="shared" si="15"/>
        <v>0.25</v>
      </c>
      <c r="D61" s="1820">
        <v>0.25</v>
      </c>
      <c r="E61" s="586">
        <v>0</v>
      </c>
      <c r="F61" s="583">
        <f t="shared" si="14"/>
        <v>0</v>
      </c>
      <c r="G61" s="3024"/>
      <c r="H61" s="1604" t="str">
        <f>项目基本情况!B43</f>
        <v>五级</v>
      </c>
      <c r="I61" s="1296">
        <f>SUMIF(修正!$A$57:$A$68,H61,修正!D57:D68)</f>
        <v>0.25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2.75">
      <c r="A62" s="1916" t="s">
        <v>1680</v>
      </c>
      <c r="B62" s="585">
        <f t="shared" si="16"/>
        <v>3205</v>
      </c>
      <c r="C62" s="348">
        <f t="shared" si="15"/>
        <v>0.25</v>
      </c>
      <c r="D62" s="1820">
        <v>0.25</v>
      </c>
      <c r="E62" s="588">
        <f>'数据-汇总表'!E11</f>
        <v>50</v>
      </c>
      <c r="F62" s="583">
        <f t="shared" si="14"/>
        <v>16</v>
      </c>
      <c r="G62" s="1601" t="s">
        <v>1638</v>
      </c>
      <c r="H62" s="1604" t="str">
        <f>项目基本情况!C43</f>
        <v>五级</v>
      </c>
      <c r="I62" s="1296">
        <f>SUMIF(修正!$A$57:$A$68,H62,修正!E57:E68)</f>
        <v>0.25</v>
      </c>
      <c r="J62" s="1297"/>
      <c r="K62" s="2721"/>
      <c r="L62" s="1757"/>
      <c r="M62" s="1757"/>
      <c r="N62" s="1757"/>
      <c r="O62" s="1757"/>
      <c r="P62" s="1757"/>
      <c r="Q62" s="1757"/>
      <c r="R62" s="1757"/>
      <c r="S62" s="1757"/>
      <c r="T62" s="1757"/>
      <c r="U62" s="1757"/>
      <c r="V62" s="1757"/>
      <c r="W62" s="1757"/>
      <c r="X62" s="1757"/>
      <c r="Y62" s="1757"/>
      <c r="Z62" s="1757"/>
      <c r="AA62" s="1757"/>
      <c r="AB62" s="1757"/>
      <c r="AC62" s="1757"/>
    </row>
    <row r="63" spans="1:29" s="1138" customFormat="1" ht="12.75">
      <c r="A63" s="584" t="s">
        <v>517</v>
      </c>
      <c r="B63" s="585">
        <f t="shared" si="16"/>
        <v>3205</v>
      </c>
      <c r="C63" s="348">
        <f t="shared" si="15"/>
        <v>0.25</v>
      </c>
      <c r="D63" s="1820">
        <v>0.25</v>
      </c>
      <c r="E63" s="588">
        <f>'数据-汇总表'!E12</f>
        <v>1406.86</v>
      </c>
      <c r="F63" s="583">
        <f t="shared" si="14"/>
        <v>451</v>
      </c>
      <c r="G63" s="1602" t="s">
        <v>851</v>
      </c>
      <c r="H63" s="1600" t="str">
        <f>IF(G63="商业",项目基本情况!B43,IF(G63="办公",项目基本情况!C43,IF(G63="住宅",项目基本情况!D43,项目基本情况!E43)))</f>
        <v>五级</v>
      </c>
      <c r="I63" s="1296">
        <f>SUMIF(修正!$A$57:$A$68,H63,修正!F57:F68)</f>
        <v>0.25</v>
      </c>
      <c r="J63" s="1297"/>
      <c r="K63" s="2721"/>
      <c r="L63" s="1757"/>
      <c r="M63" s="1757"/>
      <c r="N63" s="1757"/>
      <c r="O63" s="1757"/>
      <c r="P63" s="1757"/>
      <c r="Q63" s="1757"/>
      <c r="R63" s="1757"/>
      <c r="S63" s="1757"/>
      <c r="T63" s="1757"/>
      <c r="U63" s="1757"/>
      <c r="V63" s="1757"/>
      <c r="W63" s="1757"/>
      <c r="X63" s="1757"/>
      <c r="Y63" s="1757"/>
      <c r="Z63" s="1757"/>
      <c r="AA63" s="1757"/>
      <c r="AB63" s="1757"/>
      <c r="AC63" s="1757"/>
    </row>
    <row r="64" spans="1:29" s="1138" customFormat="1" ht="12.75">
      <c r="A64" s="584" t="s">
        <v>518</v>
      </c>
      <c r="B64" s="585">
        <f t="shared" si="16"/>
        <v>1923</v>
      </c>
      <c r="C64" s="348">
        <f t="shared" si="15"/>
        <v>0.15</v>
      </c>
      <c r="D64" s="1820">
        <v>0.25</v>
      </c>
      <c r="E64" s="588">
        <f>'数据-汇总表'!E13</f>
        <v>18058.14</v>
      </c>
      <c r="F64" s="583">
        <f t="shared" si="14"/>
        <v>3473</v>
      </c>
      <c r="G64" s="1602" t="s">
        <v>851</v>
      </c>
      <c r="H64" s="1600" t="str">
        <f>IF(G64="商业",项目基本情况!B43,IF(G64="办公",项目基本情况!C43,IF(G64="住宅",项目基本情况!D43,项目基本情况!E43)))</f>
        <v>五级</v>
      </c>
      <c r="I64" s="1296">
        <f>SUMIF(修正!$A$57:$A$68,H64,修正!G57:G68)</f>
        <v>0.15</v>
      </c>
      <c r="J64" s="1297"/>
      <c r="K64" s="2721"/>
      <c r="L64" s="1757"/>
      <c r="M64" s="1757"/>
      <c r="N64" s="1757"/>
      <c r="O64" s="1757"/>
      <c r="P64" s="1757"/>
      <c r="Q64" s="1757"/>
      <c r="R64" s="1757"/>
      <c r="S64" s="1757"/>
      <c r="T64" s="1757"/>
      <c r="U64" s="1757"/>
      <c r="V64" s="1757"/>
      <c r="W64" s="1757"/>
      <c r="X64" s="1757"/>
      <c r="Y64" s="1757"/>
      <c r="Z64" s="1757"/>
      <c r="AA64" s="1757"/>
      <c r="AB64" s="1757"/>
      <c r="AC64" s="1757"/>
    </row>
    <row r="65" spans="1:29" s="1138" customFormat="1" ht="12.75">
      <c r="A65" s="584" t="s">
        <v>519</v>
      </c>
      <c r="B65" s="585">
        <f t="shared" si="16"/>
        <v>1923</v>
      </c>
      <c r="C65" s="348">
        <f t="shared" si="15"/>
        <v>0.15</v>
      </c>
      <c r="D65" s="1820">
        <v>0.25</v>
      </c>
      <c r="E65" s="588">
        <f>'数据-汇总表'!E14</f>
        <v>0</v>
      </c>
      <c r="F65" s="583">
        <f t="shared" si="14"/>
        <v>0</v>
      </c>
      <c r="G65" s="1601" t="s">
        <v>1637</v>
      </c>
      <c r="H65" s="1604" t="str">
        <f>项目基本情况!B43</f>
        <v>五级</v>
      </c>
      <c r="I65" s="1296">
        <f>SUMIF(修正!$A$57:$A$68,H65,修正!G57:G68)</f>
        <v>0.15</v>
      </c>
      <c r="J65" s="1297"/>
      <c r="K65" s="2721"/>
      <c r="L65" s="1757"/>
      <c r="M65" s="1757"/>
      <c r="N65" s="1757"/>
      <c r="O65" s="1757"/>
      <c r="P65" s="1757"/>
      <c r="Q65" s="1757"/>
      <c r="R65" s="1757"/>
      <c r="S65" s="1757"/>
      <c r="T65" s="1757"/>
      <c r="U65" s="1757"/>
      <c r="V65" s="1757"/>
      <c r="W65" s="1757"/>
      <c r="X65" s="1757"/>
      <c r="Y65" s="1757"/>
      <c r="Z65" s="1757"/>
      <c r="AA65" s="1757"/>
      <c r="AB65" s="1757"/>
      <c r="AC65" s="1757"/>
    </row>
    <row r="66" spans="1:29" s="1138" customFormat="1" ht="13.5" thickBot="1">
      <c r="A66" s="584" t="s">
        <v>520</v>
      </c>
      <c r="B66" s="585">
        <f t="shared" si="16"/>
        <v>1923</v>
      </c>
      <c r="C66" s="348">
        <f t="shared" si="15"/>
        <v>0.15</v>
      </c>
      <c r="D66" s="1820">
        <v>0.25</v>
      </c>
      <c r="E66" s="588">
        <f>'数据-汇总表'!E15</f>
        <v>0</v>
      </c>
      <c r="F66" s="583">
        <f t="shared" si="14"/>
        <v>0</v>
      </c>
      <c r="G66" s="1603" t="s">
        <v>1638</v>
      </c>
      <c r="H66" s="1605" t="str">
        <f>项目基本情况!C43</f>
        <v>五级</v>
      </c>
      <c r="I66" s="1296">
        <f>SUMIF(修正!$A$57:$A$68,H66,修正!G57:G68)</f>
        <v>0.15</v>
      </c>
      <c r="J66" s="1297"/>
      <c r="K66" s="2721"/>
      <c r="L66" s="1757"/>
      <c r="M66" s="1757"/>
      <c r="N66" s="1757"/>
      <c r="O66" s="1757"/>
      <c r="P66" s="1757"/>
      <c r="Q66" s="1757"/>
      <c r="R66" s="1757"/>
      <c r="S66" s="1757"/>
      <c r="T66" s="1757"/>
      <c r="U66" s="1757"/>
      <c r="V66" s="1757"/>
      <c r="W66" s="1757"/>
      <c r="X66" s="1757"/>
      <c r="Y66" s="1757"/>
      <c r="Z66" s="1757"/>
      <c r="AA66" s="1757"/>
      <c r="AB66" s="1757"/>
      <c r="AC66" s="1757"/>
    </row>
    <row r="67" spans="1:29" s="1138" customFormat="1" ht="13.5" thickBot="1">
      <c r="A67" s="589" t="s">
        <v>521</v>
      </c>
      <c r="B67" s="590" t="s">
        <v>11</v>
      </c>
      <c r="C67" s="590" t="s">
        <v>12</v>
      </c>
      <c r="D67" s="590" t="s">
        <v>1648</v>
      </c>
      <c r="E67" s="590">
        <f>IF(B48="楼面地价",SUM(E58:E66),'数据-汇总表'!D3)</f>
        <v>112054.17</v>
      </c>
      <c r="F67" s="591">
        <f>IF(B48="楼面地价",SUM(F58:F66),ROUND(C50*E67/10000,0))</f>
        <v>473941</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2025-5-1</v>
      </c>
      <c r="D69" s="2108">
        <f>EDATE(C69,-3)</f>
        <v>45689</v>
      </c>
      <c r="E69" s="2108">
        <f t="shared" ref="E69:N69" si="17">EDATE(D69,-3)</f>
        <v>45597</v>
      </c>
      <c r="F69" s="2108">
        <f t="shared" si="17"/>
        <v>45505</v>
      </c>
      <c r="G69" s="2108">
        <f t="shared" si="17"/>
        <v>45413</v>
      </c>
      <c r="H69" s="2108">
        <f t="shared" si="17"/>
        <v>45323</v>
      </c>
      <c r="I69" s="2108">
        <f t="shared" si="17"/>
        <v>45231</v>
      </c>
      <c r="J69" s="2108">
        <f t="shared" si="17"/>
        <v>45139</v>
      </c>
      <c r="K69" s="2108">
        <f t="shared" si="17"/>
        <v>45047</v>
      </c>
      <c r="L69" s="2108">
        <f t="shared" si="17"/>
        <v>44958</v>
      </c>
      <c r="M69" s="2108">
        <f t="shared" si="17"/>
        <v>44866</v>
      </c>
      <c r="N69" s="2108">
        <f t="shared" si="17"/>
        <v>44774</v>
      </c>
      <c r="O69" s="1739"/>
      <c r="P69" s="1739"/>
      <c r="Q69" s="1739"/>
      <c r="R69" s="1739"/>
      <c r="S69" s="1739"/>
      <c r="T69" s="1739"/>
      <c r="U69" s="1739"/>
      <c r="V69" s="1739"/>
      <c r="W69" s="1739"/>
      <c r="X69" s="1739"/>
      <c r="Y69" s="1739"/>
      <c r="Z69" s="1739"/>
      <c r="AA69" s="1739"/>
      <c r="AB69" s="1739"/>
      <c r="AC69" s="1739"/>
    </row>
    <row r="70" spans="1:29" ht="21.75" thickBot="1">
      <c r="A70" s="1315" t="s">
        <v>522</v>
      </c>
      <c r="B70" s="799"/>
      <c r="C70" s="1314"/>
      <c r="D70" s="1314"/>
      <c r="E70" s="1314"/>
      <c r="F70" s="1316"/>
      <c r="G70" s="1316"/>
      <c r="H70" s="1314"/>
      <c r="I70" s="1314"/>
      <c r="J70" s="1314"/>
      <c r="K70" s="1317"/>
      <c r="L70" s="1313"/>
      <c r="M70" s="1314"/>
      <c r="N70" s="1314"/>
      <c r="O70" s="1759"/>
      <c r="P70" s="1759"/>
      <c r="Q70" s="1760"/>
      <c r="R70" s="1739"/>
      <c r="S70" s="1739"/>
      <c r="T70" s="1739"/>
      <c r="U70" s="1739"/>
      <c r="V70" s="1739"/>
      <c r="W70" s="1739"/>
      <c r="X70" s="1739"/>
      <c r="Y70" s="1739"/>
      <c r="Z70" s="1739"/>
      <c r="AA70" s="1739"/>
      <c r="AB70" s="1739"/>
      <c r="AC70" s="1739"/>
    </row>
    <row r="71" spans="1:29" s="1139" customFormat="1" ht="15">
      <c r="A71" s="2039" t="s">
        <v>1810</v>
      </c>
      <c r="B71" s="2040"/>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1"/>
      <c r="P71" s="1762"/>
      <c r="Q71" s="1762"/>
      <c r="R71" s="1762"/>
      <c r="S71" s="1762"/>
      <c r="T71" s="1762"/>
      <c r="U71" s="1762"/>
      <c r="V71" s="1762"/>
      <c r="W71" s="1762"/>
      <c r="X71" s="1762"/>
      <c r="Y71" s="1762"/>
      <c r="Z71" s="1762"/>
      <c r="AA71" s="1762"/>
      <c r="AB71" s="1762"/>
      <c r="AC71" s="1762"/>
    </row>
    <row r="72" spans="1:29" s="1058" customFormat="1" ht="27" customHeight="1">
      <c r="A72" s="2114" t="s">
        <v>1924</v>
      </c>
      <c r="B72" s="448" t="str">
        <f>"北京市平均增长率"&amp;TEXT(SUMIF(基准地价!N25:N29,A72,基准地价!P25:P29),"0.00%")</f>
        <v>北京市平均增长率0.00%</v>
      </c>
      <c r="C72" s="817">
        <v>100</v>
      </c>
      <c r="D72" s="3408">
        <v>100</v>
      </c>
      <c r="E72" s="3408">
        <v>100</v>
      </c>
      <c r="F72" s="3408">
        <v>100</v>
      </c>
      <c r="G72" s="3408">
        <v>100</v>
      </c>
      <c r="H72" s="3408">
        <v>100</v>
      </c>
      <c r="I72" s="3408">
        <v>100</v>
      </c>
      <c r="J72" s="3408">
        <v>100</v>
      </c>
      <c r="K72" s="3408">
        <v>100</v>
      </c>
      <c r="L72" s="3408">
        <v>100</v>
      </c>
      <c r="M72" s="3408">
        <v>100</v>
      </c>
      <c r="N72" s="3408">
        <v>100</v>
      </c>
      <c r="O72" s="1763"/>
      <c r="P72" s="1760"/>
      <c r="Q72" s="1637"/>
      <c r="R72" s="1637"/>
      <c r="S72" s="1637"/>
      <c r="T72" s="1637"/>
      <c r="U72" s="1637"/>
      <c r="V72" s="1637"/>
      <c r="W72" s="1637"/>
      <c r="X72" s="1637"/>
      <c r="Y72" s="1637"/>
      <c r="Z72" s="1637"/>
      <c r="AA72" s="1637"/>
      <c r="AB72" s="1637"/>
      <c r="AC72" s="1637"/>
    </row>
    <row r="73" spans="1:29" s="1058" customFormat="1" ht="15" customHeight="1" thickBot="1">
      <c r="A73" s="2106" t="s">
        <v>1923</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8" customFormat="1" ht="15">
      <c r="A74" s="603" t="s">
        <v>480</v>
      </c>
      <c r="B74" s="594"/>
      <c r="C74" s="604" t="s">
        <v>524</v>
      </c>
      <c r="D74" s="80"/>
      <c r="E74" s="80"/>
      <c r="F74" s="80"/>
      <c r="G74" s="80"/>
      <c r="H74" s="80"/>
      <c r="I74" s="80"/>
      <c r="J74" s="80"/>
      <c r="K74" s="80"/>
      <c r="L74" s="605"/>
      <c r="M74" s="606"/>
      <c r="N74" s="1763"/>
      <c r="O74" s="1763"/>
      <c r="P74" s="1644"/>
      <c r="Q74" s="1760"/>
      <c r="R74" s="1637"/>
      <c r="S74" s="1637"/>
      <c r="T74" s="1637"/>
      <c r="U74" s="1637"/>
      <c r="V74" s="1637"/>
      <c r="W74" s="1637"/>
      <c r="X74" s="1637"/>
      <c r="Y74" s="1637"/>
      <c r="Z74" s="1637"/>
      <c r="AA74" s="1637"/>
      <c r="AB74" s="1637"/>
      <c r="AC74" s="1637"/>
    </row>
    <row r="75" spans="1:29" s="1058" customFormat="1" ht="15.75" thickBot="1">
      <c r="A75" s="603"/>
      <c r="B75" s="594"/>
      <c r="C75" s="595">
        <v>100</v>
      </c>
      <c r="D75" s="596"/>
      <c r="E75" s="596"/>
      <c r="F75" s="596"/>
      <c r="G75" s="596"/>
      <c r="H75" s="596"/>
      <c r="I75" s="596"/>
      <c r="J75" s="596"/>
      <c r="K75" s="596"/>
      <c r="L75" s="596"/>
      <c r="M75" s="597"/>
      <c r="N75" s="1763"/>
      <c r="O75" s="1763"/>
      <c r="P75" s="1760"/>
      <c r="Q75" s="1760"/>
      <c r="R75" s="1637"/>
      <c r="S75" s="1637"/>
      <c r="T75" s="1637"/>
      <c r="U75" s="1637"/>
      <c r="V75" s="1637"/>
      <c r="W75" s="1637"/>
      <c r="X75" s="1637"/>
      <c r="Y75" s="1637"/>
      <c r="Z75" s="1637"/>
      <c r="AA75" s="1637"/>
      <c r="AB75" s="1637"/>
      <c r="AC75" s="1637"/>
    </row>
    <row r="76" spans="1:29">
      <c r="A76" s="607" t="s">
        <v>525</v>
      </c>
      <c r="B76" s="608" t="s">
        <v>483</v>
      </c>
      <c r="C76" s="3404" t="s">
        <v>3419</v>
      </c>
      <c r="D76" s="547"/>
      <c r="E76" s="547"/>
      <c r="F76" s="547"/>
      <c r="G76" s="547"/>
      <c r="H76" s="547"/>
      <c r="I76" s="547"/>
      <c r="J76" s="547"/>
      <c r="K76" s="609"/>
      <c r="L76" s="610"/>
      <c r="M76" s="611"/>
      <c r="N76" s="1764"/>
      <c r="O76" s="1764"/>
      <c r="P76" s="1763"/>
      <c r="Q76" s="1760"/>
      <c r="R76" s="1739"/>
      <c r="S76" s="1739"/>
      <c r="T76" s="1739"/>
      <c r="U76" s="1739"/>
      <c r="V76" s="1739"/>
      <c r="W76" s="1739"/>
      <c r="X76" s="1739"/>
      <c r="Y76" s="1739"/>
      <c r="Z76" s="1739"/>
      <c r="AA76" s="1739"/>
      <c r="AB76" s="1739"/>
      <c r="AC76" s="1739"/>
    </row>
    <row r="77" spans="1:29" ht="15.75" thickBot="1">
      <c r="A77" s="482"/>
      <c r="B77" s="612"/>
      <c r="C77" s="613">
        <v>100</v>
      </c>
      <c r="D77" s="613"/>
      <c r="E77" s="613"/>
      <c r="F77" s="613"/>
      <c r="G77" s="613"/>
      <c r="H77" s="613"/>
      <c r="I77" s="613"/>
      <c r="J77" s="613"/>
      <c r="K77" s="613"/>
      <c r="L77" s="613"/>
      <c r="M77" s="614"/>
      <c r="N77" s="1765"/>
      <c r="O77" s="1765"/>
      <c r="P77" s="1763"/>
      <c r="Q77" s="1760"/>
      <c r="R77" s="1739"/>
      <c r="S77" s="1739"/>
      <c r="T77" s="1739"/>
      <c r="U77" s="1739"/>
      <c r="V77" s="1739"/>
      <c r="W77" s="1739"/>
      <c r="X77" s="1739"/>
      <c r="Y77" s="1739"/>
      <c r="Z77" s="1739"/>
      <c r="AA77" s="1739"/>
      <c r="AB77" s="1739"/>
      <c r="AC77" s="1739"/>
    </row>
    <row r="78" spans="1:29" ht="27.75" thickTop="1">
      <c r="A78" s="482"/>
      <c r="B78" s="615" t="s">
        <v>486</v>
      </c>
      <c r="C78" s="616"/>
      <c r="D78" s="616"/>
      <c r="E78" s="616"/>
      <c r="F78" s="616"/>
      <c r="G78" s="616"/>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5.75" thickBot="1">
      <c r="A79" s="482"/>
      <c r="B79" s="620"/>
      <c r="C79" s="621"/>
      <c r="D79" s="621"/>
      <c r="E79" s="621"/>
      <c r="F79" s="621"/>
      <c r="G79" s="621"/>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5"/>
      <c r="O80" s="1765"/>
      <c r="P80" s="1763"/>
      <c r="Q80" s="1760"/>
      <c r="R80" s="1739"/>
      <c r="S80" s="1739"/>
      <c r="T80" s="1739"/>
      <c r="U80" s="1739"/>
      <c r="V80" s="1739"/>
      <c r="W80" s="1739"/>
      <c r="X80" s="1739"/>
      <c r="Y80" s="1739"/>
      <c r="Z80" s="1739"/>
      <c r="AA80" s="1739"/>
      <c r="AB80" s="1739"/>
      <c r="AC80" s="1739"/>
    </row>
    <row r="81" spans="1:29" ht="15">
      <c r="A81" s="482"/>
      <c r="B81" s="625"/>
      <c r="C81" s="491">
        <v>0</v>
      </c>
      <c r="D81" s="491">
        <v>1</v>
      </c>
      <c r="E81" s="491">
        <v>2</v>
      </c>
      <c r="F81" s="491">
        <v>3</v>
      </c>
      <c r="G81" s="491">
        <v>4</v>
      </c>
      <c r="H81" s="491">
        <v>5</v>
      </c>
      <c r="I81" s="491"/>
      <c r="J81" s="491"/>
      <c r="K81" s="626"/>
      <c r="L81" s="627"/>
      <c r="M81" s="628"/>
      <c r="N81" s="1764"/>
      <c r="O81" s="1764"/>
      <c r="P81" s="1763"/>
      <c r="Q81" s="1760"/>
      <c r="R81" s="1739"/>
      <c r="S81" s="1739"/>
      <c r="T81" s="1739"/>
      <c r="U81" s="1739"/>
      <c r="V81" s="1739"/>
      <c r="W81" s="1739"/>
      <c r="X81" s="1739"/>
      <c r="Y81" s="1739"/>
      <c r="Z81" s="1739"/>
      <c r="AA81" s="1739"/>
      <c r="AB81" s="1739"/>
      <c r="AC81" s="1739"/>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5"/>
      <c r="O82" s="1765"/>
      <c r="P82" s="1763"/>
      <c r="Q82" s="1760"/>
      <c r="R82" s="1739"/>
      <c r="S82" s="1739"/>
      <c r="T82" s="1739"/>
      <c r="U82" s="1739"/>
      <c r="V82" s="1739"/>
      <c r="W82" s="1739"/>
      <c r="X82" s="1739"/>
      <c r="Y82" s="1739"/>
      <c r="Z82" s="1739"/>
      <c r="AA82" s="1739"/>
      <c r="AB82" s="1739"/>
      <c r="AC82" s="1739"/>
    </row>
    <row r="83" spans="1:29" s="1132" customFormat="1" ht="15.75" thickTop="1">
      <c r="A83" s="629"/>
      <c r="B83" s="615" t="str">
        <f>B14</f>
        <v>配建</v>
      </c>
      <c r="C83" s="630"/>
      <c r="D83" s="1165"/>
      <c r="E83" s="1166"/>
      <c r="F83" s="630"/>
      <c r="G83" s="630"/>
      <c r="H83" s="631"/>
      <c r="I83" s="631"/>
      <c r="J83" s="631"/>
      <c r="K83" s="631"/>
      <c r="L83" s="632"/>
      <c r="M83" s="633"/>
      <c r="N83" s="1766"/>
      <c r="O83" s="1766"/>
      <c r="P83" s="1766"/>
      <c r="Q83" s="1767"/>
      <c r="R83" s="1768"/>
      <c r="S83" s="1768"/>
      <c r="T83" s="1768"/>
      <c r="U83" s="1768"/>
      <c r="V83" s="1768"/>
      <c r="W83" s="1768"/>
      <c r="X83" s="1768"/>
      <c r="Y83" s="1768"/>
      <c r="Z83" s="1768"/>
      <c r="AA83" s="1768"/>
      <c r="AB83" s="1768"/>
      <c r="AC83" s="1768"/>
    </row>
    <row r="84" spans="1:29" s="1132" customFormat="1" ht="15.75" thickBot="1">
      <c r="A84" s="629"/>
      <c r="B84" s="620"/>
      <c r="C84" s="634"/>
      <c r="D84" s="613"/>
      <c r="E84" s="613"/>
      <c r="F84" s="613"/>
      <c r="G84" s="613"/>
      <c r="H84" s="613"/>
      <c r="I84" s="613"/>
      <c r="J84" s="613"/>
      <c r="K84" s="613"/>
      <c r="L84" s="613"/>
      <c r="M84" s="614"/>
      <c r="N84" s="1765"/>
      <c r="O84" s="1765"/>
      <c r="P84" s="1766"/>
      <c r="Q84" s="1767"/>
      <c r="R84" s="1768"/>
      <c r="S84" s="1768"/>
      <c r="T84" s="1768"/>
      <c r="U84" s="1768"/>
      <c r="V84" s="1768"/>
      <c r="W84" s="1768"/>
      <c r="X84" s="1768"/>
      <c r="Y84" s="1768"/>
      <c r="Z84" s="1768"/>
      <c r="AA84" s="1768"/>
      <c r="AB84" s="1768"/>
      <c r="AC84" s="1768"/>
    </row>
    <row r="85" spans="1:29" s="1132" customFormat="1" ht="15.75" thickTop="1">
      <c r="A85" s="629"/>
      <c r="B85" s="615" t="str">
        <f>B15</f>
        <v>溢价率</v>
      </c>
      <c r="C85" s="3491">
        <v>0.1</v>
      </c>
      <c r="D85" s="3491">
        <v>0.15</v>
      </c>
      <c r="E85" s="630"/>
      <c r="F85" s="630"/>
      <c r="G85" s="630"/>
      <c r="H85" s="631"/>
      <c r="I85" s="631"/>
      <c r="J85" s="631"/>
      <c r="K85" s="631"/>
      <c r="L85" s="632"/>
      <c r="M85" s="633"/>
      <c r="N85" s="1766"/>
      <c r="O85" s="1766"/>
      <c r="P85" s="1768"/>
      <c r="Q85" s="1769"/>
      <c r="R85" s="1768"/>
      <c r="S85" s="1768"/>
      <c r="T85" s="1768"/>
      <c r="U85" s="1768"/>
      <c r="V85" s="1768"/>
      <c r="W85" s="1768"/>
      <c r="X85" s="1768"/>
      <c r="Y85" s="1768"/>
      <c r="Z85" s="1768"/>
      <c r="AA85" s="1768"/>
      <c r="AB85" s="1768"/>
      <c r="AC85" s="1768"/>
    </row>
    <row r="86" spans="1:29" s="1132" customFormat="1" ht="15.75" thickBot="1">
      <c r="A86" s="629"/>
      <c r="B86" s="620"/>
      <c r="C86" s="634">
        <v>100</v>
      </c>
      <c r="D86" s="634">
        <v>105</v>
      </c>
      <c r="E86" s="634"/>
      <c r="F86" s="634"/>
      <c r="G86" s="634"/>
      <c r="H86" s="635"/>
      <c r="I86" s="635"/>
      <c r="J86" s="635"/>
      <c r="K86" s="635"/>
      <c r="L86" s="635"/>
      <c r="M86" s="636"/>
      <c r="N86" s="1766"/>
      <c r="O86" s="1766"/>
      <c r="P86" s="1766"/>
      <c r="Q86" s="1767"/>
      <c r="R86" s="1768"/>
      <c r="S86" s="1768"/>
      <c r="T86" s="1768"/>
      <c r="U86" s="1768"/>
      <c r="V86" s="1768"/>
      <c r="W86" s="1768"/>
      <c r="X86" s="1768"/>
      <c r="Y86" s="1768"/>
      <c r="Z86" s="1768"/>
      <c r="AA86" s="1768"/>
      <c r="AB86" s="1768"/>
      <c r="AC86" s="1768"/>
    </row>
    <row r="87" spans="1:29" s="1132" customFormat="1" ht="15.75" thickTop="1">
      <c r="A87" s="629"/>
      <c r="B87" s="623">
        <f>B16</f>
        <v>111</v>
      </c>
      <c r="C87" s="80"/>
      <c r="D87" s="80"/>
      <c r="E87" s="80"/>
      <c r="F87" s="80"/>
      <c r="G87" s="80"/>
      <c r="H87" s="637"/>
      <c r="I87" s="637"/>
      <c r="J87" s="637"/>
      <c r="K87" s="637"/>
      <c r="L87" s="638"/>
      <c r="M87" s="639"/>
      <c r="N87" s="1766"/>
      <c r="O87" s="1766"/>
      <c r="P87" s="1770"/>
      <c r="Q87" s="1767"/>
      <c r="R87" s="1768"/>
      <c r="S87" s="1768"/>
      <c r="T87" s="1768"/>
      <c r="U87" s="1768"/>
      <c r="V87" s="1768"/>
      <c r="W87" s="1768"/>
      <c r="X87" s="1768"/>
      <c r="Y87" s="1768"/>
      <c r="Z87" s="1768"/>
      <c r="AA87" s="1768"/>
      <c r="AB87" s="1768"/>
      <c r="AC87" s="1768"/>
    </row>
    <row r="88" spans="1:29" s="1132" customFormat="1" ht="15.75" thickBot="1">
      <c r="A88" s="640"/>
      <c r="B88" s="641"/>
      <c r="C88" s="642"/>
      <c r="D88" s="642"/>
      <c r="E88" s="642"/>
      <c r="F88" s="642"/>
      <c r="G88" s="642"/>
      <c r="H88" s="643"/>
      <c r="I88" s="643"/>
      <c r="J88" s="643"/>
      <c r="K88" s="643"/>
      <c r="L88" s="643"/>
      <c r="M88" s="644"/>
      <c r="N88" s="1766"/>
      <c r="O88" s="1766"/>
      <c r="P88" s="1766"/>
      <c r="Q88" s="1767"/>
      <c r="R88" s="1768"/>
      <c r="S88" s="1768"/>
      <c r="T88" s="1768"/>
      <c r="U88" s="1768"/>
      <c r="V88" s="1768"/>
      <c r="W88" s="1768"/>
      <c r="X88" s="1768"/>
      <c r="Y88" s="1768"/>
      <c r="Z88" s="1768"/>
      <c r="AA88" s="1768"/>
      <c r="AB88" s="1768"/>
      <c r="AC88" s="1768"/>
    </row>
    <row r="89" spans="1:29">
      <c r="A89" s="607" t="s">
        <v>488</v>
      </c>
      <c r="B89" s="608" t="s">
        <v>526</v>
      </c>
      <c r="C89" s="143" t="s">
        <v>527</v>
      </c>
      <c r="D89" s="143" t="s">
        <v>528</v>
      </c>
      <c r="E89" s="143" t="s">
        <v>529</v>
      </c>
      <c r="F89" s="143" t="s">
        <v>530</v>
      </c>
      <c r="G89" s="143" t="s">
        <v>531</v>
      </c>
      <c r="H89" s="645"/>
      <c r="I89" s="645"/>
      <c r="J89" s="645"/>
      <c r="K89" s="646"/>
      <c r="L89" s="647"/>
      <c r="M89" s="648"/>
      <c r="N89" s="1764"/>
      <c r="O89" s="1764"/>
      <c r="P89" s="1771"/>
      <c r="Q89" s="1760"/>
      <c r="R89" s="1739"/>
      <c r="S89" s="1739"/>
      <c r="T89" s="1739"/>
      <c r="U89" s="1739"/>
      <c r="V89" s="1739"/>
      <c r="W89" s="1739"/>
      <c r="X89" s="1739"/>
      <c r="Y89" s="1739"/>
      <c r="Z89" s="1739"/>
      <c r="AA89" s="1739"/>
      <c r="AB89" s="1739"/>
      <c r="AC89" s="1739"/>
    </row>
    <row r="90" spans="1:29" ht="15.75" thickBot="1">
      <c r="A90" s="482"/>
      <c r="B90" s="620"/>
      <c r="C90" s="621">
        <v>100</v>
      </c>
      <c r="D90" s="621">
        <f>C90-$K17</f>
        <v>98</v>
      </c>
      <c r="E90" s="621">
        <f>D90-$K17</f>
        <v>96</v>
      </c>
      <c r="F90" s="621">
        <f>E90-$K17</f>
        <v>94</v>
      </c>
      <c r="G90" s="621">
        <f>F90-$K17</f>
        <v>92</v>
      </c>
      <c r="H90" s="621"/>
      <c r="I90" s="621"/>
      <c r="J90" s="621"/>
      <c r="K90" s="621"/>
      <c r="L90" s="621"/>
      <c r="M90" s="622"/>
      <c r="N90" s="1765"/>
      <c r="O90" s="1765"/>
      <c r="P90" s="1763"/>
      <c r="Q90" s="1760"/>
      <c r="R90" s="1739"/>
      <c r="S90" s="1739"/>
      <c r="T90" s="1739"/>
      <c r="U90" s="1739"/>
      <c r="V90" s="1739"/>
      <c r="W90" s="1739"/>
      <c r="X90" s="1739"/>
      <c r="Y90" s="1739"/>
      <c r="Z90" s="1739"/>
      <c r="AA90" s="1739"/>
      <c r="AB90" s="1739"/>
      <c r="AC90" s="1739"/>
    </row>
    <row r="91" spans="1:29" ht="15.75" thickTop="1">
      <c r="A91" s="482"/>
      <c r="B91" s="615" t="s">
        <v>532</v>
      </c>
      <c r="C91" s="649" t="s">
        <v>527</v>
      </c>
      <c r="D91" s="649" t="s">
        <v>528</v>
      </c>
      <c r="E91" s="649" t="s">
        <v>529</v>
      </c>
      <c r="F91" s="649" t="s">
        <v>530</v>
      </c>
      <c r="G91" s="649" t="s">
        <v>531</v>
      </c>
      <c r="H91" s="616"/>
      <c r="I91" s="616"/>
      <c r="J91" s="616"/>
      <c r="K91" s="617"/>
      <c r="L91" s="618"/>
      <c r="M91" s="619"/>
      <c r="N91" s="1764"/>
      <c r="O91" s="1764"/>
      <c r="P91" s="1763"/>
      <c r="Q91" s="1760"/>
      <c r="R91" s="1739"/>
      <c r="S91" s="1739"/>
      <c r="T91" s="1739"/>
      <c r="U91" s="1739"/>
      <c r="V91" s="1739"/>
      <c r="W91" s="1739"/>
      <c r="X91" s="1739"/>
      <c r="Y91" s="1739"/>
      <c r="Z91" s="1739"/>
      <c r="AA91" s="1739"/>
      <c r="AB91" s="1739"/>
      <c r="AC91" s="1739"/>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5"/>
      <c r="O92" s="1765"/>
      <c r="P92" s="1763"/>
      <c r="Q92" s="1760"/>
      <c r="R92" s="1739"/>
      <c r="S92" s="1739"/>
      <c r="T92" s="1739"/>
      <c r="U92" s="1739"/>
      <c r="V92" s="1739"/>
      <c r="W92" s="1739"/>
      <c r="X92" s="1739"/>
      <c r="Y92" s="1739"/>
      <c r="Z92" s="1739"/>
      <c r="AA92" s="1739"/>
      <c r="AB92" s="1739"/>
      <c r="AC92" s="1739"/>
    </row>
    <row r="93" spans="1:29" ht="15.75" thickTop="1">
      <c r="A93" s="482"/>
      <c r="B93" s="615" t="s">
        <v>533</v>
      </c>
      <c r="C93" s="649" t="s">
        <v>527</v>
      </c>
      <c r="D93" s="649" t="s">
        <v>528</v>
      </c>
      <c r="E93" s="649" t="s">
        <v>529</v>
      </c>
      <c r="F93" s="649" t="s">
        <v>530</v>
      </c>
      <c r="G93" s="649" t="s">
        <v>531</v>
      </c>
      <c r="H93" s="616"/>
      <c r="I93" s="616"/>
      <c r="J93" s="616"/>
      <c r="K93" s="617"/>
      <c r="L93" s="618"/>
      <c r="M93" s="619"/>
      <c r="N93" s="1764"/>
      <c r="O93" s="1764"/>
      <c r="P93" s="1763"/>
      <c r="Q93" s="1760"/>
      <c r="R93" s="1739"/>
      <c r="S93" s="1739"/>
      <c r="T93" s="1739"/>
      <c r="U93" s="1739"/>
      <c r="V93" s="1739"/>
      <c r="W93" s="1739"/>
      <c r="X93" s="1739"/>
      <c r="Y93" s="1739"/>
      <c r="Z93" s="1739"/>
      <c r="AA93" s="1739"/>
      <c r="AB93" s="1739"/>
      <c r="AC93" s="1739"/>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5"/>
      <c r="O94" s="1765"/>
      <c r="P94" s="1763"/>
      <c r="Q94" s="1760"/>
      <c r="R94" s="1739"/>
      <c r="S94" s="1739"/>
      <c r="T94" s="1739"/>
      <c r="U94" s="1739"/>
      <c r="V94" s="1739"/>
      <c r="W94" s="1739"/>
      <c r="X94" s="1739"/>
      <c r="Y94" s="1739"/>
      <c r="Z94" s="1739"/>
      <c r="AA94" s="1739"/>
      <c r="AB94" s="1739"/>
      <c r="AC94" s="1739"/>
    </row>
    <row r="95" spans="1:29" ht="15.75" thickTop="1">
      <c r="A95" s="482"/>
      <c r="B95" s="615" t="s">
        <v>534</v>
      </c>
      <c r="C95" s="649" t="s">
        <v>527</v>
      </c>
      <c r="D95" s="649" t="s">
        <v>528</v>
      </c>
      <c r="E95" s="649" t="s">
        <v>529</v>
      </c>
      <c r="F95" s="649" t="s">
        <v>530</v>
      </c>
      <c r="G95" s="649" t="s">
        <v>531</v>
      </c>
      <c r="H95" s="616"/>
      <c r="I95" s="616"/>
      <c r="J95" s="616"/>
      <c r="K95" s="617"/>
      <c r="L95" s="618"/>
      <c r="M95" s="619"/>
      <c r="N95" s="1764"/>
      <c r="O95" s="1764"/>
      <c r="P95" s="1763"/>
      <c r="Q95" s="1760"/>
      <c r="R95" s="1739"/>
      <c r="S95" s="1739"/>
      <c r="T95" s="1739"/>
      <c r="U95" s="1739"/>
      <c r="V95" s="1739"/>
      <c r="W95" s="1739"/>
      <c r="X95" s="1739"/>
      <c r="Y95" s="1739"/>
      <c r="Z95" s="1739"/>
      <c r="AA95" s="1739"/>
      <c r="AB95" s="1739"/>
      <c r="AC95" s="1739"/>
    </row>
    <row r="96" spans="1:29" ht="15.75" thickBot="1">
      <c r="A96" s="482"/>
      <c r="B96" s="620"/>
      <c r="C96" s="621">
        <v>100</v>
      </c>
      <c r="D96" s="621">
        <f>C96-$K23</f>
        <v>98</v>
      </c>
      <c r="E96" s="621">
        <f>D96-$K23</f>
        <v>96</v>
      </c>
      <c r="F96" s="621">
        <f>E96-$K23</f>
        <v>94</v>
      </c>
      <c r="G96" s="621">
        <f>F96-$K23</f>
        <v>92</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3"/>
      <c r="O97" s="1763"/>
      <c r="P97" s="1763"/>
      <c r="Q97" s="1760"/>
      <c r="R97" s="1637"/>
      <c r="S97" s="1637"/>
      <c r="T97" s="1637"/>
      <c r="U97" s="1637"/>
      <c r="V97" s="1637"/>
      <c r="W97" s="1637"/>
      <c r="X97" s="1637"/>
      <c r="Y97" s="1637"/>
      <c r="Z97" s="1637"/>
      <c r="AA97" s="1637"/>
      <c r="AB97" s="1637"/>
      <c r="AC97" s="1637"/>
    </row>
    <row r="98" spans="1:29" s="1058" customFormat="1" ht="15.75" thickBot="1">
      <c r="A98" s="486"/>
      <c r="B98" s="620"/>
      <c r="C98" s="652">
        <v>100</v>
      </c>
      <c r="D98" s="621">
        <f>C98-$K25</f>
        <v>98</v>
      </c>
      <c r="E98" s="621">
        <f>D98-$K25</f>
        <v>96</v>
      </c>
      <c r="F98" s="621">
        <f>E98-$K25</f>
        <v>94</v>
      </c>
      <c r="G98" s="621">
        <f>F98-$K25</f>
        <v>92</v>
      </c>
      <c r="H98" s="621"/>
      <c r="I98" s="621"/>
      <c r="J98" s="621"/>
      <c r="K98" s="621"/>
      <c r="L98" s="621"/>
      <c r="M98" s="622"/>
      <c r="N98" s="1765"/>
      <c r="O98" s="1765"/>
      <c r="P98" s="1763"/>
      <c r="Q98" s="1760"/>
      <c r="R98" s="1637"/>
      <c r="S98" s="1637"/>
      <c r="T98" s="1637"/>
      <c r="U98" s="1637"/>
      <c r="V98" s="1637"/>
      <c r="W98" s="1637"/>
      <c r="X98" s="1637"/>
      <c r="Y98" s="1637"/>
      <c r="Z98" s="1637"/>
      <c r="AA98" s="1637"/>
      <c r="AB98" s="1637"/>
      <c r="AC98" s="1637"/>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3"/>
      <c r="O99" s="1763"/>
      <c r="P99" s="1763"/>
      <c r="Q99" s="1760"/>
      <c r="R99" s="1637"/>
      <c r="S99" s="1637"/>
      <c r="T99" s="1637"/>
      <c r="U99" s="1637"/>
      <c r="V99" s="1637"/>
      <c r="W99" s="1637"/>
      <c r="X99" s="1637"/>
      <c r="Y99" s="1637"/>
      <c r="Z99" s="1637"/>
      <c r="AA99" s="1637"/>
      <c r="AB99" s="1637"/>
      <c r="AC99" s="1637"/>
    </row>
    <row r="100" spans="1:29" s="1058"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5"/>
      <c r="O100" s="1765"/>
      <c r="P100" s="1763"/>
      <c r="Q100" s="1760"/>
      <c r="R100" s="1637"/>
      <c r="S100" s="1637"/>
      <c r="T100" s="1637"/>
      <c r="U100" s="1637"/>
      <c r="V100" s="1637"/>
      <c r="W100" s="1637"/>
      <c r="X100" s="1637"/>
      <c r="Y100" s="1637"/>
      <c r="Z100" s="1637"/>
      <c r="AA100" s="1637"/>
      <c r="AB100" s="1637"/>
      <c r="AC100" s="1637"/>
    </row>
    <row r="101" spans="1:29" s="1132" customFormat="1" ht="15.75" thickTop="1">
      <c r="A101" s="629"/>
      <c r="B101" s="1552" t="s">
        <v>1826</v>
      </c>
      <c r="C101" s="143" t="s">
        <v>527</v>
      </c>
      <c r="D101" s="143" t="s">
        <v>528</v>
      </c>
      <c r="E101" s="143" t="s">
        <v>529</v>
      </c>
      <c r="F101" s="143" t="s">
        <v>530</v>
      </c>
      <c r="G101" s="143" t="s">
        <v>531</v>
      </c>
      <c r="H101" s="653"/>
      <c r="I101" s="653"/>
      <c r="J101" s="653"/>
      <c r="K101" s="653"/>
      <c r="L101" s="654"/>
      <c r="M101" s="655"/>
      <c r="N101" s="1766"/>
      <c r="O101" s="1766"/>
      <c r="P101" s="1766"/>
      <c r="Q101" s="1767"/>
      <c r="R101" s="1768"/>
      <c r="S101" s="1768"/>
      <c r="T101" s="1768"/>
      <c r="U101" s="1768"/>
      <c r="V101" s="1768"/>
      <c r="W101" s="1768"/>
      <c r="X101" s="1768"/>
      <c r="Y101" s="1768"/>
      <c r="Z101" s="1768"/>
      <c r="AA101" s="1768"/>
      <c r="AB101" s="1768"/>
      <c r="AC101" s="1768"/>
    </row>
    <row r="102" spans="1:29" s="1132"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6"/>
      <c r="O102" s="1766"/>
      <c r="P102" s="1766"/>
      <c r="Q102" s="1767"/>
      <c r="R102" s="1768"/>
      <c r="S102" s="1768"/>
      <c r="T102" s="1768"/>
      <c r="U102" s="1768"/>
      <c r="V102" s="1768"/>
      <c r="W102" s="1768"/>
      <c r="X102" s="1768"/>
      <c r="Y102" s="1768"/>
      <c r="Z102" s="1768"/>
      <c r="AA102" s="1768"/>
      <c r="AB102" s="1768"/>
      <c r="AC102" s="1768"/>
    </row>
    <row r="103" spans="1:29" s="1132" customFormat="1" ht="15.75" thickTop="1">
      <c r="A103" s="629"/>
      <c r="B103" s="2053" t="s">
        <v>1828</v>
      </c>
      <c r="C103" s="2054" t="s">
        <v>1829</v>
      </c>
      <c r="D103" s="2054" t="s">
        <v>1830</v>
      </c>
      <c r="E103" s="2054" t="s">
        <v>1831</v>
      </c>
      <c r="F103" s="2054" t="s">
        <v>1832</v>
      </c>
      <c r="G103" s="2054" t="s">
        <v>1833</v>
      </c>
      <c r="H103" s="653"/>
      <c r="I103" s="653"/>
      <c r="J103" s="653"/>
      <c r="K103" s="653"/>
      <c r="L103" s="653"/>
      <c r="M103" s="655"/>
      <c r="N103" s="1766"/>
      <c r="O103" s="1766"/>
      <c r="P103" s="1766"/>
      <c r="Q103" s="1767"/>
      <c r="R103" s="1768"/>
      <c r="S103" s="1768"/>
      <c r="T103" s="1768"/>
      <c r="U103" s="1768"/>
      <c r="V103" s="1768"/>
      <c r="W103" s="1768"/>
      <c r="X103" s="1768"/>
      <c r="Y103" s="1768"/>
      <c r="Z103" s="1768"/>
      <c r="AA103" s="1768"/>
      <c r="AB103" s="1768"/>
      <c r="AC103" s="1768"/>
    </row>
    <row r="104" spans="1:29" s="1132" customFormat="1" ht="15.75" thickBot="1">
      <c r="A104" s="629"/>
      <c r="B104" s="623"/>
      <c r="C104" s="621">
        <v>100</v>
      </c>
      <c r="D104" s="621">
        <f>C104-$K31</f>
        <v>99</v>
      </c>
      <c r="E104" s="621">
        <f>D104-$K31</f>
        <v>98</v>
      </c>
      <c r="F104" s="621">
        <f>E104-$K31</f>
        <v>97</v>
      </c>
      <c r="G104" s="621">
        <f>F104-$K31</f>
        <v>96</v>
      </c>
      <c r="H104" s="625"/>
      <c r="I104" s="625"/>
      <c r="J104" s="625"/>
      <c r="K104" s="625"/>
      <c r="L104" s="625"/>
      <c r="M104" s="2046"/>
      <c r="N104" s="1766"/>
      <c r="O104" s="1766"/>
      <c r="P104" s="1766"/>
      <c r="Q104" s="1767"/>
      <c r="R104" s="1768"/>
      <c r="S104" s="1768"/>
      <c r="T104" s="1768"/>
      <c r="U104" s="1768"/>
      <c r="V104" s="1768"/>
      <c r="W104" s="1768"/>
      <c r="X104" s="1768"/>
      <c r="Y104" s="1768"/>
      <c r="Z104" s="1768"/>
      <c r="AA104" s="1768"/>
      <c r="AB104" s="1768"/>
      <c r="AC104" s="1768"/>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4"/>
      <c r="O105" s="1764"/>
      <c r="P105" s="1763"/>
      <c r="Q105" s="1760"/>
      <c r="R105" s="1739"/>
      <c r="S105" s="1739"/>
      <c r="T105" s="1739"/>
      <c r="U105" s="1739"/>
      <c r="V105" s="1739"/>
      <c r="W105" s="1739"/>
      <c r="X105" s="1739"/>
      <c r="Y105" s="1739"/>
      <c r="Z105" s="1739"/>
      <c r="AA105" s="1739"/>
      <c r="AB105" s="1739"/>
      <c r="AC105" s="1739"/>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5"/>
      <c r="O106" s="1765"/>
      <c r="P106" s="1763"/>
      <c r="Q106" s="1760"/>
      <c r="R106" s="1739"/>
      <c r="S106" s="1739"/>
      <c r="T106" s="1739"/>
      <c r="U106" s="1739"/>
      <c r="V106" s="1739"/>
      <c r="W106" s="1739"/>
      <c r="X106" s="1739"/>
      <c r="Y106" s="1739"/>
      <c r="Z106" s="1739"/>
      <c r="AA106" s="1739"/>
      <c r="AB106" s="1739"/>
      <c r="AC106" s="1739"/>
    </row>
    <row r="107" spans="1:29" ht="27.75" thickTop="1">
      <c r="A107" s="482"/>
      <c r="B107" s="615" t="s">
        <v>497</v>
      </c>
      <c r="C107" s="3405" t="s">
        <v>3420</v>
      </c>
      <c r="D107" s="3405" t="s">
        <v>3421</v>
      </c>
      <c r="E107" s="3405" t="s">
        <v>3422</v>
      </c>
      <c r="F107" s="3405" t="s">
        <v>3423</v>
      </c>
      <c r="G107" s="3405" t="s">
        <v>3424</v>
      </c>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5"/>
      <c r="O108" s="1765"/>
      <c r="P108" s="1763"/>
      <c r="Q108" s="1760"/>
      <c r="R108" s="1739"/>
      <c r="S108" s="1739"/>
      <c r="T108" s="1739"/>
      <c r="U108" s="1739"/>
      <c r="V108" s="1739"/>
      <c r="W108" s="1739"/>
      <c r="X108" s="1739"/>
      <c r="Y108" s="1739"/>
      <c r="Z108" s="1739"/>
      <c r="AA108" s="1739"/>
      <c r="AB108" s="1739"/>
      <c r="AC108" s="1739"/>
    </row>
    <row r="109" spans="1:29" ht="15.75" thickTop="1">
      <c r="A109" s="482"/>
      <c r="B109" s="615" t="s">
        <v>498</v>
      </c>
      <c r="C109" s="658"/>
      <c r="D109" s="658"/>
      <c r="E109" s="658"/>
      <c r="F109" s="658"/>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5"/>
      <c r="O110" s="1765"/>
      <c r="P110" s="1763"/>
      <c r="Q110" s="1760"/>
      <c r="R110" s="1739"/>
      <c r="S110" s="1739"/>
      <c r="T110" s="1739"/>
      <c r="U110" s="1739"/>
      <c r="V110" s="1739"/>
      <c r="W110" s="1739"/>
      <c r="X110" s="1739"/>
      <c r="Y110" s="1739"/>
      <c r="Z110" s="1739"/>
      <c r="AA110" s="1739"/>
      <c r="AB110" s="1739"/>
      <c r="AC110" s="1739"/>
    </row>
    <row r="111" spans="1:29" ht="15.75" thickTop="1">
      <c r="A111" s="482"/>
      <c r="B111" s="623">
        <f>B37</f>
        <v>111</v>
      </c>
      <c r="C111" s="630"/>
      <c r="D111" s="630"/>
      <c r="E111" s="630"/>
      <c r="F111" s="630"/>
      <c r="G111" s="662"/>
      <c r="H111" s="662"/>
      <c r="I111" s="662"/>
      <c r="J111" s="662"/>
      <c r="K111" s="663"/>
      <c r="L111" s="664"/>
      <c r="M111" s="665"/>
      <c r="N111" s="1764"/>
      <c r="O111" s="1764"/>
      <c r="P111" s="1763"/>
      <c r="Q111" s="1760"/>
      <c r="R111" s="1739"/>
      <c r="S111" s="1739"/>
      <c r="T111" s="1739"/>
      <c r="U111" s="1739"/>
      <c r="V111" s="1739"/>
      <c r="W111" s="1739"/>
      <c r="X111" s="1739"/>
      <c r="Y111" s="1739"/>
      <c r="Z111" s="1739"/>
      <c r="AA111" s="1739"/>
      <c r="AB111" s="1739"/>
      <c r="AC111" s="1739"/>
    </row>
    <row r="112" spans="1:29" ht="15.75" thickBot="1">
      <c r="A112" s="482"/>
      <c r="B112" s="641"/>
      <c r="C112" s="634"/>
      <c r="D112" s="634"/>
      <c r="E112" s="634"/>
      <c r="F112" s="634"/>
      <c r="G112" s="666"/>
      <c r="H112" s="666"/>
      <c r="I112" s="666"/>
      <c r="J112" s="666"/>
      <c r="K112" s="666"/>
      <c r="L112" s="666"/>
      <c r="M112" s="667"/>
      <c r="N112" s="1765"/>
      <c r="O112" s="1765"/>
      <c r="P112" s="1763"/>
      <c r="Q112" s="1760"/>
      <c r="R112" s="1739"/>
      <c r="S112" s="1739"/>
      <c r="T112" s="1739"/>
      <c r="U112" s="1739"/>
      <c r="V112" s="1739"/>
      <c r="W112" s="1739"/>
      <c r="X112" s="1739"/>
      <c r="Y112" s="1739"/>
      <c r="Z112" s="1739"/>
      <c r="AA112" s="1739"/>
      <c r="AB112" s="1739"/>
      <c r="AC112" s="1739"/>
    </row>
    <row r="113" spans="1:29" ht="15" thickTop="1">
      <c r="A113" s="536"/>
      <c r="B113" s="615">
        <f>B38</f>
        <v>111</v>
      </c>
      <c r="C113" s="80"/>
      <c r="D113" s="80"/>
      <c r="E113" s="80"/>
      <c r="F113" s="80"/>
      <c r="G113" s="658"/>
      <c r="H113" s="658"/>
      <c r="I113" s="658"/>
      <c r="J113" s="658"/>
      <c r="K113" s="659"/>
      <c r="L113" s="660"/>
      <c r="M113" s="661"/>
      <c r="N113" s="1764"/>
      <c r="O113" s="1764"/>
      <c r="P113" s="1763"/>
      <c r="Q113" s="1760"/>
      <c r="R113" s="1739"/>
      <c r="S113" s="1739"/>
      <c r="T113" s="1739"/>
      <c r="U113" s="1739"/>
      <c r="V113" s="1739"/>
      <c r="W113" s="1739"/>
      <c r="X113" s="1739"/>
      <c r="Y113" s="1739"/>
      <c r="Z113" s="1739"/>
      <c r="AA113" s="1739"/>
      <c r="AB113" s="1739"/>
      <c r="AC113" s="1739"/>
    </row>
    <row r="114" spans="1:29" ht="15.75" thickBot="1">
      <c r="A114" s="482"/>
      <c r="B114" s="620"/>
      <c r="C114" s="642"/>
      <c r="D114" s="642"/>
      <c r="E114" s="642"/>
      <c r="F114" s="642"/>
      <c r="G114" s="613"/>
      <c r="H114" s="613"/>
      <c r="I114" s="613"/>
      <c r="J114" s="613"/>
      <c r="K114" s="613"/>
      <c r="L114" s="613"/>
      <c r="M114" s="614"/>
      <c r="N114" s="1765"/>
      <c r="O114" s="1765"/>
      <c r="P114" s="1763"/>
      <c r="Q114" s="1760"/>
      <c r="R114" s="1739"/>
      <c r="S114" s="1739"/>
      <c r="T114" s="1739"/>
      <c r="U114" s="1739"/>
      <c r="V114" s="1739"/>
      <c r="W114" s="1739"/>
      <c r="X114" s="1739"/>
      <c r="Y114" s="1739"/>
      <c r="Z114" s="1739"/>
      <c r="AA114" s="1739"/>
      <c r="AB114" s="1739"/>
      <c r="AC114" s="1739"/>
    </row>
    <row r="115" spans="1:29" s="1132" customFormat="1" ht="15" thickTop="1">
      <c r="A115" s="552"/>
      <c r="B115" s="668">
        <f>B39</f>
        <v>111</v>
      </c>
      <c r="C115" s="79"/>
      <c r="D115" s="79"/>
      <c r="E115" s="79"/>
      <c r="F115" s="79"/>
      <c r="G115" s="79"/>
      <c r="H115" s="79"/>
      <c r="I115" s="79"/>
      <c r="J115" s="669"/>
      <c r="K115" s="669"/>
      <c r="L115" s="670"/>
      <c r="M115" s="671"/>
      <c r="N115" s="1766"/>
      <c r="O115" s="1766"/>
      <c r="P115" s="1766"/>
      <c r="Q115" s="1767"/>
      <c r="R115" s="1768"/>
      <c r="S115" s="1768"/>
      <c r="T115" s="1768"/>
      <c r="U115" s="1768"/>
      <c r="V115" s="1768"/>
      <c r="W115" s="1768"/>
      <c r="X115" s="1768"/>
      <c r="Y115" s="1768"/>
      <c r="Z115" s="1768"/>
      <c r="AA115" s="1768"/>
      <c r="AB115" s="1768"/>
      <c r="AC115" s="1768"/>
    </row>
    <row r="116" spans="1:29" s="1132" customFormat="1" ht="15.75" thickBot="1">
      <c r="A116" s="629"/>
      <c r="B116" s="623"/>
      <c r="C116" s="596"/>
      <c r="D116" s="541"/>
      <c r="E116" s="541"/>
      <c r="F116" s="541"/>
      <c r="G116" s="541"/>
      <c r="H116" s="541"/>
      <c r="I116" s="541"/>
      <c r="J116" s="541"/>
      <c r="K116" s="541"/>
      <c r="L116" s="541"/>
      <c r="M116" s="672"/>
      <c r="N116" s="1765"/>
      <c r="O116" s="1765"/>
      <c r="P116" s="1766"/>
      <c r="Q116" s="1767"/>
      <c r="R116" s="1768"/>
      <c r="S116" s="1768"/>
      <c r="T116" s="1768"/>
      <c r="U116" s="1768"/>
      <c r="V116" s="1768"/>
      <c r="W116" s="1768"/>
      <c r="X116" s="1768"/>
      <c r="Y116" s="1768"/>
      <c r="Z116" s="1768"/>
      <c r="AA116" s="1768"/>
      <c r="AB116" s="1768"/>
      <c r="AC116" s="1768"/>
    </row>
    <row r="117" spans="1:29" ht="28.5">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5" t="str">
        <f t="shared" si="24"/>
        <v>(含)-</v>
      </c>
      <c r="K117" s="2345" t="str">
        <f t="shared" si="24"/>
        <v>(含)-</v>
      </c>
      <c r="L117" s="2346"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ht="15">
      <c r="A118" s="482"/>
      <c r="B118" s="623"/>
      <c r="C118" s="79">
        <v>0</v>
      </c>
      <c r="D118" s="79">
        <v>20000</v>
      </c>
      <c r="E118" s="79">
        <v>40000</v>
      </c>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5.75" thickBot="1">
      <c r="A119" s="482"/>
      <c r="B119" s="620"/>
      <c r="C119" s="642">
        <v>100</v>
      </c>
      <c r="D119" s="666">
        <f t="shared" ref="D119:E119" si="25">C119+1</f>
        <v>101</v>
      </c>
      <c r="E119" s="666">
        <f t="shared" si="25"/>
        <v>102</v>
      </c>
      <c r="F119" s="666"/>
      <c r="G119" s="666"/>
      <c r="H119" s="666"/>
      <c r="I119" s="666"/>
      <c r="J119" s="666"/>
      <c r="K119" s="666"/>
      <c r="L119" s="666"/>
      <c r="M119" s="667"/>
      <c r="N119" s="1765"/>
      <c r="O119" s="1765"/>
      <c r="P119" s="1763"/>
      <c r="Q119" s="1760"/>
      <c r="R119" s="1739"/>
      <c r="S119" s="1739"/>
      <c r="T119" s="1739"/>
      <c r="U119" s="1739"/>
      <c r="V119" s="1739"/>
      <c r="W119" s="1739"/>
      <c r="X119" s="1739"/>
      <c r="Y119" s="1739"/>
      <c r="Z119" s="1739"/>
      <c r="AA119" s="1739"/>
      <c r="AB119" s="1739"/>
      <c r="AC119" s="1739"/>
    </row>
    <row r="120" spans="1:29" ht="15" thickTop="1">
      <c r="A120" s="543"/>
      <c r="B120" s="615" t="s">
        <v>542</v>
      </c>
      <c r="C120" s="3406" t="s">
        <v>3425</v>
      </c>
      <c r="D120" s="3406" t="s">
        <v>3427</v>
      </c>
      <c r="E120" s="3406" t="s">
        <v>3430</v>
      </c>
      <c r="F120" s="3406" t="s">
        <v>3431</v>
      </c>
      <c r="G120" s="658"/>
      <c r="H120" s="658"/>
      <c r="I120" s="658"/>
      <c r="J120" s="658"/>
      <c r="K120" s="659"/>
      <c r="L120" s="660"/>
      <c r="M120" s="661"/>
      <c r="N120" s="1764"/>
      <c r="O120" s="1764"/>
      <c r="P120" s="1763"/>
      <c r="Q120" s="1760"/>
      <c r="R120" s="1739"/>
      <c r="S120" s="1739"/>
      <c r="T120" s="1739"/>
      <c r="U120" s="1739"/>
      <c r="V120" s="1739"/>
      <c r="W120" s="1739"/>
      <c r="X120" s="1739"/>
      <c r="Y120" s="1739"/>
      <c r="Z120" s="1739"/>
      <c r="AA120" s="1739"/>
      <c r="AB120" s="1739"/>
      <c r="AC120" s="1739"/>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3"/>
      <c r="B122" s="615" t="s">
        <v>543</v>
      </c>
      <c r="C122" s="3405" t="s">
        <v>3432</v>
      </c>
      <c r="D122" s="3405" t="s">
        <v>3434</v>
      </c>
      <c r="E122" s="3406" t="s">
        <v>3435</v>
      </c>
      <c r="F122" s="3406" t="s">
        <v>3436</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5.75"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5"/>
      <c r="O123" s="1765"/>
      <c r="P123" s="1763"/>
      <c r="Q123" s="1760"/>
      <c r="R123" s="1739"/>
      <c r="S123" s="1739"/>
      <c r="T123" s="1739"/>
      <c r="U123" s="1739"/>
      <c r="V123" s="1739"/>
      <c r="W123" s="1739"/>
      <c r="X123" s="1739"/>
      <c r="Y123" s="1739"/>
      <c r="Z123" s="1739"/>
      <c r="AA123" s="1739"/>
      <c r="AB123" s="1739"/>
      <c r="AC123" s="1739"/>
    </row>
    <row r="124" spans="1:29" s="1132" customFormat="1" ht="15" thickTop="1">
      <c r="A124" s="552"/>
      <c r="B124" s="1552" t="s">
        <v>1772</v>
      </c>
      <c r="C124" s="1165" t="str">
        <f>C103</f>
        <v>七通</v>
      </c>
      <c r="D124" s="1165" t="str">
        <f>D103</f>
        <v>六通</v>
      </c>
      <c r="E124" s="1165" t="str">
        <f>E103</f>
        <v>五通</v>
      </c>
      <c r="F124" s="1165" t="str">
        <f>F103</f>
        <v>四通</v>
      </c>
      <c r="G124" s="1165" t="str">
        <f>G103</f>
        <v>三通</v>
      </c>
      <c r="H124" s="658"/>
      <c r="I124" s="658"/>
      <c r="J124" s="658"/>
      <c r="K124" s="659"/>
      <c r="L124" s="660"/>
      <c r="M124" s="661"/>
      <c r="N124" s="1766"/>
      <c r="O124" s="1766"/>
      <c r="P124" s="1766"/>
      <c r="Q124" s="1767"/>
      <c r="R124" s="1768"/>
      <c r="S124" s="1768"/>
      <c r="T124" s="1768"/>
      <c r="U124" s="1768"/>
      <c r="V124" s="1768"/>
      <c r="W124" s="1768"/>
      <c r="X124" s="1768"/>
      <c r="Y124" s="1768"/>
      <c r="Z124" s="1768"/>
      <c r="AA124" s="1768"/>
      <c r="AB124" s="1768"/>
      <c r="AC124" s="1768"/>
    </row>
    <row r="125" spans="1:29" s="1132"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4"/>
      <c r="O126" s="1764"/>
      <c r="P126" s="1763"/>
      <c r="Q126" s="1760"/>
      <c r="R126" s="1739"/>
      <c r="S126" s="1739"/>
      <c r="T126" s="1739"/>
      <c r="U126" s="1739"/>
      <c r="V126" s="1739"/>
      <c r="W126" s="1739"/>
      <c r="X126" s="1739"/>
      <c r="Y126" s="1739"/>
      <c r="Z126" s="1739"/>
      <c r="AA126" s="1739"/>
      <c r="AB126" s="1739"/>
      <c r="AC126" s="1739"/>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5"/>
      <c r="O127" s="1765"/>
      <c r="P127" s="1763"/>
      <c r="Q127" s="1760"/>
      <c r="R127" s="1739"/>
      <c r="S127" s="1739"/>
      <c r="T127" s="1739"/>
      <c r="U127" s="1739"/>
      <c r="V127" s="1739"/>
      <c r="W127" s="1739"/>
      <c r="X127" s="1739"/>
      <c r="Y127" s="1739"/>
      <c r="Z127" s="1739"/>
      <c r="AA127" s="1739"/>
      <c r="AB127" s="1739"/>
      <c r="AC127" s="1739"/>
    </row>
    <row r="128" spans="1:29" ht="15" thickTop="1">
      <c r="A128" s="543"/>
      <c r="B128" s="615">
        <f>B45</f>
        <v>111</v>
      </c>
      <c r="C128" s="630"/>
      <c r="D128" s="630"/>
      <c r="E128" s="630"/>
      <c r="F128" s="630"/>
      <c r="G128" s="630"/>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5.75"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5" thickTop="1">
      <c r="A130" s="543"/>
      <c r="B130" s="615">
        <f>B46</f>
        <v>111</v>
      </c>
      <c r="C130" s="80"/>
      <c r="D130" s="80"/>
      <c r="E130" s="80"/>
      <c r="F130" s="80"/>
      <c r="G130" s="658"/>
      <c r="H130" s="658"/>
      <c r="I130" s="658"/>
      <c r="J130" s="658"/>
      <c r="K130" s="659"/>
      <c r="L130" s="660"/>
      <c r="M130" s="661"/>
      <c r="N130" s="1764"/>
      <c r="O130" s="1764"/>
      <c r="P130" s="1763"/>
      <c r="Q130" s="1760"/>
      <c r="R130" s="1739"/>
      <c r="S130" s="1739"/>
      <c r="T130" s="1739"/>
      <c r="U130" s="1739"/>
      <c r="V130" s="1739"/>
      <c r="W130" s="1739"/>
      <c r="X130" s="1739"/>
      <c r="Y130" s="1739"/>
      <c r="Z130" s="1739"/>
      <c r="AA130" s="1739"/>
      <c r="AB130" s="1739"/>
      <c r="AC130" s="1739"/>
    </row>
    <row r="131" spans="1:29" ht="15.75" thickBot="1">
      <c r="A131" s="482"/>
      <c r="B131" s="620"/>
      <c r="C131" s="642"/>
      <c r="D131" s="642"/>
      <c r="E131" s="642"/>
      <c r="F131" s="642"/>
      <c r="G131" s="613"/>
      <c r="H131" s="613"/>
      <c r="I131" s="613"/>
      <c r="J131" s="613"/>
      <c r="K131" s="613"/>
      <c r="L131" s="613"/>
      <c r="M131" s="614"/>
      <c r="N131" s="1765"/>
      <c r="O131" s="1765"/>
      <c r="P131" s="1763"/>
      <c r="Q131" s="1760"/>
      <c r="R131" s="1739"/>
      <c r="S131" s="1739"/>
      <c r="T131" s="1739"/>
      <c r="U131" s="1739"/>
      <c r="V131" s="1739"/>
      <c r="W131" s="1739"/>
      <c r="X131" s="1739"/>
      <c r="Y131" s="1739"/>
      <c r="Z131" s="1739"/>
      <c r="AA131" s="1739"/>
      <c r="AB131" s="1739"/>
      <c r="AC131" s="1739"/>
    </row>
    <row r="132" spans="1:29" s="1132" customFormat="1" ht="15" thickTop="1">
      <c r="A132" s="552"/>
      <c r="B132" s="615">
        <f>B47</f>
        <v>111</v>
      </c>
      <c r="C132" s="80"/>
      <c r="D132" s="80"/>
      <c r="E132" s="80"/>
      <c r="F132" s="80"/>
      <c r="G132" s="631"/>
      <c r="H132" s="631"/>
      <c r="I132" s="631"/>
      <c r="J132" s="631"/>
      <c r="K132" s="631"/>
      <c r="L132" s="632"/>
      <c r="M132" s="633"/>
      <c r="N132" s="1766"/>
      <c r="O132" s="1766"/>
      <c r="P132" s="1766"/>
      <c r="Q132" s="1767"/>
      <c r="R132" s="1768"/>
      <c r="S132" s="1768"/>
      <c r="T132" s="1768"/>
      <c r="U132" s="1768"/>
      <c r="V132" s="1768"/>
      <c r="W132" s="1768"/>
      <c r="X132" s="1768"/>
      <c r="Y132" s="1768"/>
      <c r="Z132" s="1768"/>
      <c r="AA132" s="1768"/>
      <c r="AB132" s="1768"/>
      <c r="AC132" s="1768"/>
    </row>
    <row r="133" spans="1:29" s="1132" customFormat="1" ht="15.75" thickBot="1">
      <c r="A133" s="640"/>
      <c r="B133" s="673"/>
      <c r="C133" s="642"/>
      <c r="D133" s="642"/>
      <c r="E133" s="642"/>
      <c r="F133" s="642"/>
      <c r="G133" s="666"/>
      <c r="H133" s="666"/>
      <c r="I133" s="666"/>
      <c r="J133" s="666"/>
      <c r="K133" s="666"/>
      <c r="L133" s="666"/>
      <c r="M133" s="667"/>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06" t="str">
        <f>项目基本情况!B1</f>
        <v>北京市朝阳区三间房D区棚户区改造出让国有建设用地使用权抵押价格预评估</v>
      </c>
      <c r="C37" s="3506"/>
      <c r="D37" s="3506"/>
      <c r="E37" s="3506"/>
      <c r="F37" s="3506"/>
      <c r="G37" s="3506"/>
      <c r="H37" s="3506"/>
      <c r="I37" s="3506"/>
    </row>
    <row r="38" spans="1:9">
      <c r="A38" s="1373"/>
      <c r="B38" s="1373"/>
    </row>
    <row r="39" spans="1:9">
      <c r="A39" s="1371" t="s">
        <v>1425</v>
      </c>
      <c r="B39" s="1371" t="s">
        <v>1561</v>
      </c>
    </row>
    <row r="40" spans="1:9">
      <c r="A40" s="1371"/>
      <c r="B40" s="1371" t="str">
        <f>项目基本情况!B5</f>
        <v>光大东高地</v>
      </c>
    </row>
    <row r="41" spans="1:9">
      <c r="A41" s="1371"/>
      <c r="B41" s="1371"/>
    </row>
    <row r="42" spans="1:9">
      <c r="A42" s="1371" t="s">
        <v>1425</v>
      </c>
      <c r="B42" s="1371" t="s">
        <v>1562</v>
      </c>
    </row>
    <row r="43" spans="1:9">
      <c r="A43" s="1371"/>
      <c r="B43" s="1371" t="s">
        <v>1427</v>
      </c>
    </row>
    <row r="44" spans="1:9">
      <c r="A44" s="1371"/>
      <c r="B44" s="1371"/>
    </row>
    <row r="45" spans="1:9">
      <c r="A45" s="1371" t="s">
        <v>1425</v>
      </c>
      <c r="B45" s="1371" t="s">
        <v>1560</v>
      </c>
    </row>
    <row r="46" spans="1:9" s="1371" customFormat="1" ht="12.75">
      <c r="B46" s="1371" t="str">
        <f>项目基本情况!K4</f>
        <v>赵雯、郑燚</v>
      </c>
    </row>
    <row r="47" spans="1:9">
      <c r="A47" s="1371"/>
      <c r="B47" s="1371"/>
    </row>
    <row r="48" spans="1:9">
      <c r="A48" s="1371" t="s">
        <v>1425</v>
      </c>
      <c r="B48" s="1371" t="s">
        <v>1563</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workbookViewId="0">
      <selection activeCell="G36" sqref="G36"/>
    </sheetView>
  </sheetViews>
  <sheetFormatPr defaultColWidth="8.875" defaultRowHeight="13.5"/>
  <cols>
    <col min="1" max="1" width="22.25" style="2232" customWidth="1"/>
    <col min="2" max="2" width="22.25" style="2232" hidden="1" customWidth="1"/>
    <col min="3" max="28" width="22.25" style="2232" customWidth="1"/>
    <col min="29" max="16384" width="8.875" style="2232"/>
  </cols>
  <sheetData>
    <row r="1" spans="1:27">
      <c r="A1" s="2232" t="s">
        <v>3344</v>
      </c>
      <c r="B1" s="2232" t="s">
        <v>3517</v>
      </c>
      <c r="C1" s="2232" t="s">
        <v>3345</v>
      </c>
      <c r="D1" s="2232" t="s">
        <v>3346</v>
      </c>
      <c r="E1" s="2232" t="s">
        <v>3347</v>
      </c>
      <c r="F1" s="2232" t="s">
        <v>3348</v>
      </c>
      <c r="G1" s="2232" t="s">
        <v>3349</v>
      </c>
      <c r="H1" s="2232" t="s">
        <v>1547</v>
      </c>
      <c r="I1" s="2232" t="s">
        <v>3350</v>
      </c>
      <c r="J1" s="2232" t="s">
        <v>3518</v>
      </c>
      <c r="K1" s="2232" t="s">
        <v>3351</v>
      </c>
      <c r="L1" s="2232" t="s">
        <v>3352</v>
      </c>
      <c r="M1" s="2232" t="s">
        <v>3353</v>
      </c>
      <c r="N1" s="2232" t="s">
        <v>3354</v>
      </c>
      <c r="O1" s="2232" t="s">
        <v>3355</v>
      </c>
      <c r="P1" s="2232" t="s">
        <v>3356</v>
      </c>
      <c r="Q1" s="2232" t="s">
        <v>3519</v>
      </c>
      <c r="R1" s="2232" t="s">
        <v>3357</v>
      </c>
      <c r="S1" s="2232" t="s">
        <v>3358</v>
      </c>
      <c r="T1" s="2232" t="s">
        <v>3520</v>
      </c>
      <c r="U1" s="2232" t="s">
        <v>3359</v>
      </c>
      <c r="V1" s="2232" t="s">
        <v>3521</v>
      </c>
      <c r="W1" s="2232" t="s">
        <v>3522</v>
      </c>
      <c r="X1" s="2232" t="s">
        <v>3523</v>
      </c>
      <c r="Y1" s="2232" t="s">
        <v>3524</v>
      </c>
      <c r="Z1" s="2232" t="s">
        <v>3525</v>
      </c>
      <c r="AA1" s="2232" t="s">
        <v>3526</v>
      </c>
    </row>
    <row r="2" spans="1:27">
      <c r="A2" s="2232" t="s">
        <v>3527</v>
      </c>
      <c r="B2" s="2232" t="s">
        <v>1465</v>
      </c>
      <c r="C2" s="2232" t="s">
        <v>3528</v>
      </c>
      <c r="D2" s="2232">
        <v>148302.26</v>
      </c>
      <c r="E2" s="2232">
        <v>282735.7</v>
      </c>
      <c r="F2" s="2232" t="s">
        <v>3529</v>
      </c>
      <c r="G2" s="2232" t="s">
        <v>3530</v>
      </c>
      <c r="H2" s="2232" t="s">
        <v>3531</v>
      </c>
      <c r="I2" s="2232" t="s">
        <v>3362</v>
      </c>
      <c r="J2" s="2232" t="s">
        <v>3363</v>
      </c>
      <c r="K2" s="2232" t="s">
        <v>3363</v>
      </c>
      <c r="L2" s="2232" t="s">
        <v>3532</v>
      </c>
      <c r="M2" s="2232" t="s">
        <v>3364</v>
      </c>
      <c r="N2" s="2232" t="s">
        <v>3533</v>
      </c>
      <c r="O2" s="2232">
        <v>252000</v>
      </c>
      <c r="P2" s="2232">
        <v>1260000</v>
      </c>
      <c r="Q2" s="2232">
        <v>84961.62</v>
      </c>
      <c r="R2" s="2232">
        <v>5664.11</v>
      </c>
      <c r="S2" s="2232">
        <v>44565</v>
      </c>
      <c r="T2" s="2232" t="s">
        <v>3363</v>
      </c>
      <c r="U2" s="2232">
        <v>0</v>
      </c>
      <c r="V2" s="2232" t="s">
        <v>3363</v>
      </c>
      <c r="W2" s="2232" t="s">
        <v>3363</v>
      </c>
      <c r="X2" s="2232" t="s">
        <v>3363</v>
      </c>
      <c r="Y2" s="2232" t="s">
        <v>3363</v>
      </c>
      <c r="Z2" s="2232" t="s">
        <v>3363</v>
      </c>
      <c r="AA2" s="2232" t="s">
        <v>3534</v>
      </c>
    </row>
    <row r="3" spans="1:27" s="3474" customFormat="1">
      <c r="A3" s="3474" t="s">
        <v>3535</v>
      </c>
      <c r="B3" s="3474" t="s">
        <v>1465</v>
      </c>
      <c r="C3" s="3474" t="s">
        <v>3536</v>
      </c>
      <c r="D3" s="3474">
        <v>68996.22</v>
      </c>
      <c r="E3" s="3474">
        <v>172935.57</v>
      </c>
      <c r="F3" s="3474" t="s">
        <v>3529</v>
      </c>
      <c r="G3" s="3474" t="s">
        <v>3537</v>
      </c>
      <c r="H3" s="3474" t="s">
        <v>3538</v>
      </c>
      <c r="I3" s="3474" t="s">
        <v>3362</v>
      </c>
      <c r="J3" s="3474" t="s">
        <v>3363</v>
      </c>
      <c r="K3" s="3474" t="s">
        <v>3363</v>
      </c>
      <c r="L3" s="3474" t="s">
        <v>3539</v>
      </c>
      <c r="M3" s="3474" t="s">
        <v>3364</v>
      </c>
      <c r="N3" s="3474" t="s">
        <v>3540</v>
      </c>
      <c r="O3" s="3474">
        <v>158000</v>
      </c>
      <c r="P3" s="3474">
        <v>872950</v>
      </c>
      <c r="Q3" s="3474">
        <v>126521.42</v>
      </c>
      <c r="R3" s="3474">
        <v>8434.76</v>
      </c>
      <c r="S3" s="3474">
        <v>50478</v>
      </c>
      <c r="T3" s="3474" t="s">
        <v>3363</v>
      </c>
      <c r="U3" s="3474">
        <v>10.5</v>
      </c>
      <c r="V3" s="3474" t="s">
        <v>3363</v>
      </c>
      <c r="W3" s="3474" t="s">
        <v>3363</v>
      </c>
      <c r="X3" s="3474" t="s">
        <v>3363</v>
      </c>
      <c r="Y3" s="3474" t="s">
        <v>3363</v>
      </c>
      <c r="Z3" s="3474" t="s">
        <v>3363</v>
      </c>
      <c r="AA3" s="3474" t="s">
        <v>3541</v>
      </c>
    </row>
    <row r="4" spans="1:27">
      <c r="A4" s="2232" t="s">
        <v>3542</v>
      </c>
      <c r="B4" s="2232" t="s">
        <v>1465</v>
      </c>
      <c r="C4" s="2232" t="s">
        <v>3543</v>
      </c>
      <c r="D4" s="2232">
        <v>146982.88</v>
      </c>
      <c r="E4" s="2232">
        <v>394008.7</v>
      </c>
      <c r="F4" s="2232" t="s">
        <v>3529</v>
      </c>
      <c r="G4" s="2232" t="s">
        <v>3544</v>
      </c>
      <c r="H4" s="2232" t="s">
        <v>3545</v>
      </c>
      <c r="I4" s="2232" t="s">
        <v>3362</v>
      </c>
      <c r="J4" s="2232" t="s">
        <v>3363</v>
      </c>
      <c r="K4" s="2232" t="s">
        <v>3363</v>
      </c>
      <c r="L4" s="2232" t="s">
        <v>3546</v>
      </c>
      <c r="M4" s="2232" t="s">
        <v>3364</v>
      </c>
      <c r="N4" s="2232" t="s">
        <v>3414</v>
      </c>
      <c r="O4" s="2232">
        <v>306000</v>
      </c>
      <c r="P4" s="2232">
        <v>1533200</v>
      </c>
      <c r="Q4" s="2232">
        <v>104311.47</v>
      </c>
      <c r="R4" s="2232">
        <v>6954.1</v>
      </c>
      <c r="S4" s="2232">
        <v>38913</v>
      </c>
      <c r="T4" s="2232" t="s">
        <v>3363</v>
      </c>
      <c r="U4" s="2232">
        <v>0.21</v>
      </c>
      <c r="V4" s="2232">
        <v>1759500</v>
      </c>
      <c r="W4" s="2232" t="s">
        <v>3547</v>
      </c>
      <c r="X4" s="2232" t="s">
        <v>3363</v>
      </c>
      <c r="Y4" s="2232" t="s">
        <v>3363</v>
      </c>
      <c r="Z4" s="2232">
        <v>44656</v>
      </c>
      <c r="AA4" s="2232" t="s">
        <v>3548</v>
      </c>
    </row>
    <row r="5" spans="1:27">
      <c r="A5" s="2232" t="s">
        <v>3549</v>
      </c>
      <c r="B5" s="2232" t="s">
        <v>1465</v>
      </c>
      <c r="C5" s="2232" t="s">
        <v>3550</v>
      </c>
      <c r="D5" s="2232">
        <v>47661.919999999998</v>
      </c>
      <c r="E5" s="2232">
        <v>125853.39</v>
      </c>
      <c r="F5" s="2232" t="s">
        <v>3529</v>
      </c>
      <c r="G5" s="2232" t="s">
        <v>3537</v>
      </c>
      <c r="H5" s="2232" t="s">
        <v>3551</v>
      </c>
      <c r="I5" s="2232" t="s">
        <v>3362</v>
      </c>
      <c r="J5" s="2232" t="s">
        <v>3363</v>
      </c>
      <c r="K5" s="2232" t="s">
        <v>3363</v>
      </c>
      <c r="L5" s="2232" t="s">
        <v>3552</v>
      </c>
      <c r="M5" s="2232" t="s">
        <v>3364</v>
      </c>
      <c r="N5" s="2232" t="s">
        <v>3389</v>
      </c>
      <c r="O5" s="2232">
        <v>128000</v>
      </c>
      <c r="P5" s="2232">
        <v>638000</v>
      </c>
      <c r="Q5" s="2232">
        <v>133859.48000000001</v>
      </c>
      <c r="R5" s="2232">
        <v>8923.9699999999993</v>
      </c>
      <c r="S5" s="2232">
        <v>50694</v>
      </c>
      <c r="T5" s="2232" t="s">
        <v>3363</v>
      </c>
      <c r="U5" s="2232">
        <v>0</v>
      </c>
      <c r="V5" s="2232">
        <v>733700</v>
      </c>
      <c r="W5" s="2232" t="s">
        <v>3547</v>
      </c>
      <c r="X5" s="2232">
        <v>81000</v>
      </c>
      <c r="Y5" s="2232">
        <v>81000</v>
      </c>
      <c r="Z5" s="2232">
        <v>58298</v>
      </c>
      <c r="AA5" s="2232" t="s">
        <v>3534</v>
      </c>
    </row>
    <row r="6" spans="1:27">
      <c r="A6" s="2232" t="s">
        <v>3553</v>
      </c>
      <c r="B6" s="2232" t="s">
        <v>1465</v>
      </c>
      <c r="C6" s="2232" t="s">
        <v>3554</v>
      </c>
      <c r="D6" s="2232">
        <v>156998.51</v>
      </c>
      <c r="E6" s="2232">
        <v>282977.15000000002</v>
      </c>
      <c r="F6" s="2232" t="s">
        <v>3529</v>
      </c>
      <c r="G6" s="2232" t="s">
        <v>3555</v>
      </c>
      <c r="H6" s="2232" t="s">
        <v>3556</v>
      </c>
      <c r="I6" s="2232" t="s">
        <v>3362</v>
      </c>
      <c r="J6" s="2232" t="s">
        <v>3363</v>
      </c>
      <c r="K6" s="2232" t="s">
        <v>3368</v>
      </c>
      <c r="L6" s="2232" t="s">
        <v>3557</v>
      </c>
      <c r="M6" s="2232" t="s">
        <v>3364</v>
      </c>
      <c r="N6" s="2232" t="s">
        <v>3558</v>
      </c>
      <c r="O6" s="2232">
        <v>224000</v>
      </c>
      <c r="P6" s="2232">
        <v>1120000</v>
      </c>
      <c r="Q6" s="2232">
        <v>71338.259999999995</v>
      </c>
      <c r="R6" s="2232">
        <v>4755.88</v>
      </c>
      <c r="S6" s="2232">
        <v>39579</v>
      </c>
      <c r="T6" s="2232" t="s">
        <v>3363</v>
      </c>
      <c r="U6" s="2232">
        <v>0</v>
      </c>
      <c r="V6" s="2232">
        <v>1288000</v>
      </c>
      <c r="W6" s="2232" t="s">
        <v>3547</v>
      </c>
      <c r="X6" s="2232">
        <v>125000</v>
      </c>
      <c r="Y6" s="2232">
        <v>125000</v>
      </c>
      <c r="Z6" s="2232">
        <v>45516</v>
      </c>
      <c r="AA6" s="2232" t="s">
        <v>3548</v>
      </c>
    </row>
    <row r="7" spans="1:27" s="3475" customFormat="1">
      <c r="A7" s="3475" t="s">
        <v>3369</v>
      </c>
      <c r="B7" s="3475" t="s">
        <v>1465</v>
      </c>
      <c r="C7" s="3475" t="s">
        <v>3370</v>
      </c>
      <c r="D7" s="3475">
        <v>19800</v>
      </c>
      <c r="E7" s="3475">
        <v>55440</v>
      </c>
      <c r="F7" s="3475" t="s">
        <v>3360</v>
      </c>
      <c r="G7" s="3475" t="s">
        <v>3367</v>
      </c>
      <c r="H7" s="3475" t="s">
        <v>3559</v>
      </c>
      <c r="I7" s="3475" t="s">
        <v>3362</v>
      </c>
      <c r="J7" s="3475" t="s">
        <v>3363</v>
      </c>
      <c r="K7" s="3475" t="s">
        <v>3371</v>
      </c>
      <c r="L7" s="3475" t="s">
        <v>3560</v>
      </c>
      <c r="M7" s="3475" t="s">
        <v>3364</v>
      </c>
      <c r="N7" s="3475" t="s">
        <v>3372</v>
      </c>
      <c r="O7" s="3475">
        <v>50000</v>
      </c>
      <c r="P7" s="3475">
        <v>287500</v>
      </c>
      <c r="Q7" s="3475">
        <v>145202.01999999999</v>
      </c>
      <c r="R7" s="3475">
        <v>9680.1299999999992</v>
      </c>
      <c r="S7" s="3475">
        <v>51858</v>
      </c>
      <c r="T7" s="3475" t="s">
        <v>3363</v>
      </c>
      <c r="U7" s="3475">
        <v>15</v>
      </c>
      <c r="V7" s="3475">
        <v>287500</v>
      </c>
      <c r="W7" s="3475" t="s">
        <v>3561</v>
      </c>
      <c r="X7" s="3475">
        <v>78000</v>
      </c>
      <c r="Y7" s="3475">
        <v>78000</v>
      </c>
      <c r="Z7" s="3475">
        <v>51858</v>
      </c>
      <c r="AA7" s="3475" t="s">
        <v>3534</v>
      </c>
    </row>
    <row r="8" spans="1:27">
      <c r="A8" s="2232" t="s">
        <v>3562</v>
      </c>
      <c r="B8" s="2232" t="s">
        <v>1465</v>
      </c>
      <c r="C8" s="2232" t="s">
        <v>3563</v>
      </c>
      <c r="D8" s="2232">
        <v>22856.66</v>
      </c>
      <c r="E8" s="2232">
        <v>45084.65</v>
      </c>
      <c r="F8" s="2232" t="s">
        <v>3529</v>
      </c>
      <c r="G8" s="2232" t="s">
        <v>3537</v>
      </c>
      <c r="H8" s="2232" t="s">
        <v>3564</v>
      </c>
      <c r="I8" s="2232" t="s">
        <v>3362</v>
      </c>
      <c r="J8" s="2232" t="s">
        <v>3363</v>
      </c>
      <c r="K8" s="2232" t="s">
        <v>3365</v>
      </c>
      <c r="L8" s="2232" t="s">
        <v>3565</v>
      </c>
      <c r="M8" s="2232" t="s">
        <v>3364</v>
      </c>
      <c r="N8" s="2232" t="s">
        <v>3566</v>
      </c>
      <c r="O8" s="2232">
        <v>45000</v>
      </c>
      <c r="P8" s="2232">
        <v>240000</v>
      </c>
      <c r="Q8" s="2232">
        <v>105002.22</v>
      </c>
      <c r="R8" s="2232">
        <v>7000.15</v>
      </c>
      <c r="S8" s="2232">
        <v>53233</v>
      </c>
      <c r="T8" s="2232" t="s">
        <v>3363</v>
      </c>
      <c r="U8" s="2232">
        <v>7.14</v>
      </c>
      <c r="V8" s="2232">
        <v>257600</v>
      </c>
      <c r="W8" s="2232" t="s">
        <v>3547</v>
      </c>
      <c r="X8" s="2232">
        <v>86000</v>
      </c>
      <c r="Y8" s="2232">
        <v>86000</v>
      </c>
      <c r="Z8" s="2232">
        <v>57137</v>
      </c>
      <c r="AA8" s="2232" t="s">
        <v>3541</v>
      </c>
    </row>
    <row r="9" spans="1:27">
      <c r="A9" s="2232" t="s">
        <v>3373</v>
      </c>
      <c r="B9" s="2232" t="s">
        <v>1465</v>
      </c>
      <c r="C9" s="2232" t="s">
        <v>3374</v>
      </c>
      <c r="D9" s="2232">
        <v>24387.06</v>
      </c>
      <c r="E9" s="2232">
        <v>58528.94</v>
      </c>
      <c r="F9" s="2232" t="s">
        <v>3360</v>
      </c>
      <c r="G9" s="2232" t="s">
        <v>3361</v>
      </c>
      <c r="H9" s="2232" t="s">
        <v>3567</v>
      </c>
      <c r="I9" s="2232" t="s">
        <v>3362</v>
      </c>
      <c r="J9" s="2232" t="s">
        <v>3363</v>
      </c>
      <c r="K9" s="2232" t="s">
        <v>3371</v>
      </c>
      <c r="L9" s="2232" t="s">
        <v>3565</v>
      </c>
      <c r="M9" s="2232" t="s">
        <v>3364</v>
      </c>
      <c r="N9" s="2232" t="s">
        <v>3566</v>
      </c>
      <c r="O9" s="2232">
        <v>63000</v>
      </c>
      <c r="P9" s="2232">
        <v>332000</v>
      </c>
      <c r="Q9" s="2232">
        <v>136137.76999999999</v>
      </c>
      <c r="R9" s="2232">
        <v>9075.85</v>
      </c>
      <c r="S9" s="2232">
        <v>56724</v>
      </c>
      <c r="T9" s="2232" t="s">
        <v>3363</v>
      </c>
      <c r="U9" s="2232">
        <v>5.4</v>
      </c>
      <c r="V9" s="2232">
        <v>362250</v>
      </c>
      <c r="W9" s="2232" t="s">
        <v>3547</v>
      </c>
      <c r="X9" s="2232">
        <v>86000</v>
      </c>
      <c r="Y9" s="2232">
        <v>86000</v>
      </c>
      <c r="Z9" s="2232">
        <v>61892</v>
      </c>
      <c r="AA9" s="2232" t="s">
        <v>3541</v>
      </c>
    </row>
    <row r="10" spans="1:27">
      <c r="A10" s="2232" t="s">
        <v>3568</v>
      </c>
      <c r="B10" s="2232" t="s">
        <v>1465</v>
      </c>
      <c r="C10" s="2232" t="s">
        <v>3569</v>
      </c>
      <c r="D10" s="2232">
        <v>71284.179999999993</v>
      </c>
      <c r="E10" s="2232">
        <v>105042</v>
      </c>
      <c r="F10" s="2232" t="s">
        <v>3529</v>
      </c>
      <c r="G10" s="2232" t="s">
        <v>3570</v>
      </c>
      <c r="H10" s="2232" t="s">
        <v>3571</v>
      </c>
      <c r="I10" s="2232" t="s">
        <v>3362</v>
      </c>
      <c r="J10" s="2232" t="s">
        <v>3363</v>
      </c>
      <c r="K10" s="2232" t="s">
        <v>3572</v>
      </c>
      <c r="L10" s="2232" t="s">
        <v>3573</v>
      </c>
      <c r="M10" s="2232" t="s">
        <v>3364</v>
      </c>
      <c r="N10" s="2232" t="s">
        <v>3574</v>
      </c>
      <c r="O10" s="2232">
        <v>60000</v>
      </c>
      <c r="P10" s="2232">
        <v>345000</v>
      </c>
      <c r="Q10" s="2232">
        <v>48397.83</v>
      </c>
      <c r="R10" s="2232">
        <v>3226.52</v>
      </c>
      <c r="S10" s="2232">
        <v>32844</v>
      </c>
      <c r="T10" s="2232" t="s">
        <v>3363</v>
      </c>
      <c r="U10" s="2232">
        <v>15</v>
      </c>
      <c r="V10" s="2232">
        <v>345000</v>
      </c>
      <c r="W10" s="2232" t="s">
        <v>3561</v>
      </c>
      <c r="X10" s="2232">
        <v>89000</v>
      </c>
      <c r="Y10" s="2232">
        <v>89000</v>
      </c>
      <c r="Z10" s="2232">
        <v>32844</v>
      </c>
      <c r="AA10" s="2232" t="s">
        <v>3575</v>
      </c>
    </row>
    <row r="11" spans="1:27">
      <c r="A11" s="2232" t="s">
        <v>3375</v>
      </c>
      <c r="B11" s="2232" t="s">
        <v>1465</v>
      </c>
      <c r="C11" s="2232" t="s">
        <v>3376</v>
      </c>
      <c r="D11" s="2232">
        <v>61455.11</v>
      </c>
      <c r="E11" s="2232">
        <v>92183</v>
      </c>
      <c r="F11" s="2232" t="s">
        <v>3360</v>
      </c>
      <c r="G11" s="2232" t="s">
        <v>3361</v>
      </c>
      <c r="H11" s="2232" t="s">
        <v>3576</v>
      </c>
      <c r="I11" s="2232" t="s">
        <v>3362</v>
      </c>
      <c r="J11" s="2232" t="s">
        <v>3363</v>
      </c>
      <c r="K11" s="2232" t="s">
        <v>3365</v>
      </c>
      <c r="L11" s="2232" t="s">
        <v>3577</v>
      </c>
      <c r="M11" s="2232" t="s">
        <v>3364</v>
      </c>
      <c r="N11" s="2232" t="s">
        <v>3377</v>
      </c>
      <c r="O11" s="2232">
        <v>81000</v>
      </c>
      <c r="P11" s="2232">
        <v>404000</v>
      </c>
      <c r="Q11" s="2232">
        <v>65739.039999999994</v>
      </c>
      <c r="R11" s="2232">
        <v>4382.6000000000004</v>
      </c>
      <c r="S11" s="2232">
        <v>43826</v>
      </c>
      <c r="T11" s="2232" t="s">
        <v>3363</v>
      </c>
      <c r="U11" s="2232">
        <v>0</v>
      </c>
      <c r="V11" s="2232">
        <v>464600</v>
      </c>
      <c r="W11" s="2232" t="s">
        <v>3547</v>
      </c>
      <c r="X11" s="2232">
        <v>79800</v>
      </c>
      <c r="Y11" s="2232">
        <v>79800</v>
      </c>
      <c r="Z11" s="2232">
        <v>50400</v>
      </c>
      <c r="AA11" s="2232" t="s">
        <v>3578</v>
      </c>
    </row>
    <row r="12" spans="1:27">
      <c r="A12" s="2232" t="s">
        <v>3378</v>
      </c>
      <c r="B12" s="2232" t="s">
        <v>1465</v>
      </c>
      <c r="C12" s="2232" t="s">
        <v>3379</v>
      </c>
      <c r="D12" s="2232">
        <v>12060.05</v>
      </c>
      <c r="E12" s="2232">
        <v>30150</v>
      </c>
      <c r="F12" s="2232" t="s">
        <v>3360</v>
      </c>
      <c r="G12" s="2232" t="s">
        <v>3361</v>
      </c>
      <c r="H12" s="2232" t="s">
        <v>3579</v>
      </c>
      <c r="I12" s="2232" t="s">
        <v>3362</v>
      </c>
      <c r="J12" s="2232" t="s">
        <v>3580</v>
      </c>
      <c r="K12" s="2232" t="s">
        <v>3371</v>
      </c>
      <c r="L12" s="2232" t="s">
        <v>3581</v>
      </c>
      <c r="M12" s="2232" t="s">
        <v>3364</v>
      </c>
      <c r="N12" s="2232" t="s">
        <v>3380</v>
      </c>
      <c r="O12" s="2232">
        <v>25000</v>
      </c>
      <c r="P12" s="2232">
        <v>142600</v>
      </c>
      <c r="Q12" s="2232">
        <v>118241.63</v>
      </c>
      <c r="R12" s="2232">
        <v>7882.78</v>
      </c>
      <c r="S12" s="2232">
        <v>47297</v>
      </c>
      <c r="T12" s="2232" t="s">
        <v>3363</v>
      </c>
      <c r="U12" s="2232">
        <v>15</v>
      </c>
      <c r="V12" s="2232">
        <v>142600</v>
      </c>
      <c r="W12" s="2232" t="s">
        <v>3561</v>
      </c>
      <c r="X12" s="2232">
        <v>80000</v>
      </c>
      <c r="Y12" s="2232">
        <v>80000</v>
      </c>
      <c r="Z12" s="2232">
        <v>47297</v>
      </c>
      <c r="AA12" s="2232" t="s">
        <v>3534</v>
      </c>
    </row>
    <row r="13" spans="1:27" s="3475" customFormat="1">
      <c r="A13" s="3475" t="s">
        <v>3382</v>
      </c>
      <c r="B13" s="3475" t="s">
        <v>1465</v>
      </c>
      <c r="C13" s="3475" t="s">
        <v>3383</v>
      </c>
      <c r="D13" s="3475">
        <v>18681.22</v>
      </c>
      <c r="E13" s="3475">
        <v>46703.06</v>
      </c>
      <c r="F13" s="3475" t="s">
        <v>3360</v>
      </c>
      <c r="G13" s="3475" t="s">
        <v>3361</v>
      </c>
      <c r="H13" s="3475" t="s">
        <v>3579</v>
      </c>
      <c r="I13" s="3475" t="s">
        <v>3362</v>
      </c>
      <c r="J13" s="3475" t="s">
        <v>3582</v>
      </c>
      <c r="K13" s="3475" t="s">
        <v>3381</v>
      </c>
      <c r="L13" s="3475" t="s">
        <v>3583</v>
      </c>
      <c r="M13" s="3475" t="s">
        <v>3364</v>
      </c>
      <c r="N13" s="3475" t="s">
        <v>3384</v>
      </c>
      <c r="O13" s="3475">
        <v>43000</v>
      </c>
      <c r="P13" s="3475">
        <v>243800</v>
      </c>
      <c r="Q13" s="3475">
        <v>130505.4</v>
      </c>
      <c r="R13" s="3475">
        <v>8700.36</v>
      </c>
      <c r="S13" s="3475">
        <v>52202</v>
      </c>
      <c r="T13" s="3475" t="s">
        <v>3363</v>
      </c>
      <c r="U13" s="3475">
        <v>15</v>
      </c>
      <c r="V13" s="3475">
        <v>243800</v>
      </c>
      <c r="W13" s="3475" t="s">
        <v>3561</v>
      </c>
      <c r="X13" s="3475">
        <v>85000</v>
      </c>
      <c r="Y13" s="3475">
        <v>85000</v>
      </c>
      <c r="Z13" s="3475">
        <v>52202</v>
      </c>
      <c r="AA13" s="3475" t="s">
        <v>3541</v>
      </c>
    </row>
    <row r="14" spans="1:27" s="3475" customFormat="1">
      <c r="A14" s="3475" t="s">
        <v>3385</v>
      </c>
      <c r="B14" s="3475" t="s">
        <v>1465</v>
      </c>
      <c r="C14" s="3475" t="s">
        <v>3386</v>
      </c>
      <c r="D14" s="3475">
        <v>19603.849999999999</v>
      </c>
      <c r="E14" s="3475">
        <v>49009.63</v>
      </c>
      <c r="F14" s="3475" t="s">
        <v>3360</v>
      </c>
      <c r="G14" s="3475" t="s">
        <v>3361</v>
      </c>
      <c r="H14" s="3475" t="s">
        <v>3579</v>
      </c>
      <c r="I14" s="3475" t="s">
        <v>3362</v>
      </c>
      <c r="J14" s="3475" t="s">
        <v>3582</v>
      </c>
      <c r="K14" s="3475" t="s">
        <v>3381</v>
      </c>
      <c r="L14" s="3475" t="s">
        <v>3584</v>
      </c>
      <c r="M14" s="3475" t="s">
        <v>3364</v>
      </c>
      <c r="N14" s="3475" t="s">
        <v>3585</v>
      </c>
      <c r="O14" s="3475">
        <v>45000</v>
      </c>
      <c r="P14" s="3475">
        <v>255300</v>
      </c>
      <c r="Q14" s="3475">
        <v>130229.52</v>
      </c>
      <c r="R14" s="3475">
        <v>8681.9699999999993</v>
      </c>
      <c r="S14" s="3475">
        <v>52092</v>
      </c>
      <c r="T14" s="3475" t="s">
        <v>3363</v>
      </c>
      <c r="U14" s="3475">
        <v>15</v>
      </c>
      <c r="V14" s="3475">
        <v>255300</v>
      </c>
      <c r="W14" s="3475" t="s">
        <v>3561</v>
      </c>
      <c r="X14" s="3475">
        <v>85000</v>
      </c>
      <c r="Y14" s="3475">
        <v>85000</v>
      </c>
      <c r="Z14" s="3475">
        <v>52092</v>
      </c>
      <c r="AA14" s="3475" t="s">
        <v>3541</v>
      </c>
    </row>
    <row r="15" spans="1:27">
      <c r="A15" s="2232" t="s">
        <v>3387</v>
      </c>
      <c r="B15" s="2232" t="s">
        <v>1465</v>
      </c>
      <c r="C15" s="2232" t="s">
        <v>3388</v>
      </c>
      <c r="D15" s="2232">
        <v>31920.74</v>
      </c>
      <c r="E15" s="2232">
        <v>70864</v>
      </c>
      <c r="F15" s="2232" t="s">
        <v>3360</v>
      </c>
      <c r="G15" s="2232" t="s">
        <v>3361</v>
      </c>
      <c r="H15" s="2232" t="s">
        <v>3586</v>
      </c>
      <c r="I15" s="2232" t="s">
        <v>3362</v>
      </c>
      <c r="J15" s="2232" t="s">
        <v>3582</v>
      </c>
      <c r="K15" s="2232" t="s">
        <v>3381</v>
      </c>
      <c r="L15" s="2232" t="s">
        <v>3583</v>
      </c>
      <c r="M15" s="2232" t="s">
        <v>3364</v>
      </c>
      <c r="N15" s="2232" t="s">
        <v>3389</v>
      </c>
      <c r="O15" s="2232">
        <v>57000</v>
      </c>
      <c r="P15" s="2232">
        <v>323150</v>
      </c>
      <c r="Q15" s="2232">
        <v>101235.12</v>
      </c>
      <c r="R15" s="2232">
        <v>6749.01</v>
      </c>
      <c r="S15" s="2232">
        <v>45601</v>
      </c>
      <c r="T15" s="2232" t="s">
        <v>3363</v>
      </c>
      <c r="U15" s="2232">
        <v>15</v>
      </c>
      <c r="V15" s="2232">
        <v>323150</v>
      </c>
      <c r="W15" s="2232" t="s">
        <v>3561</v>
      </c>
      <c r="X15" s="2232">
        <v>85000</v>
      </c>
      <c r="Y15" s="2232">
        <v>85000</v>
      </c>
      <c r="Z15" s="2232">
        <v>45601</v>
      </c>
      <c r="AA15" s="2232" t="s">
        <v>3575</v>
      </c>
    </row>
    <row r="16" spans="1:27">
      <c r="A16" s="2232" t="s">
        <v>3391</v>
      </c>
      <c r="B16" s="2232" t="s">
        <v>1465</v>
      </c>
      <c r="C16" s="2232" t="s">
        <v>3392</v>
      </c>
      <c r="D16" s="2232">
        <v>40508.61</v>
      </c>
      <c r="E16" s="2232">
        <v>56712</v>
      </c>
      <c r="F16" s="2232" t="s">
        <v>3360</v>
      </c>
      <c r="G16" s="2232" t="s">
        <v>3361</v>
      </c>
      <c r="H16" s="2232" t="s">
        <v>3393</v>
      </c>
      <c r="I16" s="2232" t="s">
        <v>3362</v>
      </c>
      <c r="J16" s="2232" t="s">
        <v>3587</v>
      </c>
      <c r="K16" s="2232" t="s">
        <v>3394</v>
      </c>
      <c r="L16" s="2232" t="s">
        <v>3588</v>
      </c>
      <c r="M16" s="2232" t="s">
        <v>3364</v>
      </c>
      <c r="N16" s="2232" t="s">
        <v>3377</v>
      </c>
      <c r="O16" s="2232">
        <v>53000</v>
      </c>
      <c r="P16" s="2232">
        <v>298000</v>
      </c>
      <c r="Q16" s="2232">
        <v>73564.61</v>
      </c>
      <c r="R16" s="2232">
        <v>4904.3100000000004</v>
      </c>
      <c r="S16" s="2232">
        <v>52546</v>
      </c>
      <c r="T16" s="2232" t="s">
        <v>3363</v>
      </c>
      <c r="U16" s="2232">
        <v>13.31</v>
      </c>
      <c r="V16" s="2232">
        <v>302450</v>
      </c>
      <c r="W16" s="2232" t="s">
        <v>3547</v>
      </c>
      <c r="X16" s="2232">
        <v>89000</v>
      </c>
      <c r="Y16" s="2232">
        <v>89000</v>
      </c>
      <c r="Z16" s="2232">
        <v>53331</v>
      </c>
      <c r="AA16" s="2232" t="s">
        <v>3575</v>
      </c>
    </row>
    <row r="17" spans="1:27">
      <c r="A17" s="2232" t="s">
        <v>3395</v>
      </c>
      <c r="B17" s="2232" t="s">
        <v>1465</v>
      </c>
      <c r="C17" s="2232" t="s">
        <v>3396</v>
      </c>
      <c r="D17" s="2232">
        <v>34502.36</v>
      </c>
      <c r="E17" s="2232">
        <v>86256</v>
      </c>
      <c r="F17" s="2232" t="s">
        <v>3360</v>
      </c>
      <c r="G17" s="2232" t="s">
        <v>3361</v>
      </c>
      <c r="H17" s="2232" t="s">
        <v>3397</v>
      </c>
      <c r="I17" s="2232" t="s">
        <v>3362</v>
      </c>
      <c r="J17" s="2232" t="s">
        <v>3587</v>
      </c>
      <c r="K17" s="2232" t="s">
        <v>3394</v>
      </c>
      <c r="L17" s="2232" t="s">
        <v>3588</v>
      </c>
      <c r="M17" s="2232" t="s">
        <v>3364</v>
      </c>
      <c r="N17" s="2232" t="s">
        <v>3589</v>
      </c>
      <c r="O17" s="2232">
        <v>78000</v>
      </c>
      <c r="P17" s="2232">
        <v>388000</v>
      </c>
      <c r="Q17" s="2232">
        <v>112456.08</v>
      </c>
      <c r="R17" s="2232">
        <v>7497.07</v>
      </c>
      <c r="S17" s="2232">
        <v>44982</v>
      </c>
      <c r="T17" s="2232" t="s">
        <v>3363</v>
      </c>
      <c r="U17" s="2232">
        <v>0</v>
      </c>
      <c r="V17" s="2232">
        <v>446200</v>
      </c>
      <c r="W17" s="2232" t="s">
        <v>3547</v>
      </c>
      <c r="X17" s="2232">
        <v>75000</v>
      </c>
      <c r="Y17" s="2232">
        <v>75000</v>
      </c>
      <c r="Z17" s="2232">
        <v>51730</v>
      </c>
      <c r="AA17" s="2232" t="s">
        <v>3534</v>
      </c>
    </row>
    <row r="18" spans="1:27">
      <c r="A18" s="2232" t="s">
        <v>3398</v>
      </c>
      <c r="B18" s="2232" t="s">
        <v>1465</v>
      </c>
      <c r="C18" s="2232" t="s">
        <v>3399</v>
      </c>
      <c r="D18" s="2232">
        <v>27039.75</v>
      </c>
      <c r="E18" s="2232">
        <v>75711.3</v>
      </c>
      <c r="F18" s="2232" t="s">
        <v>3360</v>
      </c>
      <c r="G18" s="2232" t="s">
        <v>3361</v>
      </c>
      <c r="H18" s="2232" t="s">
        <v>3400</v>
      </c>
      <c r="I18" s="2232" t="s">
        <v>3362</v>
      </c>
      <c r="J18" s="2232" t="s">
        <v>3587</v>
      </c>
      <c r="K18" s="2232" t="s">
        <v>3401</v>
      </c>
      <c r="L18" s="2232" t="s">
        <v>3590</v>
      </c>
      <c r="M18" s="2232" t="s">
        <v>3364</v>
      </c>
      <c r="N18" s="2232" t="s">
        <v>3402</v>
      </c>
      <c r="O18" s="2232">
        <v>116200</v>
      </c>
      <c r="P18" s="2232">
        <v>668150</v>
      </c>
      <c r="Q18" s="2232">
        <v>247099.17</v>
      </c>
      <c r="R18" s="2232">
        <v>16473.28</v>
      </c>
      <c r="S18" s="2232">
        <v>88250</v>
      </c>
      <c r="T18" s="2232" t="s">
        <v>3363</v>
      </c>
      <c r="U18" s="2232">
        <v>15</v>
      </c>
      <c r="V18" s="2232">
        <v>668150</v>
      </c>
      <c r="W18" s="2232" t="s">
        <v>3561</v>
      </c>
      <c r="X18" s="2232">
        <v>130000</v>
      </c>
      <c r="Y18" s="2232">
        <v>130000</v>
      </c>
      <c r="Z18" s="2232">
        <v>88250</v>
      </c>
      <c r="AA18" s="2232" t="s">
        <v>3548</v>
      </c>
    </row>
    <row r="19" spans="1:27">
      <c r="A19" s="2232" t="s">
        <v>3591</v>
      </c>
      <c r="B19" s="2232" t="s">
        <v>1465</v>
      </c>
      <c r="C19" s="2232" t="s">
        <v>3592</v>
      </c>
      <c r="D19" s="2232">
        <v>44618.19</v>
      </c>
      <c r="E19" s="2232">
        <v>93514</v>
      </c>
      <c r="F19" s="2232" t="s">
        <v>3529</v>
      </c>
      <c r="G19" s="2232" t="s">
        <v>3537</v>
      </c>
      <c r="H19" s="2232" t="s">
        <v>3593</v>
      </c>
      <c r="I19" s="2232" t="s">
        <v>3362</v>
      </c>
      <c r="J19" s="2232" t="s">
        <v>3587</v>
      </c>
      <c r="K19" s="2232" t="s">
        <v>3394</v>
      </c>
      <c r="L19" s="2232" t="s">
        <v>3588</v>
      </c>
      <c r="M19" s="2232" t="s">
        <v>3364</v>
      </c>
      <c r="N19" s="2232" t="s">
        <v>3390</v>
      </c>
      <c r="O19" s="2232">
        <v>79000</v>
      </c>
      <c r="P19" s="2232">
        <v>400000</v>
      </c>
      <c r="Q19" s="2232">
        <v>89649.54</v>
      </c>
      <c r="R19" s="2232">
        <v>5976.64</v>
      </c>
      <c r="S19" s="2232">
        <v>42774</v>
      </c>
      <c r="T19" s="2232" t="s">
        <v>3363</v>
      </c>
      <c r="U19" s="2232">
        <v>1.52</v>
      </c>
      <c r="V19" s="2232">
        <v>453100</v>
      </c>
      <c r="W19" s="2232" t="s">
        <v>3547</v>
      </c>
      <c r="X19" s="2232">
        <v>85000</v>
      </c>
      <c r="Y19" s="2232">
        <v>85000</v>
      </c>
      <c r="Z19" s="2232">
        <v>48453</v>
      </c>
      <c r="AA19" s="2232" t="s">
        <v>3575</v>
      </c>
    </row>
    <row r="20" spans="1:27">
      <c r="A20" s="2232" t="s">
        <v>3594</v>
      </c>
      <c r="B20" s="2232" t="s">
        <v>1465</v>
      </c>
      <c r="C20" s="2232" t="s">
        <v>3595</v>
      </c>
      <c r="D20" s="2232">
        <v>29222.34</v>
      </c>
      <c r="E20" s="2232">
        <v>43834</v>
      </c>
      <c r="F20" s="2232" t="s">
        <v>3360</v>
      </c>
      <c r="G20" s="2232" t="s">
        <v>3361</v>
      </c>
      <c r="H20" s="2232" t="s">
        <v>3415</v>
      </c>
      <c r="I20" s="2232" t="s">
        <v>3362</v>
      </c>
      <c r="J20" s="2232" t="s">
        <v>3587</v>
      </c>
      <c r="K20" s="2232" t="s">
        <v>3363</v>
      </c>
      <c r="L20" s="2232" t="s">
        <v>3363</v>
      </c>
      <c r="M20" s="2232" t="s">
        <v>3596</v>
      </c>
      <c r="N20" s="2232" t="s">
        <v>3363</v>
      </c>
      <c r="O20" s="2232">
        <v>38400</v>
      </c>
      <c r="P20" s="2232" t="s">
        <v>3363</v>
      </c>
      <c r="Q20" s="2232" t="s">
        <v>3363</v>
      </c>
      <c r="R20" s="2232" t="s">
        <v>3363</v>
      </c>
      <c r="S20" s="2232" t="s">
        <v>3363</v>
      </c>
      <c r="T20" s="2232" t="s">
        <v>3363</v>
      </c>
      <c r="U20" s="2232">
        <v>0</v>
      </c>
      <c r="V20" s="2232">
        <v>220800</v>
      </c>
      <c r="W20" s="2232" t="s">
        <v>3363</v>
      </c>
      <c r="X20" s="2232">
        <v>79800</v>
      </c>
      <c r="Y20" s="2232">
        <v>79800</v>
      </c>
      <c r="Z20" s="2232">
        <v>50372</v>
      </c>
      <c r="AA20" s="2232" t="s">
        <v>3578</v>
      </c>
    </row>
    <row r="21" spans="1:27">
      <c r="A21" s="2232" t="s">
        <v>3597</v>
      </c>
      <c r="B21" s="2232" t="s">
        <v>1465</v>
      </c>
      <c r="C21" s="2232" t="s">
        <v>3598</v>
      </c>
      <c r="D21" s="2232">
        <v>41146.67</v>
      </c>
      <c r="E21" s="2232">
        <v>92406</v>
      </c>
      <c r="F21" s="2232" t="s">
        <v>3529</v>
      </c>
      <c r="G21" s="2232" t="s">
        <v>3599</v>
      </c>
      <c r="H21" s="2232" t="s">
        <v>3600</v>
      </c>
      <c r="I21" s="2232" t="s">
        <v>3362</v>
      </c>
      <c r="J21" s="2232" t="s">
        <v>3601</v>
      </c>
      <c r="K21" s="2232" t="s">
        <v>3602</v>
      </c>
      <c r="L21" s="2232" t="s">
        <v>3603</v>
      </c>
      <c r="M21" s="2232" t="s">
        <v>3364</v>
      </c>
      <c r="N21" s="2232" t="s">
        <v>3604</v>
      </c>
      <c r="O21" s="2232">
        <v>76000</v>
      </c>
      <c r="P21" s="2232">
        <v>434700</v>
      </c>
      <c r="Q21" s="2232">
        <v>105646.46</v>
      </c>
      <c r="R21" s="2232">
        <v>7043.1</v>
      </c>
      <c r="S21" s="2232">
        <v>47042</v>
      </c>
      <c r="T21" s="2232">
        <v>49394</v>
      </c>
      <c r="U21" s="2232">
        <v>15</v>
      </c>
      <c r="V21" s="2232">
        <v>434700</v>
      </c>
      <c r="W21" s="2232" t="s">
        <v>3561</v>
      </c>
      <c r="X21" s="2232">
        <v>88000</v>
      </c>
      <c r="Y21" s="2232">
        <v>88000</v>
      </c>
      <c r="Z21" s="2232">
        <v>47042</v>
      </c>
      <c r="AA21" s="2232" t="s">
        <v>3541</v>
      </c>
    </row>
    <row r="22" spans="1:27">
      <c r="A22" s="2232" t="s">
        <v>3403</v>
      </c>
      <c r="B22" s="2232" t="s">
        <v>1465</v>
      </c>
      <c r="C22" s="2232" t="s">
        <v>3404</v>
      </c>
      <c r="D22" s="2232">
        <v>36848.99</v>
      </c>
      <c r="E22" s="2232">
        <v>92122</v>
      </c>
      <c r="F22" s="2232" t="s">
        <v>3360</v>
      </c>
      <c r="G22" s="2232" t="s">
        <v>3361</v>
      </c>
      <c r="H22" s="2232" t="s">
        <v>3579</v>
      </c>
      <c r="I22" s="2232" t="s">
        <v>3362</v>
      </c>
      <c r="J22" s="2232" t="s">
        <v>3601</v>
      </c>
      <c r="K22" s="2232" t="s">
        <v>3394</v>
      </c>
      <c r="L22" s="2232" t="s">
        <v>3603</v>
      </c>
      <c r="M22" s="2232" t="s">
        <v>3364</v>
      </c>
      <c r="N22" s="2232" t="s">
        <v>3605</v>
      </c>
      <c r="O22" s="2232">
        <v>78500</v>
      </c>
      <c r="P22" s="2232">
        <v>424000</v>
      </c>
      <c r="Q22" s="2232">
        <v>115064.21</v>
      </c>
      <c r="R22" s="2232">
        <v>7670.95</v>
      </c>
      <c r="S22" s="2232">
        <v>46026</v>
      </c>
      <c r="T22" s="2232" t="s">
        <v>3363</v>
      </c>
      <c r="U22" s="2232">
        <v>8.16</v>
      </c>
      <c r="V22" s="2232">
        <v>431200</v>
      </c>
      <c r="W22" s="2232" t="s">
        <v>3547</v>
      </c>
      <c r="X22" s="2232">
        <v>71000</v>
      </c>
      <c r="Y22" s="2232">
        <v>71000</v>
      </c>
      <c r="Z22" s="2232">
        <v>46807</v>
      </c>
      <c r="AA22" s="2232" t="s">
        <v>3541</v>
      </c>
    </row>
    <row r="23" spans="1:27">
      <c r="A23" s="2232" t="s">
        <v>3606</v>
      </c>
      <c r="B23" s="2232" t="s">
        <v>1465</v>
      </c>
      <c r="C23" s="2232" t="s">
        <v>3607</v>
      </c>
      <c r="D23" s="2232">
        <v>12533.84</v>
      </c>
      <c r="E23" s="2232">
        <v>40108</v>
      </c>
      <c r="F23" s="2232" t="s">
        <v>3529</v>
      </c>
      <c r="G23" s="2232" t="s">
        <v>3366</v>
      </c>
      <c r="H23" s="2232" t="s">
        <v>3608</v>
      </c>
      <c r="I23" s="2232" t="s">
        <v>3362</v>
      </c>
      <c r="J23" s="2232" t="s">
        <v>3609</v>
      </c>
      <c r="K23" s="2232" t="s">
        <v>3394</v>
      </c>
      <c r="L23" s="2232" t="s">
        <v>3610</v>
      </c>
      <c r="M23" s="2232" t="s">
        <v>3364</v>
      </c>
      <c r="N23" s="2232" t="s">
        <v>3416</v>
      </c>
      <c r="O23" s="2232">
        <v>23000</v>
      </c>
      <c r="P23" s="2232">
        <v>114000</v>
      </c>
      <c r="Q23" s="2232">
        <v>90953.77</v>
      </c>
      <c r="R23" s="2232">
        <v>6063.58</v>
      </c>
      <c r="S23" s="2232">
        <v>28423</v>
      </c>
      <c r="T23" s="2232" t="s">
        <v>3363</v>
      </c>
      <c r="U23" s="2232">
        <v>0</v>
      </c>
      <c r="V23" s="2232">
        <v>131100</v>
      </c>
      <c r="W23" s="2232" t="s">
        <v>3547</v>
      </c>
      <c r="X23" s="2232">
        <v>106600</v>
      </c>
      <c r="Y23" s="2232">
        <v>106600</v>
      </c>
      <c r="Z23" s="2232">
        <v>32687</v>
      </c>
      <c r="AA23" s="2232" t="s">
        <v>3548</v>
      </c>
    </row>
    <row r="24" spans="1:27">
      <c r="A24" s="2232" t="s">
        <v>3405</v>
      </c>
      <c r="B24" s="2232" t="s">
        <v>1465</v>
      </c>
      <c r="C24" s="2232" t="s">
        <v>3406</v>
      </c>
      <c r="D24" s="2232">
        <v>57220.14</v>
      </c>
      <c r="E24" s="2232">
        <v>132000</v>
      </c>
      <c r="F24" s="2232" t="s">
        <v>3360</v>
      </c>
      <c r="G24" s="2232" t="s">
        <v>3361</v>
      </c>
      <c r="H24" s="2232" t="s">
        <v>3611</v>
      </c>
      <c r="I24" s="2232" t="s">
        <v>3362</v>
      </c>
      <c r="J24" s="2232" t="s">
        <v>3609</v>
      </c>
      <c r="K24" s="2232" t="s">
        <v>3394</v>
      </c>
      <c r="L24" s="2232" t="s">
        <v>3610</v>
      </c>
      <c r="M24" s="2232" t="s">
        <v>3364</v>
      </c>
      <c r="N24" s="2232" t="s">
        <v>3612</v>
      </c>
      <c r="O24" s="2232">
        <v>112200</v>
      </c>
      <c r="P24" s="2232">
        <v>561000</v>
      </c>
      <c r="Q24" s="2232">
        <v>98042.41</v>
      </c>
      <c r="R24" s="2232">
        <v>6536.16</v>
      </c>
      <c r="S24" s="2232">
        <v>42500</v>
      </c>
      <c r="T24" s="2232">
        <v>50089</v>
      </c>
      <c r="U24" s="2232">
        <v>0</v>
      </c>
      <c r="V24" s="2232">
        <v>589050</v>
      </c>
      <c r="W24" s="2232" t="s">
        <v>3547</v>
      </c>
      <c r="X24" s="2232">
        <v>81000</v>
      </c>
      <c r="Y24" s="2232">
        <v>81000</v>
      </c>
      <c r="Z24" s="2232">
        <v>44625</v>
      </c>
      <c r="AA24" s="2232" t="s">
        <v>3541</v>
      </c>
    </row>
    <row r="25" spans="1:27">
      <c r="A25" s="2232" t="s">
        <v>3407</v>
      </c>
      <c r="B25" s="2232" t="s">
        <v>1465</v>
      </c>
      <c r="C25" s="2232" t="s">
        <v>3408</v>
      </c>
      <c r="D25" s="2232">
        <v>76681.88</v>
      </c>
      <c r="E25" s="2232">
        <v>137000</v>
      </c>
      <c r="F25" s="2232" t="s">
        <v>3360</v>
      </c>
      <c r="G25" s="2232" t="s">
        <v>3361</v>
      </c>
      <c r="H25" s="2232" t="s">
        <v>3613</v>
      </c>
      <c r="I25" s="2232" t="s">
        <v>3362</v>
      </c>
      <c r="J25" s="2232" t="s">
        <v>3609</v>
      </c>
      <c r="K25" s="2232" t="s">
        <v>3394</v>
      </c>
      <c r="L25" s="2232" t="s">
        <v>3610</v>
      </c>
      <c r="M25" s="2232" t="s">
        <v>3364</v>
      </c>
      <c r="N25" s="2232" t="s">
        <v>3612</v>
      </c>
      <c r="O25" s="2232">
        <v>142000</v>
      </c>
      <c r="P25" s="2232">
        <v>707000</v>
      </c>
      <c r="Q25" s="2232">
        <v>92199.09</v>
      </c>
      <c r="R25" s="2232">
        <v>6146.61</v>
      </c>
      <c r="S25" s="2232">
        <v>51606</v>
      </c>
      <c r="T25" s="2232" t="s">
        <v>3363</v>
      </c>
      <c r="U25" s="2232">
        <v>0</v>
      </c>
      <c r="V25" s="2232">
        <v>742350</v>
      </c>
      <c r="W25" s="2232" t="s">
        <v>3547</v>
      </c>
      <c r="X25" s="2232">
        <v>86000</v>
      </c>
      <c r="Y25" s="2232">
        <v>86000</v>
      </c>
      <c r="Z25" s="2232">
        <v>54186</v>
      </c>
      <c r="AA25" s="2232" t="s">
        <v>3541</v>
      </c>
    </row>
    <row r="26" spans="1:27">
      <c r="A26" s="2232" t="s">
        <v>3409</v>
      </c>
      <c r="B26" s="2232" t="s">
        <v>1465</v>
      </c>
      <c r="C26" s="2232" t="s">
        <v>3410</v>
      </c>
      <c r="D26" s="2232">
        <v>21711.13</v>
      </c>
      <c r="E26" s="2232">
        <v>47764</v>
      </c>
      <c r="F26" s="2232" t="s">
        <v>3360</v>
      </c>
      <c r="G26" s="2232" t="s">
        <v>3361</v>
      </c>
      <c r="H26" s="2232" t="s">
        <v>3614</v>
      </c>
      <c r="I26" s="2232" t="s">
        <v>3362</v>
      </c>
      <c r="J26" s="2232" t="s">
        <v>3609</v>
      </c>
      <c r="K26" s="2232" t="s">
        <v>3394</v>
      </c>
      <c r="L26" s="2232" t="s">
        <v>3610</v>
      </c>
      <c r="M26" s="2232" t="s">
        <v>3364</v>
      </c>
      <c r="N26" s="2232" t="s">
        <v>3615</v>
      </c>
      <c r="O26" s="2232">
        <v>42000</v>
      </c>
      <c r="P26" s="2232">
        <v>208000</v>
      </c>
      <c r="Q26" s="2232">
        <v>95803.4</v>
      </c>
      <c r="R26" s="2232">
        <v>6386.89</v>
      </c>
      <c r="S26" s="2232">
        <v>43547</v>
      </c>
      <c r="T26" s="2232" t="s">
        <v>3363</v>
      </c>
      <c r="U26" s="2232">
        <v>0</v>
      </c>
      <c r="V26" s="2232">
        <v>218400</v>
      </c>
      <c r="W26" s="2232" t="s">
        <v>3547</v>
      </c>
      <c r="X26" s="2232">
        <v>69800</v>
      </c>
      <c r="Y26" s="2232">
        <v>69800</v>
      </c>
      <c r="Z26" s="2232">
        <v>45725</v>
      </c>
      <c r="AA26" s="2232" t="s">
        <v>3575</v>
      </c>
    </row>
    <row r="27" spans="1:27">
      <c r="A27" s="2232" t="s">
        <v>3616</v>
      </c>
      <c r="B27" s="2232" t="s">
        <v>1465</v>
      </c>
      <c r="C27" s="2232" t="s">
        <v>3617</v>
      </c>
      <c r="D27" s="2232">
        <v>28686.2</v>
      </c>
      <c r="E27" s="2232">
        <v>63110</v>
      </c>
      <c r="F27" s="2232" t="s">
        <v>3360</v>
      </c>
      <c r="G27" s="2232" t="s">
        <v>3361</v>
      </c>
      <c r="H27" s="2232" t="s">
        <v>3614</v>
      </c>
      <c r="I27" s="2232" t="s">
        <v>3362</v>
      </c>
      <c r="J27" s="2232" t="s">
        <v>3609</v>
      </c>
      <c r="K27" s="2232" t="s">
        <v>3363</v>
      </c>
      <c r="L27" s="2232" t="s">
        <v>3363</v>
      </c>
      <c r="M27" s="2232" t="s">
        <v>3596</v>
      </c>
      <c r="N27" s="2232" t="s">
        <v>3363</v>
      </c>
      <c r="O27" s="2232">
        <v>55000</v>
      </c>
      <c r="P27" s="2232" t="s">
        <v>3363</v>
      </c>
      <c r="Q27" s="2232" t="s">
        <v>3363</v>
      </c>
      <c r="R27" s="2232" t="s">
        <v>3363</v>
      </c>
      <c r="S27" s="2232" t="s">
        <v>3363</v>
      </c>
      <c r="T27" s="2232" t="s">
        <v>3363</v>
      </c>
      <c r="U27" s="2232">
        <v>0</v>
      </c>
      <c r="V27" s="2232">
        <v>288750</v>
      </c>
      <c r="W27" s="2232" t="s">
        <v>3363</v>
      </c>
      <c r="X27" s="2232">
        <v>69800</v>
      </c>
      <c r="Y27" s="2232">
        <v>69800</v>
      </c>
      <c r="Z27" s="2232">
        <v>45753</v>
      </c>
      <c r="AA27" s="2232" t="s">
        <v>3575</v>
      </c>
    </row>
    <row r="28" spans="1:27">
      <c r="A28" s="2232" t="s">
        <v>3411</v>
      </c>
      <c r="B28" s="2232" t="s">
        <v>1465</v>
      </c>
      <c r="C28" s="2232" t="s">
        <v>3412</v>
      </c>
      <c r="D28" s="2232">
        <v>63959.72</v>
      </c>
      <c r="E28" s="2232">
        <v>94000</v>
      </c>
      <c r="F28" s="2232" t="s">
        <v>3360</v>
      </c>
      <c r="G28" s="2232" t="s">
        <v>3361</v>
      </c>
      <c r="H28" s="2232" t="s">
        <v>3618</v>
      </c>
      <c r="I28" s="2232" t="s">
        <v>3362</v>
      </c>
      <c r="J28" s="2232" t="s">
        <v>3609</v>
      </c>
      <c r="K28" s="2232" t="s">
        <v>3394</v>
      </c>
      <c r="L28" s="2232" t="s">
        <v>3610</v>
      </c>
      <c r="M28" s="2232" t="s">
        <v>3364</v>
      </c>
      <c r="N28" s="2232" t="s">
        <v>3612</v>
      </c>
      <c r="O28" s="2232">
        <v>97000</v>
      </c>
      <c r="P28" s="2232">
        <v>485000</v>
      </c>
      <c r="Q28" s="2232">
        <v>75828.98</v>
      </c>
      <c r="R28" s="2232">
        <v>5055.26</v>
      </c>
      <c r="S28" s="2232">
        <v>51596</v>
      </c>
      <c r="T28" s="2232" t="s">
        <v>3363</v>
      </c>
      <c r="U28" s="2232">
        <v>0</v>
      </c>
      <c r="V28" s="2232">
        <v>509250</v>
      </c>
      <c r="W28" s="2232" t="s">
        <v>3547</v>
      </c>
      <c r="X28" s="2232">
        <v>86000</v>
      </c>
      <c r="Y28" s="2232">
        <v>86000</v>
      </c>
      <c r="Z28" s="2232">
        <v>54176</v>
      </c>
      <c r="AA28" s="2232" t="s">
        <v>3541</v>
      </c>
    </row>
    <row r="29" spans="1:27">
      <c r="A29" s="2232" t="s">
        <v>3619</v>
      </c>
      <c r="B29" s="2232" t="s">
        <v>1465</v>
      </c>
      <c r="C29" s="2232" t="s">
        <v>3620</v>
      </c>
      <c r="D29" s="2232">
        <v>51448.79</v>
      </c>
      <c r="E29" s="2232">
        <v>77173</v>
      </c>
      <c r="F29" s="2232" t="s">
        <v>3360</v>
      </c>
      <c r="G29" s="2232" t="s">
        <v>3413</v>
      </c>
      <c r="H29" s="2232" t="s">
        <v>3576</v>
      </c>
      <c r="I29" s="2232" t="s">
        <v>3362</v>
      </c>
      <c r="J29" s="2232" t="s">
        <v>3621</v>
      </c>
      <c r="K29" s="2232" t="s">
        <v>3363</v>
      </c>
      <c r="L29" s="2232" t="s">
        <v>3363</v>
      </c>
      <c r="M29" s="2232" t="s">
        <v>3622</v>
      </c>
      <c r="N29" s="2232" t="s">
        <v>3363</v>
      </c>
      <c r="O29" s="2232">
        <v>95400</v>
      </c>
      <c r="P29" s="2232" t="s">
        <v>3363</v>
      </c>
      <c r="Q29" s="2232" t="s">
        <v>3363</v>
      </c>
      <c r="R29" s="2232" t="s">
        <v>3363</v>
      </c>
      <c r="S29" s="2232" t="s">
        <v>3363</v>
      </c>
      <c r="T29" s="2232" t="s">
        <v>3363</v>
      </c>
      <c r="U29" s="2232">
        <v>0</v>
      </c>
      <c r="V29" s="2232">
        <v>500850</v>
      </c>
      <c r="W29" s="2232" t="s">
        <v>3363</v>
      </c>
      <c r="X29" s="2232">
        <v>79800</v>
      </c>
      <c r="Y29" s="2232">
        <v>79800</v>
      </c>
      <c r="Z29" s="2232">
        <v>64900</v>
      </c>
      <c r="AA29" s="2232" t="s">
        <v>3578</v>
      </c>
    </row>
    <row r="30" spans="1:27">
      <c r="A30" s="2232" t="s">
        <v>3594</v>
      </c>
      <c r="B30" s="2232" t="s">
        <v>1465</v>
      </c>
      <c r="C30" s="2232" t="s">
        <v>3623</v>
      </c>
      <c r="D30" s="2232">
        <v>29222.34</v>
      </c>
      <c r="E30" s="2232">
        <v>43834</v>
      </c>
      <c r="F30" s="2232" t="s">
        <v>3360</v>
      </c>
      <c r="G30" s="2232" t="s">
        <v>3413</v>
      </c>
      <c r="H30" s="2232" t="s">
        <v>3576</v>
      </c>
      <c r="I30" s="2232" t="s">
        <v>3362</v>
      </c>
      <c r="J30" s="2232" t="s">
        <v>3621</v>
      </c>
      <c r="K30" s="2232" t="s">
        <v>3363</v>
      </c>
      <c r="L30" s="2232" t="s">
        <v>3363</v>
      </c>
      <c r="M30" s="2232" t="s">
        <v>3622</v>
      </c>
      <c r="N30" s="2232" t="s">
        <v>3363</v>
      </c>
      <c r="O30" s="2232">
        <v>54200</v>
      </c>
      <c r="P30" s="2232" t="s">
        <v>3363</v>
      </c>
      <c r="Q30" s="2232" t="s">
        <v>3363</v>
      </c>
      <c r="R30" s="2232" t="s">
        <v>3363</v>
      </c>
      <c r="S30" s="2232" t="s">
        <v>3363</v>
      </c>
      <c r="T30" s="2232" t="s">
        <v>3363</v>
      </c>
      <c r="U30" s="2232">
        <v>0</v>
      </c>
      <c r="V30" s="2232">
        <v>284500</v>
      </c>
      <c r="W30" s="2232" t="s">
        <v>3363</v>
      </c>
      <c r="X30" s="2232">
        <v>79800</v>
      </c>
      <c r="Y30" s="2232">
        <v>79800</v>
      </c>
      <c r="Z30" s="2232">
        <v>64904</v>
      </c>
      <c r="AA30" s="2232" t="s">
        <v>3578</v>
      </c>
    </row>
    <row r="31" spans="1:27">
      <c r="A31" s="2232" t="s">
        <v>3624</v>
      </c>
      <c r="B31" s="2232" t="s">
        <v>1465</v>
      </c>
      <c r="C31" s="2232" t="s">
        <v>3625</v>
      </c>
      <c r="D31" s="2232">
        <v>50397.33</v>
      </c>
      <c r="E31" s="2232">
        <v>110874</v>
      </c>
      <c r="F31" s="2232" t="s">
        <v>3360</v>
      </c>
      <c r="G31" s="2232" t="s">
        <v>3413</v>
      </c>
      <c r="H31" s="2232" t="s">
        <v>3614</v>
      </c>
      <c r="I31" s="2232" t="s">
        <v>3362</v>
      </c>
      <c r="J31" s="2232" t="s">
        <v>3621</v>
      </c>
      <c r="K31" s="2232" t="s">
        <v>3363</v>
      </c>
      <c r="L31" s="2232" t="s">
        <v>3363</v>
      </c>
      <c r="M31" s="2232" t="s">
        <v>3622</v>
      </c>
      <c r="N31" s="2232" t="s">
        <v>3363</v>
      </c>
      <c r="O31" s="2232">
        <v>114000</v>
      </c>
      <c r="P31" s="2232" t="s">
        <v>3363</v>
      </c>
      <c r="Q31" s="2232" t="s">
        <v>3363</v>
      </c>
      <c r="R31" s="2232" t="s">
        <v>3363</v>
      </c>
      <c r="S31" s="2232" t="s">
        <v>3363</v>
      </c>
      <c r="T31" s="2232" t="s">
        <v>3363</v>
      </c>
      <c r="U31" s="2232">
        <v>0</v>
      </c>
      <c r="V31" s="2232">
        <v>598500</v>
      </c>
      <c r="W31" s="2232" t="s">
        <v>3363</v>
      </c>
      <c r="X31" s="2232">
        <v>69800</v>
      </c>
      <c r="Y31" s="2232">
        <v>69800</v>
      </c>
      <c r="Z31" s="2232">
        <v>53980</v>
      </c>
      <c r="AA31" s="2232" t="s">
        <v>3575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N44" sqref="N44"/>
    </sheetView>
  </sheetViews>
  <sheetFormatPr defaultColWidth="6.625" defaultRowHeight="12.75"/>
  <cols>
    <col min="1" max="1" width="9.75" style="1729" customWidth="1"/>
    <col min="2" max="2" width="25.75" style="1719" customWidth="1"/>
    <col min="3" max="3" width="15.125" style="1730" customWidth="1"/>
    <col min="4" max="4" width="12" style="1719" customWidth="1"/>
    <col min="5" max="5" width="9.5" style="1729" customWidth="1"/>
    <col min="6" max="6" width="10.125" style="1719" customWidth="1"/>
    <col min="7" max="7" width="11.62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31" s="1651" customFormat="1" ht="20.25">
      <c r="A1" s="1708"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31" s="1651" customFormat="1" ht="18" customHeight="1">
      <c r="A2" s="1706" t="s">
        <v>427</v>
      </c>
      <c r="B2" s="1710">
        <f ca="1">C36</f>
        <v>427355</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34963</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115996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7733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1" t="s">
        <v>1371</v>
      </c>
      <c r="B6" s="2132"/>
      <c r="C6" s="2133">
        <f ca="1">SUM(C10:K10)</f>
        <v>736154</v>
      </c>
      <c r="D6" s="2132"/>
      <c r="E6" s="2132"/>
      <c r="F6" s="2132"/>
      <c r="G6" s="2132"/>
      <c r="H6" s="2132"/>
      <c r="I6" s="2132"/>
      <c r="J6" s="2132"/>
      <c r="K6" s="2134"/>
      <c r="L6" s="2700"/>
      <c r="M6" s="2700"/>
      <c r="N6" s="2700"/>
      <c r="O6" s="2700"/>
      <c r="P6" s="2700"/>
      <c r="Q6" s="2700"/>
      <c r="R6" s="2700"/>
      <c r="S6" s="2700"/>
      <c r="T6" s="2700"/>
      <c r="U6" s="2700"/>
      <c r="V6" s="2700"/>
      <c r="W6" s="2700"/>
      <c r="X6" s="2700"/>
      <c r="Y6" s="2700"/>
      <c r="Z6" s="2700"/>
    </row>
    <row r="7" spans="1:31" s="1718" customFormat="1" ht="15">
      <c r="A7" s="2135" t="s">
        <v>430</v>
      </c>
      <c r="B7" s="2136" t="s">
        <v>431</v>
      </c>
      <c r="C7" s="406" t="s">
        <v>851</v>
      </c>
      <c r="D7" s="406" t="s">
        <v>3325</v>
      </c>
      <c r="E7" s="406" t="s">
        <v>3706</v>
      </c>
      <c r="F7" s="406"/>
      <c r="G7" s="406"/>
      <c r="H7" s="406"/>
      <c r="I7" s="406"/>
      <c r="J7" s="406"/>
      <c r="K7" s="407"/>
      <c r="N7" s="1718">
        <v>32</v>
      </c>
      <c r="AA7" s="1717"/>
      <c r="AB7" s="1717"/>
      <c r="AC7" s="1717"/>
      <c r="AD7" s="1717"/>
      <c r="AE7" s="1717"/>
    </row>
    <row r="8" spans="1:31" s="1720" customFormat="1" ht="13.5" customHeight="1">
      <c r="A8" s="738" t="s">
        <v>1374</v>
      </c>
      <c r="B8" s="241" t="s">
        <v>432</v>
      </c>
      <c r="C8" s="2137">
        <f>'不动产比较法-住宅'!C48</f>
        <v>78036</v>
      </c>
      <c r="D8" s="2137">
        <f>'不动产比较法-车位'!B3</f>
        <v>11945</v>
      </c>
      <c r="E8" s="2137">
        <f ca="1">不动产收益法!B3</f>
        <v>9496</v>
      </c>
      <c r="F8" s="2137"/>
      <c r="G8" s="2137"/>
      <c r="H8" s="2137"/>
      <c r="I8" s="2137"/>
      <c r="J8" s="2137"/>
      <c r="K8" s="2138"/>
      <c r="N8" s="1720" t="str">
        <f>经济指标!B12</f>
        <v>1205-0007</v>
      </c>
      <c r="AA8" s="1719"/>
      <c r="AB8" s="1719"/>
      <c r="AC8" s="1719"/>
      <c r="AD8" s="1719"/>
      <c r="AE8" s="1719"/>
    </row>
    <row r="9" spans="1:31" s="1720"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0" t="e">
        <f>N8*N7</f>
        <v>#VALUE!</v>
      </c>
      <c r="AA9" s="1719"/>
      <c r="AB9" s="1719"/>
      <c r="AC9" s="1719"/>
      <c r="AD9" s="1719"/>
      <c r="AE9" s="1719"/>
    </row>
    <row r="10" spans="1:31" s="1720" customFormat="1" ht="13.5" customHeight="1" thickBot="1">
      <c r="A10" s="2139" t="s">
        <v>1376</v>
      </c>
      <c r="B10" s="2125" t="s">
        <v>434</v>
      </c>
      <c r="C10" s="2312">
        <f>ROUND(C9*C8/10000,0)</f>
        <v>713248</v>
      </c>
      <c r="D10" s="2312">
        <f>ROUND(D9*D8/10000,0)</f>
        <v>21570</v>
      </c>
      <c r="E10" s="2312">
        <f ca="1">不动产收益法!B2</f>
        <v>1336</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700"/>
      <c r="M11" s="2700"/>
      <c r="N11" s="2700"/>
      <c r="O11" s="2700"/>
      <c r="P11" s="2700"/>
      <c r="Q11" s="2700"/>
      <c r="R11" s="2700"/>
      <c r="S11" s="2700"/>
      <c r="T11" s="2700"/>
      <c r="U11" s="2700"/>
      <c r="V11" s="2700"/>
      <c r="W11" s="2700"/>
      <c r="X11" s="2700"/>
      <c r="Y11" s="2700"/>
      <c r="Z11" s="2700"/>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1"/>
      <c r="M12" s="2701"/>
      <c r="N12" s="2701"/>
      <c r="O12" s="2701"/>
      <c r="P12" s="2701"/>
      <c r="Q12" s="2701"/>
      <c r="R12" s="2701"/>
      <c r="S12" s="2701"/>
      <c r="T12" s="2701"/>
      <c r="U12" s="2701"/>
      <c r="V12" s="2701"/>
      <c r="W12" s="2701"/>
      <c r="X12" s="2701"/>
      <c r="Y12" s="2701"/>
      <c r="Z12" s="2701"/>
    </row>
    <row r="13" spans="1:31" s="1721" customFormat="1" ht="13.5" customHeight="1">
      <c r="A13" s="2145" t="s">
        <v>1377</v>
      </c>
      <c r="B13" s="2146" t="s">
        <v>439</v>
      </c>
      <c r="C13" s="419">
        <f ca="1">IF(B1="",'数据-取费表'!P16,INDIRECT("'数据-取费表'!p"&amp;$K$1)+INDIRECT("'数据-取费表'!t"&amp;$K$1))</f>
        <v>73842</v>
      </c>
      <c r="D13" s="2147"/>
      <c r="E13" s="339"/>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5169</v>
      </c>
      <c r="D14" s="2147"/>
      <c r="E14" s="339"/>
      <c r="F14" s="2151">
        <f>'数据-取费表'!B33</f>
        <v>7.0000000000000007E-2</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5941</v>
      </c>
      <c r="D15" s="2147"/>
      <c r="E15" s="339"/>
      <c r="F15" s="2151">
        <f>'数据-取费表'!B34</f>
        <v>0.1</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2445</v>
      </c>
      <c r="D16" s="2147">
        <f ca="1">IF(B1="",'数据-汇总表'!E3,INDIRECT("'数据-取费表'!K"&amp;$K$1)+INDIRECT("'数据-取费表'!S"&amp;$K$1))</f>
        <v>122231.91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1477</v>
      </c>
      <c r="D17" s="444"/>
      <c r="E17" s="2150"/>
      <c r="F17" s="2151">
        <f>'数据-取费表'!B36</f>
        <v>0.02</v>
      </c>
      <c r="G17" s="241" t="s">
        <v>446</v>
      </c>
      <c r="H17" s="1059"/>
      <c r="I17" s="1059"/>
      <c r="J17" s="1059"/>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88874</v>
      </c>
      <c r="D18" s="2155"/>
      <c r="E18" s="437"/>
      <c r="F18" s="437"/>
      <c r="G18" s="1040" t="s">
        <v>1776</v>
      </c>
      <c r="H18" s="1041"/>
      <c r="I18" s="1041"/>
      <c r="J18" s="1041"/>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367</v>
      </c>
      <c r="D19" s="2156">
        <f ca="1">D16</f>
        <v>122231.91</v>
      </c>
      <c r="E19" s="1628">
        <f>'数据-取费表'!B32</f>
        <v>30</v>
      </c>
      <c r="F19" s="437"/>
      <c r="G19" s="2119" t="s">
        <v>449</v>
      </c>
      <c r="H19" s="2120"/>
      <c r="I19" s="1041"/>
      <c r="J19" s="1041"/>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2079</v>
      </c>
      <c r="D20" s="2156"/>
      <c r="E20" s="1628"/>
      <c r="F20" s="2157"/>
      <c r="G20" s="2341"/>
      <c r="H20" s="2117"/>
      <c r="I20" s="2118" t="s">
        <v>1928</v>
      </c>
      <c r="J20" s="1041"/>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1462</v>
      </c>
      <c r="D21" s="2147">
        <f ca="1">IF(B1="",'数据-汇总表'!E5,IF(INDIRECT("'数据-取费表'!c"&amp;$K$1)="住宅",INDIRECT("'数据-取费表'!k"&amp;$K$1),0))</f>
        <v>91399.81</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617</v>
      </c>
      <c r="D22" s="2147">
        <f ca="1">IF(B1="",'数据-汇总表'!E6,IF(INDIRECT("'数据-取费表'!c"&amp;$K$1)="住宅",INDIRECT("'数据-取费表'!s"&amp;$K$1),INDIRECT("'数据-取费表'!k"&amp;$K$1)+INDIRECT("'数据-取费表'!s"&amp;$K$1)))</f>
        <v>30832.100000000006</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6" t="s">
        <v>2104</v>
      </c>
      <c r="C23" s="2154">
        <f ca="1">ROUND((C18+C19+C20)*F23,0)</f>
        <v>1826</v>
      </c>
      <c r="D23" s="437"/>
      <c r="E23" s="437"/>
      <c r="F23" s="2158">
        <f>'数据-取费表'!B37</f>
        <v>0.02</v>
      </c>
      <c r="G23" s="2119" t="s">
        <v>1777</v>
      </c>
      <c r="H23" s="2120"/>
      <c r="I23" s="2120"/>
      <c r="J23" s="2120"/>
      <c r="K23" s="2121"/>
      <c r="L23" s="2702"/>
      <c r="M23" s="2702"/>
      <c r="N23" s="2702"/>
      <c r="O23" s="1722"/>
      <c r="P23" s="1722"/>
      <c r="Q23" s="1722"/>
      <c r="R23" s="1722"/>
      <c r="S23" s="1722"/>
      <c r="T23" s="1722"/>
      <c r="U23" s="1722"/>
      <c r="V23" s="1722"/>
      <c r="W23" s="1722"/>
      <c r="X23" s="1722"/>
      <c r="Y23" s="1722"/>
      <c r="Z23" s="1722"/>
    </row>
    <row r="24" spans="1:26" s="1721" customFormat="1" ht="13.5" customHeight="1">
      <c r="A24" s="2152" t="s">
        <v>1388</v>
      </c>
      <c r="B24" s="2316" t="s">
        <v>2107</v>
      </c>
      <c r="C24" s="2154">
        <f ca="1">ROUND(C6*F24,0)</f>
        <v>22085</v>
      </c>
      <c r="D24" s="444"/>
      <c r="E24" s="442"/>
      <c r="F24" s="2158">
        <f>'数据-取费表'!B38</f>
        <v>0.03</v>
      </c>
      <c r="G24" s="2124" t="s">
        <v>459</v>
      </c>
      <c r="H24" s="1059"/>
      <c r="I24" s="1059"/>
      <c r="J24" s="1059"/>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2" t="s">
        <v>1389</v>
      </c>
      <c r="B25" s="2316" t="s">
        <v>2105</v>
      </c>
      <c r="C25" s="436">
        <f>ROUND(F25/(1+'数据-取费表'!C42),4)</f>
        <v>2.9000000000000001E-2</v>
      </c>
      <c r="D25" s="431" t="s">
        <v>2100</v>
      </c>
      <c r="E25" s="438"/>
      <c r="F25" s="2158">
        <f>IF(项目基本情况!B8="出让",0,'数据-取费表'!B48+'数据-取费表'!B49)</f>
        <v>3.0499999999999999E-2</v>
      </c>
      <c r="G25" s="2123" t="s">
        <v>1644</v>
      </c>
      <c r="H25" s="2120"/>
      <c r="I25" s="2120"/>
      <c r="J25" s="2120"/>
      <c r="K25" s="2121"/>
      <c r="L25" s="2703"/>
      <c r="M25" s="2703"/>
      <c r="N25" s="2703"/>
      <c r="O25" s="2703"/>
      <c r="P25" s="2703"/>
      <c r="Q25" s="2703"/>
      <c r="R25" s="2703"/>
      <c r="S25" s="2703"/>
      <c r="T25" s="2703"/>
      <c r="U25" s="2703"/>
      <c r="V25" s="2703"/>
      <c r="W25" s="2703"/>
      <c r="X25" s="2703"/>
      <c r="Y25" s="2703"/>
      <c r="Z25" s="2703"/>
    </row>
    <row r="26" spans="1:26" s="1723" customFormat="1" ht="13.5" customHeight="1">
      <c r="A26" s="2152" t="s">
        <v>1390</v>
      </c>
      <c r="B26" s="2317" t="s">
        <v>2106</v>
      </c>
      <c r="C26" s="2159">
        <f ca="1">C28</f>
        <v>5400</v>
      </c>
      <c r="D26" s="436">
        <f ca="1">C27</f>
        <v>9.8699999999999996E-2</v>
      </c>
      <c r="E26" s="438" t="s">
        <v>455</v>
      </c>
      <c r="F26" s="440">
        <f ca="1">'数据-取费表'!B40</f>
        <v>3.1E-2</v>
      </c>
      <c r="G26" s="2042" t="str">
        <f>IF('数据-取费表'!B22&lt;=1,"单利计息。","复利计息。")&amp;"后续开发成本、管理费用及销售费用产生的利息。"</f>
        <v>复利计息。后续开发成本、管理费用及销售费用产生的利息。</v>
      </c>
      <c r="H26" s="1041"/>
      <c r="I26" s="1041"/>
      <c r="J26" s="1041"/>
      <c r="K26" s="130"/>
      <c r="L26" s="2702"/>
      <c r="M26" s="2702"/>
      <c r="N26" s="2702"/>
      <c r="O26" s="2702"/>
      <c r="P26" s="2702"/>
      <c r="Q26" s="2702"/>
      <c r="R26" s="2702"/>
      <c r="S26" s="2702"/>
      <c r="T26" s="2702"/>
      <c r="U26" s="2702"/>
      <c r="V26" s="2702"/>
      <c r="W26" s="2702"/>
      <c r="X26" s="2702"/>
      <c r="Y26" s="2702"/>
      <c r="Z26" s="2702"/>
    </row>
    <row r="27" spans="1:26" s="1725" customFormat="1" ht="13.5" customHeight="1">
      <c r="A27" s="738" t="s">
        <v>1385</v>
      </c>
      <c r="B27" s="2160" t="s">
        <v>456</v>
      </c>
      <c r="C27" s="2161">
        <f ca="1">ROUND(IF('数据-取费表'!B22&lt;=1,(1+C25)*F26*'数据-取费表'!B24,(1+C25)*(POWER((1+F26),'数据-取费表'!B24)-1)),4)</f>
        <v>9.8699999999999996E-2</v>
      </c>
      <c r="D27" s="441"/>
      <c r="E27" s="442"/>
      <c r="F27" s="443"/>
      <c r="G27" s="2042" t="str">
        <f>IF('数据-取费表'!B22&lt;=1,"（1+取得税费率/(1+5%)）×年利率×建设期","（1+取得税费率）/(1+5%)×((1+年利率)^建设期-1)")</f>
        <v>（1+取得税费率）/(1+5%)×((1+年利率)^建设期-1)</v>
      </c>
      <c r="H27" s="1059"/>
      <c r="I27" s="1059"/>
      <c r="J27" s="1059"/>
      <c r="K27" s="258"/>
      <c r="L27" s="2704"/>
      <c r="M27" s="2704"/>
      <c r="N27" s="2704"/>
      <c r="O27" s="2704"/>
      <c r="P27" s="2704"/>
      <c r="Q27" s="2704"/>
      <c r="R27" s="2704"/>
      <c r="S27" s="2704"/>
      <c r="T27" s="2704"/>
      <c r="U27" s="2704"/>
      <c r="V27" s="2704"/>
      <c r="W27" s="2704"/>
      <c r="X27" s="2704"/>
      <c r="Y27" s="2704"/>
      <c r="Z27" s="2704"/>
    </row>
    <row r="28" spans="1:26" s="1725" customFormat="1" ht="13.5" customHeight="1">
      <c r="A28" s="738" t="s">
        <v>1386</v>
      </c>
      <c r="B28" s="2160" t="s">
        <v>2108</v>
      </c>
      <c r="C28" s="2162">
        <f ca="1">ROUND(IF('数据-取费表'!B22&lt;=1,(C18+C19+C20+C23+C24)*F26*'数据-取费表'!B24/2,(C18+C19+C20+C23+C24)*(POWER((1+F26),'数据-取费表'!B24/2)-1)),0)</f>
        <v>5400</v>
      </c>
      <c r="D28" s="441"/>
      <c r="E28" s="442"/>
      <c r="F28" s="443"/>
      <c r="G28" s="2042" t="str">
        <f>IF('数据-取费表'!B22&lt;=1,"（1）-（4）项×年利率×建设期÷2","（1）-（4）项×((1+年利率)^(建设期÷2)-1)")</f>
        <v>（1）-（4）项×((1+年利率)^(建设期÷2)-1)</v>
      </c>
      <c r="H28" s="1059"/>
      <c r="I28" s="1059"/>
      <c r="J28" s="1059"/>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3" t="s">
        <v>1391</v>
      </c>
      <c r="B29" s="2153" t="s">
        <v>457</v>
      </c>
      <c r="C29" s="2154">
        <f ca="1">ROUND(C6*F29/(1+'数据-取费表'!C42),0)</f>
        <v>39262</v>
      </c>
      <c r="D29" s="437"/>
      <c r="E29" s="437"/>
      <c r="F29" s="2318">
        <f>'数据-取费表'!B41</f>
        <v>5.6000000000000001E-2</v>
      </c>
      <c r="G29" s="2124" t="s">
        <v>458</v>
      </c>
      <c r="H29" s="2120"/>
      <c r="I29" s="2120"/>
      <c r="J29" s="2120"/>
      <c r="K29" s="2121"/>
      <c r="L29" s="2704"/>
      <c r="M29" s="2704"/>
      <c r="N29" s="2704"/>
      <c r="O29" s="2704"/>
      <c r="P29" s="2704"/>
      <c r="Q29" s="2704"/>
      <c r="R29" s="2704"/>
      <c r="S29" s="2704"/>
      <c r="T29" s="2704"/>
      <c r="U29" s="2704"/>
      <c r="V29" s="2704"/>
      <c r="W29" s="2704"/>
      <c r="X29" s="2704"/>
      <c r="Y29" s="2704"/>
      <c r="Z29" s="2704"/>
    </row>
    <row r="30" spans="1:26" s="1726" customFormat="1" ht="13.5" customHeight="1">
      <c r="A30" s="1355" t="s">
        <v>1392</v>
      </c>
      <c r="B30" s="2164" t="s">
        <v>460</v>
      </c>
      <c r="C30" s="2159">
        <f ca="1">C31</f>
        <v>159893</v>
      </c>
      <c r="D30" s="446">
        <f ca="1">C32</f>
        <v>0.12770000000000001</v>
      </c>
      <c r="E30" s="438" t="s">
        <v>455</v>
      </c>
      <c r="F30" s="440"/>
      <c r="G30" s="2123" t="s">
        <v>2212</v>
      </c>
      <c r="H30" s="2120"/>
      <c r="I30" s="2120"/>
      <c r="J30" s="2120"/>
      <c r="K30" s="2121"/>
      <c r="L30" s="2705"/>
      <c r="M30" s="2705"/>
      <c r="N30" s="2705"/>
      <c r="O30" s="2705"/>
      <c r="P30" s="2705"/>
      <c r="Q30" s="2705"/>
      <c r="R30" s="2705"/>
      <c r="S30" s="2705"/>
      <c r="T30" s="2705"/>
      <c r="U30" s="2705"/>
      <c r="V30" s="2705"/>
      <c r="W30" s="2705"/>
      <c r="X30" s="2705"/>
      <c r="Y30" s="2705"/>
      <c r="Z30" s="2705"/>
    </row>
    <row r="31" spans="1:26" s="1725" customFormat="1" ht="13.5" customHeight="1">
      <c r="A31" s="738" t="s">
        <v>1385</v>
      </c>
      <c r="B31" s="2160"/>
      <c r="C31" s="419">
        <f ca="1">C18+C19+C20+C23+C24+C26+C29</f>
        <v>159893</v>
      </c>
      <c r="D31" s="441"/>
      <c r="E31" s="442"/>
      <c r="F31" s="443"/>
      <c r="G31" s="241"/>
      <c r="H31" s="1059"/>
      <c r="I31" s="1059"/>
      <c r="J31" s="1059"/>
      <c r="K31" s="258"/>
      <c r="L31" s="2704"/>
      <c r="M31" s="2704"/>
      <c r="N31" s="2704"/>
      <c r="O31" s="2704"/>
      <c r="P31" s="2704"/>
      <c r="Q31" s="2704"/>
      <c r="R31" s="2704"/>
      <c r="S31" s="2704"/>
      <c r="T31" s="2704"/>
      <c r="U31" s="2704"/>
      <c r="V31" s="2704"/>
      <c r="W31" s="2704"/>
      <c r="X31" s="2704"/>
      <c r="Y31" s="2704"/>
      <c r="Z31" s="2704"/>
    </row>
    <row r="32" spans="1:26" s="1725" customFormat="1" ht="13.5" customHeight="1">
      <c r="A32" s="738" t="s">
        <v>1386</v>
      </c>
      <c r="B32" s="2160"/>
      <c r="C32" s="49">
        <f ca="1">ROUND(C25+D26,4)</f>
        <v>0.12770000000000001</v>
      </c>
      <c r="D32" s="441"/>
      <c r="E32" s="442"/>
      <c r="F32" s="443"/>
      <c r="G32" s="241"/>
      <c r="H32" s="1059"/>
      <c r="I32" s="1059"/>
      <c r="J32" s="1059"/>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5" t="s">
        <v>2103</v>
      </c>
      <c r="B33" s="2313" t="s">
        <v>2101</v>
      </c>
      <c r="C33" s="447">
        <f ca="1">C35</f>
        <v>19589</v>
      </c>
      <c r="D33" s="436">
        <f ca="1">C34</f>
        <v>0.1749</v>
      </c>
      <c r="E33" s="438" t="s">
        <v>455</v>
      </c>
      <c r="F33" s="448">
        <f ca="1">IF(B1="",'数据-取费表'!Q16,INDIRECT("'数据-取费表'!q"&amp;$K$1))</f>
        <v>0.17</v>
      </c>
      <c r="G33" s="1040"/>
      <c r="H33" s="1041"/>
      <c r="I33" s="1041"/>
      <c r="J33" s="1041"/>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5" t="s">
        <v>461</v>
      </c>
      <c r="C34" s="441">
        <f ca="1">ROUND((1+C25)*F33,4)</f>
        <v>0.1749</v>
      </c>
      <c r="D34" s="441"/>
      <c r="E34" s="442"/>
      <c r="F34" s="449"/>
      <c r="G34" s="241" t="s">
        <v>1645</v>
      </c>
      <c r="H34" s="1059"/>
      <c r="I34" s="1059"/>
      <c r="J34" s="1059"/>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6" t="s">
        <v>1386</v>
      </c>
      <c r="B35" s="2314" t="s">
        <v>2109</v>
      </c>
      <c r="C35" s="1348">
        <f ca="1">ROUND((C18+C19+C20+C23+C24)*F33,0)</f>
        <v>19589</v>
      </c>
      <c r="D35" s="1349"/>
      <c r="E35" s="2166"/>
      <c r="F35" s="1350"/>
      <c r="G35" s="2125"/>
      <c r="H35" s="2126"/>
      <c r="I35" s="2126"/>
      <c r="J35" s="2126"/>
      <c r="K35" s="2127"/>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9"/>
      <c r="C36" s="2167">
        <f ca="1">ROUND((C6-C30-C33)/(1+D30+D33),0)</f>
        <v>427355</v>
      </c>
      <c r="D36" s="2129"/>
      <c r="E36" s="2129"/>
      <c r="F36" s="2129"/>
      <c r="G36" s="2128" t="s">
        <v>2110</v>
      </c>
      <c r="H36" s="2129"/>
      <c r="I36" s="2129"/>
      <c r="J36" s="2129"/>
      <c r="K36" s="2130"/>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9" customWidth="1"/>
    <col min="2" max="2" width="25.75" style="1719" customWidth="1"/>
    <col min="3" max="3" width="11.5" style="1730" customWidth="1"/>
    <col min="4" max="4" width="12" style="1719" customWidth="1"/>
    <col min="5" max="5" width="9.5" style="1729" customWidth="1"/>
    <col min="6" max="6" width="10.125" style="1719" customWidth="1"/>
    <col min="7" max="7" width="9.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41" s="1651" customFormat="1" ht="20.25">
      <c r="A1" s="391"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41" s="1651" customFormat="1" ht="18" customHeight="1">
      <c r="A2" s="393" t="s">
        <v>427</v>
      </c>
      <c r="B2" s="394">
        <f ca="1">C27</f>
        <v>0</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8" t="s">
        <v>1217</v>
      </c>
      <c r="B3" s="395">
        <f ca="1">ROUND(B2*10000/IF(B1="",'数据-汇总表'!E3,INDIRECT("'数据-取费表'!K"&amp;$K$1)),0)</f>
        <v>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0</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1929</v>
      </c>
      <c r="B6" s="403"/>
      <c r="C6" s="1343">
        <f>SUM(C10:K10)</f>
        <v>0</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5">
      <c r="A7" s="404" t="s">
        <v>430</v>
      </c>
      <c r="B7" s="405" t="s">
        <v>431</v>
      </c>
      <c r="C7" s="2810"/>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8" t="s">
        <v>432</v>
      </c>
      <c r="C8" s="409"/>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3" t="s">
        <v>1377</v>
      </c>
      <c r="B13" s="418" t="s">
        <v>439</v>
      </c>
      <c r="C13" s="419">
        <f ca="1">IF(B1="",'数据-取费表'!M16,INDIRECT("'数据-取费表'!M"&amp;$K$1)+INDIRECT("'数据-取费表'!t"&amp;$K$1))</f>
        <v>73842</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8" t="s">
        <v>440</v>
      </c>
      <c r="C14" s="49">
        <f ca="1">ROUND(C13*F14,0)</f>
        <v>5169</v>
      </c>
      <c r="D14" s="420"/>
      <c r="E14" s="339"/>
      <c r="F14" s="425">
        <f>'数据-取费表'!B33</f>
        <v>7.0000000000000007E-2</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8" t="s">
        <v>442</v>
      </c>
      <c r="C15" s="49">
        <f ca="1">ROUND(IF(B1="",SUMIF('数据-取费表'!C:C,"住宅",'数据-取费表'!M:M)*F15,IF(INDIRECT("'数据-取费表'!c"&amp;$K$1)="住宅",INDIRECT("'数据-取费表'!M"&amp;$K$1)*F15,0)),0)</f>
        <v>5941</v>
      </c>
      <c r="D15" s="420"/>
      <c r="E15" s="339"/>
      <c r="F15" s="425">
        <f>'数据-取费表'!B34</f>
        <v>0.1</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8" t="s">
        <v>445</v>
      </c>
      <c r="C17" s="423">
        <f ca="1">ROUND(C13*F17,0)</f>
        <v>1477</v>
      </c>
      <c r="D17" s="424"/>
      <c r="E17" s="423"/>
      <c r="F17" s="425">
        <f>'数据-取费表'!B36</f>
        <v>0.02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8" t="s">
        <v>447</v>
      </c>
      <c r="C18" s="429">
        <f ca="1">SUM(C13:C17)</f>
        <v>88874</v>
      </c>
      <c r="D18" s="430"/>
      <c r="E18" s="431"/>
      <c r="F18" s="431"/>
      <c r="G18" s="1128" t="s">
        <v>1778</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4" t="s">
        <v>1383</v>
      </c>
      <c r="B19" s="428" t="s">
        <v>453</v>
      </c>
      <c r="C19" s="429">
        <f ca="1">ROUND(C18*F19,0)</f>
        <v>1777</v>
      </c>
      <c r="D19" s="430"/>
      <c r="E19" s="431"/>
      <c r="F19" s="435">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4" t="s">
        <v>1384</v>
      </c>
      <c r="B20" s="430" t="s">
        <v>454</v>
      </c>
      <c r="C20" s="439">
        <f ca="1">ROUND(IF('数据-取费表'!B22&lt;=1,(C18+C19)*F20*'数据-取费表'!B20/2,(C18+C19)*(POWER((1+F20),'数据-取费表'!B20/2)-1)),0)</f>
        <v>4248</v>
      </c>
      <c r="D20" s="431">
        <f ca="1">ROUND(((1+F20)^'数据-取费表'!B20)-1,4)</f>
        <v>9.5899999999999999E-2</v>
      </c>
      <c r="E20" s="431"/>
      <c r="F20" s="440">
        <f ca="1">'数据-取费表'!B40</f>
        <v>3.1E-2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1795</v>
      </c>
      <c r="M20" s="2712"/>
      <c r="N20" s="2712"/>
      <c r="O20" s="2712"/>
      <c r="P20" s="2712"/>
      <c r="Q20" s="2705"/>
      <c r="R20" s="2705"/>
      <c r="S20" s="2705"/>
      <c r="T20" s="2705"/>
      <c r="U20" s="2705"/>
      <c r="V20" s="2705"/>
      <c r="W20" s="2705"/>
      <c r="X20" s="2705"/>
      <c r="Y20" s="2705"/>
      <c r="Z20" s="2705"/>
    </row>
    <row r="21" spans="1:26" s="1725" customFormat="1" ht="13.5" customHeight="1">
      <c r="A21" s="1354" t="s">
        <v>2277</v>
      </c>
      <c r="B21" s="2313" t="s">
        <v>2102</v>
      </c>
      <c r="C21" s="447">
        <f ca="1">ROUND((C18+C19)*F21,0)</f>
        <v>15411</v>
      </c>
      <c r="D21" s="2782"/>
      <c r="E21" s="431"/>
      <c r="F21" s="448">
        <f ca="1">IF(B1="",'数据-取费表'!Q16,INDIRECT("'数据-取费表'!q"&amp;$K$1))</f>
        <v>0.17</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4" t="s">
        <v>1388</v>
      </c>
      <c r="B22" s="445" t="s">
        <v>464</v>
      </c>
      <c r="C22" s="450"/>
      <c r="D22" s="450"/>
      <c r="E22" s="451"/>
      <c r="F22" s="2784">
        <f ca="1">IF(B1="",'数据-取费表'!N16,INDIRECT("'数据-取费表'!N"&amp;$K$1))</f>
        <v>0</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5" t="s">
        <v>1389</v>
      </c>
      <c r="B23" s="2786" t="s">
        <v>2278</v>
      </c>
      <c r="C23" s="2787">
        <f ca="1">ROUND((C18+C19+C20+C21)*F22,0)</f>
        <v>0</v>
      </c>
      <c r="D23" s="2788"/>
      <c r="E23" s="2789"/>
      <c r="F23" s="452"/>
      <c r="G23" s="405"/>
      <c r="H23" s="2790"/>
      <c r="I23" s="2790"/>
      <c r="J23" s="2790"/>
      <c r="K23" s="2791"/>
      <c r="L23" s="2705"/>
      <c r="M23" s="2705"/>
      <c r="N23" s="2705"/>
      <c r="O23" s="2705"/>
      <c r="P23" s="2705"/>
      <c r="Q23" s="2705"/>
      <c r="R23" s="2705"/>
      <c r="S23" s="2705"/>
      <c r="T23" s="2705"/>
      <c r="U23" s="2705"/>
      <c r="V23" s="2705"/>
      <c r="W23" s="2705"/>
      <c r="X23" s="2705"/>
      <c r="Y23" s="2705"/>
      <c r="Z23" s="2705"/>
    </row>
    <row r="24" spans="1:26" s="1726" customFormat="1" ht="13.5" customHeight="1" thickBot="1">
      <c r="A24" s="3725" t="s">
        <v>1394</v>
      </c>
      <c r="B24" s="3726"/>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6" customFormat="1" ht="13.5" customHeight="1" thickBot="1">
      <c r="A25" s="3725" t="s">
        <v>2275</v>
      </c>
      <c r="B25" s="3726"/>
      <c r="C25" s="2792">
        <f>ROUND(C6*F25,0)</f>
        <v>0</v>
      </c>
      <c r="D25" s="2793"/>
      <c r="E25" s="2794"/>
      <c r="F25" s="2798">
        <f>'数据-取费表'!B38</f>
        <v>0.03</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1" customFormat="1" ht="13.5" customHeight="1" thickBot="1">
      <c r="A26" s="3725" t="s">
        <v>2276</v>
      </c>
      <c r="B26" s="3726"/>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27" t="s">
        <v>2274</v>
      </c>
      <c r="B27" s="3728"/>
      <c r="C27" s="2800">
        <f ca="1">(C6-C23-C24-C25)/((1+F26)*(1+D20+F21))</f>
        <v>0</v>
      </c>
      <c r="D27" s="2801"/>
      <c r="E27" s="2801"/>
      <c r="F27" s="2801"/>
      <c r="G27" s="2802" t="s">
        <v>2213</v>
      </c>
      <c r="H27" s="2801"/>
      <c r="I27" s="2801"/>
      <c r="J27" s="2801"/>
      <c r="K27" s="2803"/>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9" t="s">
        <v>1218</v>
      </c>
      <c r="B3" s="461"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9" customFormat="1" ht="28.5" customHeight="1">
      <c r="A4" s="462"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5">
      <c r="A6" s="463" t="s">
        <v>470</v>
      </c>
      <c r="B6" s="464"/>
      <c r="C6" s="3708" t="s">
        <v>471</v>
      </c>
      <c r="D6" s="3709"/>
      <c r="E6" s="3734" t="s">
        <v>472</v>
      </c>
      <c r="F6" s="3735"/>
      <c r="G6" s="3708" t="s">
        <v>473</v>
      </c>
      <c r="H6" s="3709"/>
      <c r="I6" s="3708" t="s">
        <v>474</v>
      </c>
      <c r="J6" s="3709"/>
      <c r="K6" s="465" t="s">
        <v>475</v>
      </c>
      <c r="L6" s="1738"/>
      <c r="M6" s="1739"/>
      <c r="N6" s="1739"/>
      <c r="O6" s="1739"/>
      <c r="P6" s="3710" t="s">
        <v>476</v>
      </c>
      <c r="Q6" s="3711"/>
      <c r="R6" s="3694" t="s">
        <v>472</v>
      </c>
      <c r="S6" s="3695"/>
      <c r="T6" s="3694" t="s">
        <v>473</v>
      </c>
      <c r="U6" s="3695"/>
      <c r="V6" s="3716" t="s">
        <v>474</v>
      </c>
      <c r="W6" s="3716"/>
      <c r="X6" s="1300"/>
      <c r="Y6" s="3694" t="s">
        <v>476</v>
      </c>
      <c r="Z6" s="3695"/>
      <c r="AA6" s="3689" t="s">
        <v>472</v>
      </c>
      <c r="AB6" s="3690" t="s">
        <v>473</v>
      </c>
      <c r="AC6" s="3689" t="s">
        <v>474</v>
      </c>
    </row>
    <row r="7" spans="1:29" ht="15">
      <c r="A7" s="466"/>
      <c r="B7" s="467"/>
      <c r="C7" s="3719" t="s">
        <v>2174</v>
      </c>
      <c r="D7" s="3720"/>
      <c r="E7" s="3736" t="s">
        <v>2175</v>
      </c>
      <c r="F7" s="3737"/>
      <c r="G7" s="3719" t="s">
        <v>2176</v>
      </c>
      <c r="H7" s="3720"/>
      <c r="I7" s="3719" t="s">
        <v>2177</v>
      </c>
      <c r="J7" s="3720"/>
      <c r="K7" s="465"/>
      <c r="L7" s="1738"/>
      <c r="M7" s="1739"/>
      <c r="N7" s="1739"/>
      <c r="O7" s="1739"/>
      <c r="P7" s="3712"/>
      <c r="Q7" s="3713"/>
      <c r="R7" s="3696"/>
      <c r="S7" s="3697"/>
      <c r="T7" s="3696"/>
      <c r="U7" s="3697"/>
      <c r="V7" s="3716"/>
      <c r="W7" s="3716"/>
      <c r="X7" s="1300"/>
      <c r="Y7" s="3696"/>
      <c r="Z7" s="3697"/>
      <c r="AA7" s="3690"/>
      <c r="AB7" s="3690"/>
      <c r="AC7" s="3690"/>
    </row>
    <row r="8" spans="1:29" ht="15.75" thickBot="1">
      <c r="A8" s="468"/>
      <c r="B8" s="469"/>
      <c r="C8" s="3717" t="s">
        <v>2178</v>
      </c>
      <c r="D8" s="3718"/>
      <c r="E8" s="3738" t="s">
        <v>2178</v>
      </c>
      <c r="F8" s="3739"/>
      <c r="G8" s="3717" t="s">
        <v>2178</v>
      </c>
      <c r="H8" s="3718"/>
      <c r="I8" s="3717" t="s">
        <v>2178</v>
      </c>
      <c r="J8" s="3718"/>
      <c r="K8" s="465" t="s">
        <v>477</v>
      </c>
      <c r="L8" s="1738"/>
      <c r="M8" s="1739"/>
      <c r="N8" s="1739"/>
      <c r="O8" s="1739"/>
      <c r="P8" s="3714"/>
      <c r="Q8" s="3715"/>
      <c r="R8" s="3696"/>
      <c r="S8" s="3697"/>
      <c r="T8" s="3698"/>
      <c r="U8" s="3699"/>
      <c r="V8" s="3716"/>
      <c r="W8" s="3716"/>
      <c r="X8" s="1300"/>
      <c r="Y8" s="3698"/>
      <c r="Z8" s="3699"/>
      <c r="AA8" s="3691"/>
      <c r="AB8" s="3691"/>
      <c r="AC8" s="3691"/>
    </row>
    <row r="9" spans="1:29" s="1058" customFormat="1" ht="15.75" thickBot="1">
      <c r="A9" s="2206"/>
      <c r="B9" s="2213" t="s">
        <v>478</v>
      </c>
      <c r="C9" s="470">
        <f>'数据-取费表'!B2</f>
        <v>45789</v>
      </c>
      <c r="D9" s="471">
        <v>100</v>
      </c>
      <c r="E9" s="472"/>
      <c r="F9" s="473">
        <f>SUMIF(66:66,YEAR(E9)&amp;"-"&amp;INT((MONTH(E9)+2)/3),67:67)</f>
        <v>0</v>
      </c>
      <c r="G9" s="474"/>
      <c r="H9" s="471">
        <f>SUMIF(66:66,YEAR(G9)&amp;"-"&amp;INT((MONTH(G9)+2)/3),67:67)</f>
        <v>0</v>
      </c>
      <c r="I9" s="474"/>
      <c r="J9" s="471">
        <f>SUMIF(66:66,YEAR(I9)&amp;"-"&amp;INT((MONTH(I9)+2)/3),67:67)</f>
        <v>0</v>
      </c>
      <c r="K9" s="88"/>
      <c r="L9" s="1740"/>
      <c r="M9" s="1637"/>
      <c r="N9" s="1637"/>
      <c r="O9" s="1637"/>
      <c r="P9" s="3692" t="s">
        <v>479</v>
      </c>
      <c r="Q9" s="3701"/>
      <c r="R9" s="1301" t="s">
        <v>5</v>
      </c>
      <c r="S9" s="1302">
        <f t="shared" ref="S9:S17" si="0">F9</f>
        <v>0</v>
      </c>
      <c r="T9" s="1301" t="s">
        <v>5</v>
      </c>
      <c r="U9" s="1302">
        <f t="shared" ref="U9:U17" si="1">H9</f>
        <v>0</v>
      </c>
      <c r="V9" s="1301" t="s">
        <v>5</v>
      </c>
      <c r="W9" s="1302">
        <f t="shared" ref="W9:W17" si="2">J9</f>
        <v>0</v>
      </c>
      <c r="X9" s="1303"/>
      <c r="Y9" s="3692" t="s">
        <v>479</v>
      </c>
      <c r="Z9" s="3693"/>
      <c r="AA9" s="995" t="e">
        <f>D9/F9</f>
        <v>#DIV/0!</v>
      </c>
      <c r="AB9" s="995" t="e">
        <f>D9/H9</f>
        <v>#DIV/0!</v>
      </c>
      <c r="AC9" s="995" t="e">
        <f>D9/J9</f>
        <v>#DIV/0!</v>
      </c>
    </row>
    <row r="10" spans="1:29" s="1058" customFormat="1" ht="15.75" thickBot="1">
      <c r="A10" s="2207"/>
      <c r="B10" s="2214"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0"/>
      <c r="M10" s="1637"/>
      <c r="N10" s="1637"/>
      <c r="O10" s="1637"/>
      <c r="P10" s="3692" t="s">
        <v>482</v>
      </c>
      <c r="Q10" s="3693"/>
      <c r="R10" s="1301" t="s">
        <v>5</v>
      </c>
      <c r="S10" s="1302">
        <f t="shared" si="0"/>
        <v>0</v>
      </c>
      <c r="T10" s="1301" t="s">
        <v>5</v>
      </c>
      <c r="U10" s="1302">
        <f t="shared" si="1"/>
        <v>0</v>
      </c>
      <c r="V10" s="1301" t="s">
        <v>5</v>
      </c>
      <c r="W10" s="1302">
        <f t="shared" si="2"/>
        <v>0</v>
      </c>
      <c r="X10" s="1303"/>
      <c r="Y10" s="3692" t="s">
        <v>482</v>
      </c>
      <c r="Z10" s="3693"/>
      <c r="AA10" s="995" t="e">
        <f t="shared" ref="AA10:AA42" si="3">D10/F10</f>
        <v>#DIV/0!</v>
      </c>
      <c r="AB10" s="995" t="e">
        <f t="shared" ref="AB10:AB42" si="4">D10/H10</f>
        <v>#DIV/0!</v>
      </c>
      <c r="AC10" s="995" t="e">
        <f t="shared" ref="AC10:AC42" si="5">D10/J10</f>
        <v>#DIV/0!</v>
      </c>
    </row>
    <row r="11" spans="1:29" s="1058" customFormat="1" ht="15">
      <c r="A11" s="2208"/>
      <c r="B11" s="2215" t="s">
        <v>2033</v>
      </c>
      <c r="C11" s="476"/>
      <c r="D11" s="154">
        <v>100</v>
      </c>
      <c r="E11" s="476"/>
      <c r="F11" s="154">
        <f>SUMIF(71:71,E11,72:72)-SUMIF(71:71,C11,72:72)+100</f>
        <v>100</v>
      </c>
      <c r="G11" s="476"/>
      <c r="H11" s="154">
        <f>SUMIF(71:71,G11,72:72)-SUMIF(71:71,C11,72:72)+100</f>
        <v>100</v>
      </c>
      <c r="I11" s="476"/>
      <c r="J11" s="154">
        <f>SUMIF(71:71,I11,72:72)-SUMIF(71:71,C11,72:72)+100</f>
        <v>100</v>
      </c>
      <c r="K11" s="88"/>
      <c r="L11" s="1740"/>
      <c r="M11" s="1637"/>
      <c r="N11" s="1637"/>
      <c r="O11" s="1741"/>
      <c r="P11" s="3700" t="s">
        <v>484</v>
      </c>
      <c r="Q11" s="817" t="str">
        <f t="shared" ref="Q11:Q17" si="6">B11</f>
        <v>用途</v>
      </c>
      <c r="R11" s="1301" t="s">
        <v>5</v>
      </c>
      <c r="S11" s="1302">
        <f t="shared" si="0"/>
        <v>100</v>
      </c>
      <c r="T11" s="1301" t="s">
        <v>5</v>
      </c>
      <c r="U11" s="1302">
        <f t="shared" si="1"/>
        <v>100</v>
      </c>
      <c r="V11" s="1301" t="s">
        <v>5</v>
      </c>
      <c r="W11" s="1302">
        <f t="shared" si="2"/>
        <v>100</v>
      </c>
      <c r="X11" s="1303"/>
      <c r="Y11" s="3652" t="s">
        <v>485</v>
      </c>
      <c r="Z11" s="995" t="str">
        <f t="shared" ref="Z11:Z17" si="7">Q11</f>
        <v>用途</v>
      </c>
      <c r="AA11" s="995">
        <f t="shared" si="3"/>
        <v>1</v>
      </c>
      <c r="AB11" s="995">
        <f t="shared" si="4"/>
        <v>1</v>
      </c>
      <c r="AC11" s="995">
        <f t="shared" si="5"/>
        <v>1</v>
      </c>
    </row>
    <row r="12" spans="1:29" s="1131" customFormat="1" ht="27">
      <c r="A12" s="2209"/>
      <c r="B12" s="2214" t="s">
        <v>2034</v>
      </c>
      <c r="C12" s="478"/>
      <c r="D12" s="235">
        <v>100</v>
      </c>
      <c r="E12" s="478"/>
      <c r="F12" s="235">
        <f>ROUND(100/'数据-取费表'!G16,0)</f>
        <v>100</v>
      </c>
      <c r="G12" s="478"/>
      <c r="H12" s="235">
        <f>ROUND(100/'数据-取费表'!G16,0)</f>
        <v>100</v>
      </c>
      <c r="I12" s="478"/>
      <c r="J12" s="235">
        <f>ROUND(100/'数据-取费表'!G16,0)</f>
        <v>100</v>
      </c>
      <c r="K12" s="481"/>
      <c r="L12" s="1742"/>
      <c r="M12" s="1775"/>
      <c r="N12" s="1775"/>
      <c r="O12" s="1743"/>
      <c r="P12" s="3700"/>
      <c r="Q12" s="817" t="str">
        <f t="shared" si="6"/>
        <v>土地使用年限（年）</v>
      </c>
      <c r="R12" s="1301" t="s">
        <v>5</v>
      </c>
      <c r="S12" s="1302">
        <f t="shared" si="0"/>
        <v>100</v>
      </c>
      <c r="T12" s="1301" t="s">
        <v>5</v>
      </c>
      <c r="U12" s="1302">
        <f t="shared" si="1"/>
        <v>100</v>
      </c>
      <c r="V12" s="1301" t="s">
        <v>5</v>
      </c>
      <c r="W12" s="1302">
        <f t="shared" si="2"/>
        <v>100</v>
      </c>
      <c r="X12" s="1303"/>
      <c r="Y12" s="3652"/>
      <c r="Z12" s="995" t="str">
        <f t="shared" si="7"/>
        <v>土地使用年限（年）</v>
      </c>
      <c r="AA12" s="995">
        <f t="shared" si="3"/>
        <v>1</v>
      </c>
      <c r="AB12" s="995">
        <f t="shared" si="4"/>
        <v>1</v>
      </c>
      <c r="AC12" s="995">
        <f t="shared" si="5"/>
        <v>1</v>
      </c>
    </row>
    <row r="13" spans="1:29" ht="15">
      <c r="A13" s="2210"/>
      <c r="B13" s="2214"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4"/>
      <c r="M13" s="1739"/>
      <c r="N13" s="1739"/>
      <c r="O13" s="1745"/>
      <c r="P13" s="3700"/>
      <c r="Q13" s="817" t="str">
        <f t="shared" si="6"/>
        <v>容积率</v>
      </c>
      <c r="R13" s="1301" t="s">
        <v>5</v>
      </c>
      <c r="S13" s="1302" t="e">
        <f t="shared" si="0"/>
        <v>#N/A</v>
      </c>
      <c r="T13" s="1301" t="s">
        <v>5</v>
      </c>
      <c r="U13" s="1302" t="e">
        <f t="shared" si="1"/>
        <v>#N/A</v>
      </c>
      <c r="V13" s="1301" t="s">
        <v>5</v>
      </c>
      <c r="W13" s="1302" t="e">
        <f t="shared" si="2"/>
        <v>#N/A</v>
      </c>
      <c r="X13" s="1303"/>
      <c r="Y13" s="3652"/>
      <c r="Z13" s="995" t="str">
        <f t="shared" si="7"/>
        <v>容积率</v>
      </c>
      <c r="AA13" s="995" t="e">
        <f t="shared" si="3"/>
        <v>#N/A</v>
      </c>
      <c r="AB13" s="995" t="e">
        <f t="shared" si="4"/>
        <v>#N/A</v>
      </c>
      <c r="AC13" s="995" t="e">
        <f t="shared" si="5"/>
        <v>#N/A</v>
      </c>
    </row>
    <row r="14" spans="1:29" s="1058" customFormat="1" ht="15">
      <c r="A14" s="2211"/>
      <c r="B14" s="2217">
        <v>111</v>
      </c>
      <c r="C14" s="478"/>
      <c r="D14" s="488">
        <v>100</v>
      </c>
      <c r="E14" s="491"/>
      <c r="F14" s="235">
        <f>SUMIF(78:78,E14,79:79)-SUMIF(78:78,C14,79:79)+100</f>
        <v>100</v>
      </c>
      <c r="G14" s="492"/>
      <c r="H14" s="235">
        <f>SUMIF(78:78,G14,79:79)-SUMIF(78:78,C14,79:79)+100</f>
        <v>100</v>
      </c>
      <c r="I14" s="491"/>
      <c r="J14" s="235">
        <f>SUMIF(78:78,I14,79:79)-SUMIF(78:78,C14,79:79)+100</f>
        <v>100</v>
      </c>
      <c r="K14" s="481"/>
      <c r="L14" s="1740"/>
      <c r="M14" s="1637"/>
      <c r="N14" s="1637"/>
      <c r="O14" s="1741"/>
      <c r="P14" s="3700"/>
      <c r="Q14" s="817">
        <f t="shared" si="6"/>
        <v>111</v>
      </c>
      <c r="R14" s="1301" t="s">
        <v>5</v>
      </c>
      <c r="S14" s="1302">
        <f t="shared" si="0"/>
        <v>100</v>
      </c>
      <c r="T14" s="1301" t="s">
        <v>5</v>
      </c>
      <c r="U14" s="1302">
        <f t="shared" si="1"/>
        <v>100</v>
      </c>
      <c r="V14" s="1301" t="s">
        <v>5</v>
      </c>
      <c r="W14" s="1302">
        <f t="shared" si="2"/>
        <v>100</v>
      </c>
      <c r="X14" s="1303"/>
      <c r="Y14" s="3652"/>
      <c r="Z14" s="995">
        <f t="shared" si="7"/>
        <v>111</v>
      </c>
      <c r="AA14" s="995">
        <f>D14/F14</f>
        <v>1</v>
      </c>
      <c r="AB14" s="995">
        <f>D14/H14</f>
        <v>1</v>
      </c>
      <c r="AC14" s="995">
        <f>D14/J14</f>
        <v>1</v>
      </c>
    </row>
    <row r="15" spans="1:29" ht="15">
      <c r="A15" s="2211"/>
      <c r="B15" s="2217">
        <v>111</v>
      </c>
      <c r="C15" s="489"/>
      <c r="D15" s="490">
        <v>100</v>
      </c>
      <c r="E15" s="491"/>
      <c r="F15" s="235">
        <f>SUMIF(80:80,E15,81:81)-SUMIF(80:80,C15,81:81)+100</f>
        <v>100</v>
      </c>
      <c r="G15" s="492"/>
      <c r="H15" s="490">
        <f>SUMIF(80:80,G15,81:81)-SUMIF(80:80,C15,81:81)+100</f>
        <v>100</v>
      </c>
      <c r="I15" s="491"/>
      <c r="J15" s="490">
        <f>SUMIF(80:80,I15,81:81)-SUMIF(80:80,C15,81:81)+100</f>
        <v>100</v>
      </c>
      <c r="K15" s="481"/>
      <c r="L15" s="1746"/>
      <c r="M15" s="1739"/>
      <c r="N15" s="1739"/>
      <c r="O15" s="1745"/>
      <c r="P15" s="3700"/>
      <c r="Q15" s="817">
        <f t="shared" si="6"/>
        <v>111</v>
      </c>
      <c r="R15" s="1301" t="s">
        <v>5</v>
      </c>
      <c r="S15" s="1302">
        <f t="shared" si="0"/>
        <v>100</v>
      </c>
      <c r="T15" s="1301" t="s">
        <v>5</v>
      </c>
      <c r="U15" s="1302">
        <f t="shared" si="1"/>
        <v>100</v>
      </c>
      <c r="V15" s="1301" t="s">
        <v>5</v>
      </c>
      <c r="W15" s="1302">
        <f t="shared" si="2"/>
        <v>100</v>
      </c>
      <c r="X15" s="1303"/>
      <c r="Y15" s="3652"/>
      <c r="Z15" s="995">
        <f t="shared" si="7"/>
        <v>111</v>
      </c>
      <c r="AA15" s="995">
        <f t="shared" si="3"/>
        <v>1</v>
      </c>
      <c r="AB15" s="995">
        <f t="shared" si="4"/>
        <v>1</v>
      </c>
      <c r="AC15" s="995">
        <f t="shared" si="5"/>
        <v>1</v>
      </c>
    </row>
    <row r="16" spans="1:29" ht="15.75" thickBot="1">
      <c r="A16" s="2212"/>
      <c r="B16" s="2218">
        <v>111</v>
      </c>
      <c r="C16" s="495"/>
      <c r="D16" s="496">
        <v>100</v>
      </c>
      <c r="E16" s="491"/>
      <c r="F16" s="496">
        <f>SUMIF(82:82,E16,83:83)-SUMIF(82:82,C16,83:83)+100</f>
        <v>100</v>
      </c>
      <c r="G16" s="492"/>
      <c r="H16" s="496">
        <f>SUMIF(82:82,G16,83:83)-SUMIF(82:82,C16,83:83)+100</f>
        <v>100</v>
      </c>
      <c r="I16" s="491"/>
      <c r="J16" s="496">
        <f>SUMIF(82:82,I16,83:83)-SUMIF(82:82,C16,83:83)+100</f>
        <v>100</v>
      </c>
      <c r="K16" s="481"/>
      <c r="L16" s="1746"/>
      <c r="M16" s="1739"/>
      <c r="N16" s="1739"/>
      <c r="O16" s="1745"/>
      <c r="P16" s="3700"/>
      <c r="Q16" s="817">
        <f t="shared" si="6"/>
        <v>111</v>
      </c>
      <c r="R16" s="1301" t="s">
        <v>5</v>
      </c>
      <c r="S16" s="1302">
        <f t="shared" si="0"/>
        <v>100</v>
      </c>
      <c r="T16" s="1301" t="s">
        <v>5</v>
      </c>
      <c r="U16" s="1302">
        <f t="shared" si="1"/>
        <v>100</v>
      </c>
      <c r="V16" s="1301" t="s">
        <v>5</v>
      </c>
      <c r="W16" s="1302">
        <f t="shared" si="2"/>
        <v>100</v>
      </c>
      <c r="X16" s="1303"/>
      <c r="Y16" s="3652"/>
      <c r="Z16" s="995">
        <f t="shared" si="7"/>
        <v>111</v>
      </c>
      <c r="AA16" s="995">
        <f t="shared" si="3"/>
        <v>1</v>
      </c>
      <c r="AB16" s="995">
        <f t="shared" si="4"/>
        <v>1</v>
      </c>
      <c r="AC16" s="995">
        <f t="shared" si="5"/>
        <v>1</v>
      </c>
    </row>
    <row r="17" spans="1:29" ht="15">
      <c r="A17" s="2204"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6"/>
      <c r="M17" s="1739"/>
      <c r="N17" s="1739"/>
      <c r="O17" s="1745"/>
      <c r="P17" s="3702" t="s">
        <v>489</v>
      </c>
      <c r="Q17" s="1304" t="str">
        <f t="shared" si="6"/>
        <v>产业集聚程度</v>
      </c>
      <c r="R17" s="1305" t="s">
        <v>5</v>
      </c>
      <c r="S17" s="1306">
        <f t="shared" si="0"/>
        <v>100</v>
      </c>
      <c r="T17" s="1305" t="s">
        <v>5</v>
      </c>
      <c r="U17" s="1306">
        <f t="shared" si="1"/>
        <v>100</v>
      </c>
      <c r="V17" s="1305" t="s">
        <v>5</v>
      </c>
      <c r="W17" s="1306">
        <f t="shared" si="2"/>
        <v>100</v>
      </c>
      <c r="X17" s="1300"/>
      <c r="Y17" s="3702"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6"/>
      <c r="M18" s="1739"/>
      <c r="N18" s="1739"/>
      <c r="O18" s="1745"/>
      <c r="P18" s="3703"/>
      <c r="Q18" s="1304"/>
      <c r="R18" s="1305"/>
      <c r="S18" s="1306"/>
      <c r="T18" s="1305"/>
      <c r="U18" s="1306"/>
      <c r="V18" s="1305"/>
      <c r="W18" s="1306"/>
      <c r="X18" s="1300"/>
      <c r="Y18" s="3703"/>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6"/>
      <c r="M19" s="1739"/>
      <c r="N19" s="1739"/>
      <c r="O19" s="1745"/>
      <c r="P19" s="3703"/>
      <c r="Q19" s="1304" t="str">
        <f>B19</f>
        <v>交通便捷度</v>
      </c>
      <c r="R19" s="1305" t="s">
        <v>5</v>
      </c>
      <c r="S19" s="1306">
        <f>F19</f>
        <v>100</v>
      </c>
      <c r="T19" s="1305" t="s">
        <v>5</v>
      </c>
      <c r="U19" s="1306">
        <f>H19</f>
        <v>100</v>
      </c>
      <c r="V19" s="1305" t="s">
        <v>5</v>
      </c>
      <c r="W19" s="1306">
        <f>J19</f>
        <v>100</v>
      </c>
      <c r="X19" s="1300"/>
      <c r="Y19" s="3703"/>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6"/>
      <c r="M20" s="1739"/>
      <c r="N20" s="1739"/>
      <c r="O20" s="1745"/>
      <c r="P20" s="3703"/>
      <c r="Q20" s="1304"/>
      <c r="R20" s="1305"/>
      <c r="S20" s="1306"/>
      <c r="T20" s="1305"/>
      <c r="U20" s="1306"/>
      <c r="V20" s="1305"/>
      <c r="W20" s="1306"/>
      <c r="X20" s="1300"/>
      <c r="Y20" s="3703"/>
      <c r="Z20" s="1307"/>
      <c r="AA20" s="1307">
        <v>1</v>
      </c>
      <c r="AB20" s="1307">
        <v>1</v>
      </c>
      <c r="AC20" s="1307">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6"/>
      <c r="M21" s="1739"/>
      <c r="N21" s="1739"/>
      <c r="O21" s="1745"/>
      <c r="P21" s="3703"/>
      <c r="Q21" s="1304" t="str">
        <f t="shared" ref="Q21:Q35" si="8">B21</f>
        <v>区域土地利用方向</v>
      </c>
      <c r="R21" s="1305" t="s">
        <v>5</v>
      </c>
      <c r="S21" s="1306">
        <f>F21</f>
        <v>100</v>
      </c>
      <c r="T21" s="1305" t="s">
        <v>5</v>
      </c>
      <c r="U21" s="1306">
        <f>H21</f>
        <v>100</v>
      </c>
      <c r="V21" s="1305" t="s">
        <v>5</v>
      </c>
      <c r="W21" s="1306">
        <f>J21</f>
        <v>100</v>
      </c>
      <c r="X21" s="1300"/>
      <c r="Y21" s="3703"/>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6"/>
      <c r="M22" s="1739"/>
      <c r="N22" s="1739"/>
      <c r="O22" s="1745"/>
      <c r="P22" s="3703"/>
      <c r="Q22" s="1304"/>
      <c r="R22" s="1305"/>
      <c r="S22" s="1306"/>
      <c r="T22" s="1305"/>
      <c r="U22" s="1306"/>
      <c r="V22" s="1305"/>
      <c r="W22" s="1306"/>
      <c r="X22" s="1300"/>
      <c r="Y22" s="3703"/>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6"/>
      <c r="M23" s="1739"/>
      <c r="N23" s="1739"/>
      <c r="O23" s="1745"/>
      <c r="P23" s="3703"/>
      <c r="Q23" s="1304" t="str">
        <f t="shared" si="8"/>
        <v>环境状况</v>
      </c>
      <c r="R23" s="1305" t="s">
        <v>5</v>
      </c>
      <c r="S23" s="1306">
        <f>F23</f>
        <v>100</v>
      </c>
      <c r="T23" s="1305" t="s">
        <v>5</v>
      </c>
      <c r="U23" s="1306">
        <f>H23</f>
        <v>100</v>
      </c>
      <c r="V23" s="1305" t="s">
        <v>5</v>
      </c>
      <c r="W23" s="1306">
        <f>J23</f>
        <v>100</v>
      </c>
      <c r="X23" s="1300"/>
      <c r="Y23" s="3703"/>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6"/>
      <c r="M24" s="1739"/>
      <c r="N24" s="1739"/>
      <c r="O24" s="1745"/>
      <c r="P24" s="3703"/>
      <c r="Q24" s="1304"/>
      <c r="R24" s="1305"/>
      <c r="S24" s="1306"/>
      <c r="T24" s="1305"/>
      <c r="U24" s="1306"/>
      <c r="V24" s="1305"/>
      <c r="W24" s="1306"/>
      <c r="X24" s="1300"/>
      <c r="Y24" s="3703"/>
      <c r="Z24" s="1307"/>
      <c r="AA24" s="1307">
        <v>1</v>
      </c>
      <c r="AB24" s="1307">
        <v>1</v>
      </c>
      <c r="AC24" s="1307">
        <v>1</v>
      </c>
    </row>
    <row r="25" spans="1:29" s="1058" customFormat="1" ht="15">
      <c r="A25" s="527"/>
      <c r="B25" s="2049"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0"/>
      <c r="M25" s="1637"/>
      <c r="N25" s="1637"/>
      <c r="O25" s="1741"/>
      <c r="P25" s="3703"/>
      <c r="Q25" s="817" t="str">
        <f t="shared" si="8"/>
        <v>公共配套设施</v>
      </c>
      <c r="R25" s="1301" t="s">
        <v>5</v>
      </c>
      <c r="S25" s="1302">
        <f>F25</f>
        <v>100</v>
      </c>
      <c r="T25" s="1301" t="s">
        <v>5</v>
      </c>
      <c r="U25" s="1302">
        <f>H25</f>
        <v>100</v>
      </c>
      <c r="V25" s="1301" t="s">
        <v>5</v>
      </c>
      <c r="W25" s="1302">
        <f>J25</f>
        <v>100</v>
      </c>
      <c r="X25" s="1303"/>
      <c r="Y25" s="3703"/>
      <c r="Z25" s="995" t="str">
        <f>Q25</f>
        <v>公共配套设施</v>
      </c>
      <c r="AA25" s="1307">
        <f>D25/F25</f>
        <v>1</v>
      </c>
      <c r="AB25" s="1307">
        <f>D25/H25</f>
        <v>1</v>
      </c>
      <c r="AC25" s="1307">
        <f>D25/J25</f>
        <v>1</v>
      </c>
    </row>
    <row r="26" spans="1:29" s="1058" customFormat="1" ht="15">
      <c r="A26" s="527"/>
      <c r="B26" s="544"/>
      <c r="C26" s="2048"/>
      <c r="D26" s="505"/>
      <c r="E26" s="504"/>
      <c r="F26" s="505"/>
      <c r="G26" s="504"/>
      <c r="H26" s="505"/>
      <c r="I26" s="526"/>
      <c r="J26" s="505"/>
      <c r="K26" s="481"/>
      <c r="L26" s="1740"/>
      <c r="M26" s="1637"/>
      <c r="N26" s="1637"/>
      <c r="O26" s="1741"/>
      <c r="P26" s="3703"/>
      <c r="Q26" s="817"/>
      <c r="R26" s="1301"/>
      <c r="S26" s="1302"/>
      <c r="T26" s="1301"/>
      <c r="U26" s="1302"/>
      <c r="V26" s="1301"/>
      <c r="W26" s="1302"/>
      <c r="X26" s="1303"/>
      <c r="Y26" s="3703"/>
      <c r="Z26" s="995"/>
      <c r="AA26" s="995">
        <v>1</v>
      </c>
      <c r="AB26" s="995">
        <v>1</v>
      </c>
      <c r="AC26" s="995">
        <v>1</v>
      </c>
    </row>
    <row r="27" spans="1:29" s="1058" customFormat="1" ht="15">
      <c r="A27" s="527"/>
      <c r="B27" s="2049"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0"/>
      <c r="M27" s="1637"/>
      <c r="N27" s="1637"/>
      <c r="O27" s="1741"/>
      <c r="P27" s="3703"/>
      <c r="Q27" s="817" t="str">
        <f>B27</f>
        <v>基础设施水平</v>
      </c>
      <c r="R27" s="1301" t="s">
        <v>5</v>
      </c>
      <c r="S27" s="1302">
        <f>F27</f>
        <v>100</v>
      </c>
      <c r="T27" s="1301" t="s">
        <v>5</v>
      </c>
      <c r="U27" s="1302">
        <f>H27</f>
        <v>100</v>
      </c>
      <c r="V27" s="1301" t="s">
        <v>5</v>
      </c>
      <c r="W27" s="1302">
        <f>J27</f>
        <v>100</v>
      </c>
      <c r="X27" s="1303"/>
      <c r="Y27" s="3703"/>
      <c r="Z27" s="995" t="str">
        <f>Q27</f>
        <v>基础设施水平</v>
      </c>
      <c r="AA27" s="1307">
        <f>D27/F27</f>
        <v>1</v>
      </c>
      <c r="AB27" s="1307">
        <f>D27/H27</f>
        <v>1</v>
      </c>
      <c r="AC27" s="1307">
        <f>D27/J27</f>
        <v>1</v>
      </c>
    </row>
    <row r="28" spans="1:29" s="1058" customFormat="1" ht="15">
      <c r="A28" s="527"/>
      <c r="B28" s="544"/>
      <c r="C28" s="2048"/>
      <c r="D28" s="505"/>
      <c r="E28" s="529"/>
      <c r="F28" s="505"/>
      <c r="G28" s="529"/>
      <c r="H28" s="505"/>
      <c r="I28" s="529"/>
      <c r="J28" s="505"/>
      <c r="K28" s="481"/>
      <c r="L28" s="1740"/>
      <c r="M28" s="1637"/>
      <c r="N28" s="1637"/>
      <c r="O28" s="1741"/>
      <c r="P28" s="3703"/>
      <c r="Q28" s="817"/>
      <c r="R28" s="1301"/>
      <c r="S28" s="1302"/>
      <c r="T28" s="1301"/>
      <c r="U28" s="1302"/>
      <c r="V28" s="1301"/>
      <c r="W28" s="1302"/>
      <c r="X28" s="1303"/>
      <c r="Y28" s="3703"/>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6"/>
      <c r="M29" s="1739"/>
      <c r="N29" s="1739"/>
      <c r="O29" s="1745"/>
      <c r="P29" s="3703"/>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03"/>
      <c r="Z29" s="1307" t="str">
        <f t="shared" ref="Z29:Z42" si="12">Q29</f>
        <v>临街状况</v>
      </c>
      <c r="AA29" s="1307">
        <f t="shared" si="3"/>
        <v>1</v>
      </c>
      <c r="AB29" s="1307">
        <f t="shared" si="4"/>
        <v>1</v>
      </c>
      <c r="AC29" s="1307">
        <f t="shared" si="5"/>
        <v>1</v>
      </c>
    </row>
    <row r="30" spans="1:29" ht="27">
      <c r="A30" s="482"/>
      <c r="B30" s="843" t="s">
        <v>497</v>
      </c>
      <c r="C30" s="2051">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6"/>
      <c r="M30" s="1739"/>
      <c r="N30" s="1739"/>
      <c r="O30" s="1745"/>
      <c r="P30" s="3703"/>
      <c r="Q30" s="1304" t="str">
        <f t="shared" si="8"/>
        <v>毗邻道路的类型与等级</v>
      </c>
      <c r="R30" s="1305" t="s">
        <v>5</v>
      </c>
      <c r="S30" s="1306">
        <f t="shared" si="9"/>
        <v>100</v>
      </c>
      <c r="T30" s="1305" t="s">
        <v>5</v>
      </c>
      <c r="U30" s="1306">
        <f t="shared" si="10"/>
        <v>100</v>
      </c>
      <c r="V30" s="1305" t="s">
        <v>5</v>
      </c>
      <c r="W30" s="1306">
        <f t="shared" si="11"/>
        <v>100</v>
      </c>
      <c r="X30" s="1300"/>
      <c r="Y30" s="3703"/>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6"/>
      <c r="M31" s="1739"/>
      <c r="N31" s="1739"/>
      <c r="O31" s="1745"/>
      <c r="P31" s="3703"/>
      <c r="Q31" s="1304"/>
      <c r="R31" s="1305"/>
      <c r="S31" s="1306"/>
      <c r="T31" s="1305"/>
      <c r="U31" s="1306"/>
      <c r="V31" s="1305"/>
      <c r="W31" s="1306"/>
      <c r="X31" s="1300"/>
      <c r="Y31" s="3703"/>
      <c r="Z31" s="1307"/>
      <c r="AA31" s="1307">
        <v>1</v>
      </c>
      <c r="AB31" s="1307">
        <v>1</v>
      </c>
      <c r="AC31" s="1307">
        <v>1</v>
      </c>
    </row>
    <row r="32" spans="1:29" ht="15">
      <c r="A32" s="482"/>
      <c r="B32" s="477" t="s">
        <v>498</v>
      </c>
      <c r="C32" s="2052">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6"/>
      <c r="M32" s="1739"/>
      <c r="N32" s="1739"/>
      <c r="O32" s="1745"/>
      <c r="P32" s="3703"/>
      <c r="Q32" s="1304" t="str">
        <f t="shared" si="8"/>
        <v>土地级别</v>
      </c>
      <c r="R32" s="1305" t="s">
        <v>5</v>
      </c>
      <c r="S32" s="1306">
        <f t="shared" si="9"/>
        <v>100</v>
      </c>
      <c r="T32" s="1305" t="s">
        <v>5</v>
      </c>
      <c r="U32" s="1306">
        <f t="shared" si="10"/>
        <v>100</v>
      </c>
      <c r="V32" s="1305" t="s">
        <v>5</v>
      </c>
      <c r="W32" s="1306">
        <f t="shared" si="11"/>
        <v>100</v>
      </c>
      <c r="X32" s="1300"/>
      <c r="Y32" s="3703"/>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6"/>
      <c r="M33" s="1739"/>
      <c r="N33" s="1739"/>
      <c r="O33" s="1745"/>
      <c r="P33" s="3703"/>
      <c r="Q33" s="1304">
        <f t="shared" si="8"/>
        <v>111</v>
      </c>
      <c r="R33" s="1305" t="s">
        <v>5</v>
      </c>
      <c r="S33" s="1306">
        <f t="shared" si="9"/>
        <v>100</v>
      </c>
      <c r="T33" s="1305" t="s">
        <v>5</v>
      </c>
      <c r="U33" s="1306">
        <f t="shared" si="10"/>
        <v>100</v>
      </c>
      <c r="V33" s="1305" t="s">
        <v>5</v>
      </c>
      <c r="W33" s="1306">
        <f t="shared" si="11"/>
        <v>100</v>
      </c>
      <c r="X33" s="1300"/>
      <c r="Y33" s="3703"/>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6"/>
      <c r="M34" s="1739"/>
      <c r="N34" s="1739"/>
      <c r="O34" s="1745"/>
      <c r="P34" s="3704" t="s">
        <v>499</v>
      </c>
      <c r="Q34" s="1304">
        <f t="shared" si="8"/>
        <v>111</v>
      </c>
      <c r="R34" s="1305" t="s">
        <v>5</v>
      </c>
      <c r="S34" s="1306">
        <f t="shared" si="9"/>
        <v>100</v>
      </c>
      <c r="T34" s="1305" t="s">
        <v>5</v>
      </c>
      <c r="U34" s="1306">
        <f t="shared" si="10"/>
        <v>100</v>
      </c>
      <c r="V34" s="1305" t="s">
        <v>5</v>
      </c>
      <c r="W34" s="1306">
        <f t="shared" si="11"/>
        <v>100</v>
      </c>
      <c r="X34" s="1300"/>
      <c r="Y34" s="3705" t="s">
        <v>499</v>
      </c>
      <c r="Z34" s="1307">
        <f t="shared" si="12"/>
        <v>111</v>
      </c>
      <c r="AA34" s="1307">
        <f t="shared" si="3"/>
        <v>1</v>
      </c>
      <c r="AB34" s="1307">
        <f t="shared" si="4"/>
        <v>1</v>
      </c>
      <c r="AC34" s="1307">
        <f t="shared" si="5"/>
        <v>1</v>
      </c>
    </row>
    <row r="35" spans="1:29" s="1132" customFormat="1" ht="15.75" thickBot="1">
      <c r="A35" s="538"/>
      <c r="B35" s="2050">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4"/>
      <c r="M35" s="1768"/>
      <c r="N35" s="1768"/>
      <c r="O35" s="1747"/>
      <c r="P35" s="3705"/>
      <c r="Q35" s="1304">
        <f t="shared" si="8"/>
        <v>111</v>
      </c>
      <c r="R35" s="1308" t="s">
        <v>5</v>
      </c>
      <c r="S35" s="1309">
        <f t="shared" si="9"/>
        <v>100</v>
      </c>
      <c r="T35" s="1308" t="s">
        <v>5</v>
      </c>
      <c r="U35" s="1309">
        <f t="shared" si="10"/>
        <v>100</v>
      </c>
      <c r="V35" s="1308" t="s">
        <v>5</v>
      </c>
      <c r="W35" s="1309">
        <f t="shared" si="11"/>
        <v>100</v>
      </c>
      <c r="X35" s="1310"/>
      <c r="Y35" s="3705"/>
      <c r="Z35" s="1311">
        <f t="shared" si="12"/>
        <v>111</v>
      </c>
      <c r="AA35" s="1307">
        <f t="shared" si="3"/>
        <v>1</v>
      </c>
      <c r="AB35" s="1307">
        <f t="shared" si="4"/>
        <v>1</v>
      </c>
      <c r="AC35" s="1307">
        <f t="shared" si="5"/>
        <v>1</v>
      </c>
    </row>
    <row r="36" spans="1:29" ht="15">
      <c r="A36" s="2201"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6"/>
      <c r="M36" s="1739"/>
      <c r="N36" s="1739"/>
      <c r="O36" s="1745"/>
      <c r="P36" s="3705"/>
      <c r="Q36" s="1304" t="str">
        <f>B36</f>
        <v>宗地面积</v>
      </c>
      <c r="R36" s="1305" t="s">
        <v>5</v>
      </c>
      <c r="S36" s="1306" t="e">
        <f t="shared" si="9"/>
        <v>#N/A</v>
      </c>
      <c r="T36" s="1305" t="s">
        <v>5</v>
      </c>
      <c r="U36" s="1306" t="e">
        <f t="shared" si="10"/>
        <v>#N/A</v>
      </c>
      <c r="V36" s="1305" t="s">
        <v>5</v>
      </c>
      <c r="W36" s="1306" t="e">
        <f t="shared" si="11"/>
        <v>#N/A</v>
      </c>
      <c r="X36" s="1300"/>
      <c r="Y36" s="3705"/>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6"/>
      <c r="M37" s="1739"/>
      <c r="N37" s="1739"/>
      <c r="O37" s="1745"/>
      <c r="P37" s="3705"/>
      <c r="Q37" s="1304" t="str">
        <f t="shared" ref="Q37:Q42" si="13">B37</f>
        <v>宗地形状</v>
      </c>
      <c r="R37" s="1305" t="s">
        <v>5</v>
      </c>
      <c r="S37" s="1306">
        <f t="shared" si="9"/>
        <v>100</v>
      </c>
      <c r="T37" s="1305" t="s">
        <v>5</v>
      </c>
      <c r="U37" s="1306">
        <f t="shared" si="10"/>
        <v>100</v>
      </c>
      <c r="V37" s="1305" t="s">
        <v>5</v>
      </c>
      <c r="W37" s="1306">
        <f t="shared" si="11"/>
        <v>100</v>
      </c>
      <c r="X37" s="1300"/>
      <c r="Y37" s="3705"/>
      <c r="Z37" s="1307" t="str">
        <f t="shared" si="12"/>
        <v>宗地形状</v>
      </c>
      <c r="AA37" s="1307">
        <f t="shared" si="3"/>
        <v>1</v>
      </c>
      <c r="AB37" s="1307">
        <f t="shared" si="4"/>
        <v>1</v>
      </c>
      <c r="AC37" s="1307">
        <f t="shared" si="5"/>
        <v>1</v>
      </c>
    </row>
    <row r="38" spans="1:29" s="1058" customFormat="1" ht="15">
      <c r="A38" s="549"/>
      <c r="B38" s="1551"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0"/>
      <c r="M38" s="1637"/>
      <c r="N38" s="1637"/>
      <c r="O38" s="1741"/>
      <c r="P38" s="3705"/>
      <c r="Q38" s="1304" t="str">
        <f t="shared" si="13"/>
        <v>宗地开发程度</v>
      </c>
      <c r="R38" s="1301" t="s">
        <v>5</v>
      </c>
      <c r="S38" s="1302">
        <f t="shared" si="9"/>
        <v>100</v>
      </c>
      <c r="T38" s="1301" t="s">
        <v>5</v>
      </c>
      <c r="U38" s="1302">
        <f t="shared" si="10"/>
        <v>100</v>
      </c>
      <c r="V38" s="1301" t="s">
        <v>5</v>
      </c>
      <c r="W38" s="1302">
        <f t="shared" si="11"/>
        <v>100</v>
      </c>
      <c r="X38" s="1303"/>
      <c r="Y38" s="3705"/>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6"/>
      <c r="M39" s="1739"/>
      <c r="N39" s="1739"/>
      <c r="O39" s="1745"/>
      <c r="P39" s="3705" t="s">
        <v>549</v>
      </c>
      <c r="Q39" s="1304" t="str">
        <f t="shared" si="13"/>
        <v>工程地质条件</v>
      </c>
      <c r="R39" s="1305" t="s">
        <v>5</v>
      </c>
      <c r="S39" s="1306">
        <f t="shared" si="9"/>
        <v>100</v>
      </c>
      <c r="T39" s="1305" t="s">
        <v>5</v>
      </c>
      <c r="U39" s="1306">
        <f t="shared" si="10"/>
        <v>100</v>
      </c>
      <c r="V39" s="1305" t="s">
        <v>5</v>
      </c>
      <c r="W39" s="1306">
        <f t="shared" si="11"/>
        <v>100</v>
      </c>
      <c r="X39" s="1300"/>
      <c r="Y39" s="3705"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6"/>
      <c r="M40" s="1739"/>
      <c r="N40" s="1739"/>
      <c r="O40" s="1745"/>
      <c r="P40" s="3705"/>
      <c r="Q40" s="1304">
        <f t="shared" si="13"/>
        <v>111</v>
      </c>
      <c r="R40" s="1305" t="s">
        <v>5</v>
      </c>
      <c r="S40" s="1306">
        <f t="shared" si="9"/>
        <v>100</v>
      </c>
      <c r="T40" s="1305" t="s">
        <v>5</v>
      </c>
      <c r="U40" s="1306">
        <f t="shared" si="10"/>
        <v>100</v>
      </c>
      <c r="V40" s="1305" t="s">
        <v>5</v>
      </c>
      <c r="W40" s="1306">
        <f t="shared" si="11"/>
        <v>100</v>
      </c>
      <c r="X40" s="1300"/>
      <c r="Y40" s="3705"/>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6"/>
      <c r="M41" s="1739"/>
      <c r="N41" s="1739"/>
      <c r="O41" s="1745"/>
      <c r="P41" s="3705"/>
      <c r="Q41" s="1304">
        <f t="shared" si="13"/>
        <v>111</v>
      </c>
      <c r="R41" s="1305" t="s">
        <v>5</v>
      </c>
      <c r="S41" s="1306">
        <f t="shared" si="9"/>
        <v>100</v>
      </c>
      <c r="T41" s="1305" t="s">
        <v>5</v>
      </c>
      <c r="U41" s="1306">
        <f t="shared" si="10"/>
        <v>100</v>
      </c>
      <c r="V41" s="1305" t="s">
        <v>5</v>
      </c>
      <c r="W41" s="1306">
        <f t="shared" si="11"/>
        <v>100</v>
      </c>
      <c r="X41" s="1300"/>
      <c r="Y41" s="3705"/>
      <c r="Z41" s="1307">
        <f t="shared" si="12"/>
        <v>111</v>
      </c>
      <c r="AA41" s="1307">
        <f t="shared" si="3"/>
        <v>1</v>
      </c>
      <c r="AB41" s="1307">
        <f t="shared" si="4"/>
        <v>1</v>
      </c>
      <c r="AC41" s="1307">
        <f t="shared" si="5"/>
        <v>1</v>
      </c>
    </row>
    <row r="42" spans="1:29" s="1132"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4"/>
      <c r="M42" s="1768"/>
      <c r="N42" s="1768"/>
      <c r="O42" s="1747"/>
      <c r="P42" s="3705"/>
      <c r="Q42" s="1304">
        <f t="shared" si="13"/>
        <v>111</v>
      </c>
      <c r="R42" s="1308" t="s">
        <v>5</v>
      </c>
      <c r="S42" s="1309">
        <f t="shared" si="9"/>
        <v>100</v>
      </c>
      <c r="T42" s="1308" t="s">
        <v>5</v>
      </c>
      <c r="U42" s="1309">
        <f t="shared" si="10"/>
        <v>100</v>
      </c>
      <c r="V42" s="1308" t="s">
        <v>5</v>
      </c>
      <c r="W42" s="1309">
        <f t="shared" si="11"/>
        <v>100</v>
      </c>
      <c r="X42" s="1310"/>
      <c r="Y42" s="3705"/>
      <c r="Z42" s="1311">
        <f t="shared" si="12"/>
        <v>111</v>
      </c>
      <c r="AA42" s="1307">
        <f t="shared" si="3"/>
        <v>1</v>
      </c>
      <c r="AB42" s="1307">
        <f t="shared" si="4"/>
        <v>1</v>
      </c>
      <c r="AC42" s="1307">
        <f t="shared" si="5"/>
        <v>1</v>
      </c>
    </row>
    <row r="43" spans="1:29" ht="15">
      <c r="A43" s="556" t="s">
        <v>505</v>
      </c>
      <c r="B43" s="557" t="s">
        <v>2179</v>
      </c>
      <c r="C43" s="558" t="s">
        <v>0</v>
      </c>
      <c r="D43" s="559"/>
      <c r="E43" s="560"/>
      <c r="F43" s="561"/>
      <c r="G43" s="562"/>
      <c r="H43" s="563"/>
      <c r="I43" s="560"/>
      <c r="J43" s="563"/>
      <c r="K43" s="1133"/>
      <c r="L43" s="1748"/>
      <c r="M43" s="1739"/>
      <c r="N43" s="1739"/>
      <c r="O43" s="1739"/>
      <c r="P43" s="3700" t="str">
        <f>A43</f>
        <v>成交单价</v>
      </c>
      <c r="Q43" s="3700"/>
      <c r="R43" s="3716">
        <f>E43</f>
        <v>0</v>
      </c>
      <c r="S43" s="3716"/>
      <c r="T43" s="3716">
        <f>G43</f>
        <v>0</v>
      </c>
      <c r="U43" s="3716"/>
      <c r="V43" s="3716">
        <f>I43</f>
        <v>0</v>
      </c>
      <c r="W43" s="3716"/>
      <c r="X43" s="799"/>
      <c r="Y43" s="1312"/>
      <c r="Z43" s="799"/>
      <c r="AA43" s="799"/>
      <c r="AB43" s="799"/>
      <c r="AC43" s="799"/>
    </row>
    <row r="44" spans="1:29" ht="15.75" thickBot="1">
      <c r="A44" s="564" t="s">
        <v>1970</v>
      </c>
      <c r="B44" s="565"/>
      <c r="C44" s="566" t="e">
        <f>R45</f>
        <v>#DIV/0!</v>
      </c>
      <c r="D44" s="2547" t="s">
        <v>2243</v>
      </c>
      <c r="E44" s="566" t="e">
        <f>R44</f>
        <v>#DIV/0!</v>
      </c>
      <c r="F44" s="2548"/>
      <c r="G44" s="567" t="e">
        <f>T44</f>
        <v>#DIV/0!</v>
      </c>
      <c r="H44" s="2548"/>
      <c r="I44" s="566" t="e">
        <f>V44</f>
        <v>#DIV/0!</v>
      </c>
      <c r="J44" s="2548"/>
      <c r="K44" s="2549">
        <f>F44+H44+J44</f>
        <v>0</v>
      </c>
      <c r="L44" s="1748"/>
      <c r="M44" s="1739"/>
      <c r="N44" s="1739"/>
      <c r="O44" s="1739"/>
      <c r="P44" s="3700" t="str">
        <f>A44</f>
        <v>比较价格（元/平方米）</v>
      </c>
      <c r="Q44" s="3700"/>
      <c r="R44" s="3724" t="e">
        <f>ROUND(PRODUCT(R43,AA9:AA42),0)</f>
        <v>#DIV/0!</v>
      </c>
      <c r="S44" s="3724"/>
      <c r="T44" s="3724" t="e">
        <f>ROUND(PRODUCT(T43,AB9:AB42),0)</f>
        <v>#DIV/0!</v>
      </c>
      <c r="U44" s="3724"/>
      <c r="V44" s="3724" t="e">
        <f>ROUND(PRODUCT(V43,AC9:AC42),0)</f>
        <v>#DIV/0!</v>
      </c>
      <c r="W44" s="3724"/>
      <c r="X44" s="799"/>
      <c r="Y44" s="799"/>
      <c r="Z44" s="799"/>
      <c r="AA44" s="799"/>
      <c r="AB44" s="799"/>
      <c r="AC44" s="799"/>
    </row>
    <row r="45" spans="1:29" ht="15.75" thickBot="1">
      <c r="A45" s="568" t="s">
        <v>2180</v>
      </c>
      <c r="B45" s="569"/>
      <c r="C45" s="570" t="e">
        <f>R45</f>
        <v>#DIV/0!</v>
      </c>
      <c r="D45" s="570"/>
      <c r="E45" s="570"/>
      <c r="F45" s="570"/>
      <c r="G45" s="570"/>
      <c r="H45" s="570"/>
      <c r="I45" s="570"/>
      <c r="J45" s="570"/>
      <c r="K45" s="1134"/>
      <c r="L45" s="1748"/>
      <c r="M45" s="1739"/>
      <c r="N45" s="1739"/>
      <c r="O45" s="1739"/>
      <c r="P45" s="3706" t="str">
        <f>A45</f>
        <v>估价对象XX用房的比较价格（楼面单价，元/平方米）</v>
      </c>
      <c r="Q45" s="3707"/>
      <c r="R45" s="3733" t="e">
        <f>ROUND(IF(D44="简单平均",AVERAGE(R44:W44),R44*F44+T44*H44+V44*J44),0)</f>
        <v>#DIV/0!</v>
      </c>
      <c r="S45" s="3733"/>
      <c r="T45" s="3733"/>
      <c r="U45" s="3733"/>
      <c r="V45" s="3733"/>
      <c r="W45" s="3733"/>
      <c r="X45" s="799"/>
      <c r="Y45" s="799"/>
      <c r="Z45" s="799"/>
      <c r="AA45" s="799"/>
      <c r="AB45" s="799"/>
      <c r="AC45" s="799"/>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7" customFormat="1" ht="13.5" customHeight="1">
      <c r="A50" s="2717"/>
      <c r="B50" s="2717"/>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7" customFormat="1" ht="15"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7">
      <c r="A52" s="576" t="s">
        <v>509</v>
      </c>
      <c r="B52" s="577" t="s">
        <v>510</v>
      </c>
      <c r="C52" s="1298" t="s">
        <v>1253</v>
      </c>
      <c r="D52" s="1818" t="s">
        <v>1647</v>
      </c>
      <c r="E52" s="578" t="s">
        <v>511</v>
      </c>
      <c r="F52" s="1607" t="s">
        <v>512</v>
      </c>
      <c r="G52" s="3729" t="s">
        <v>1639</v>
      </c>
      <c r="H52" s="3730"/>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8" customFormat="1" ht="12.75">
      <c r="A53" s="580" t="s">
        <v>513</v>
      </c>
      <c r="B53" s="581" t="e">
        <f>C45</f>
        <v>#DIV/0!</v>
      </c>
      <c r="C53" s="582">
        <v>1</v>
      </c>
      <c r="D53" s="1819">
        <v>1</v>
      </c>
      <c r="E53" s="582">
        <f>'数据-汇总表'!E8+'数据-汇总表'!E9</f>
        <v>91499.81</v>
      </c>
      <c r="F53" s="1606" t="e">
        <f t="shared" ref="F53:F61" si="14">ROUND(B53*E53/10000,0)</f>
        <v>#DIV/0!</v>
      </c>
      <c r="G53" s="3731"/>
      <c r="H53" s="3732"/>
      <c r="I53" s="1609">
        <v>1</v>
      </c>
      <c r="J53" s="1296">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8" customFormat="1" ht="12.75">
      <c r="A54" s="584" t="s">
        <v>514</v>
      </c>
      <c r="B54" s="585" t="e">
        <f>ROUND($C$45*C54*D54,0)</f>
        <v>#DIV/0!</v>
      </c>
      <c r="C54" s="348">
        <f t="shared" ref="C54:C61" si="15">IF($C$52="北京市系数",I54,J54)</f>
        <v>0.6</v>
      </c>
      <c r="D54" s="1820">
        <v>0.25</v>
      </c>
      <c r="E54" s="586"/>
      <c r="F54" s="1606" t="e">
        <f t="shared" si="14"/>
        <v>#DIV/0!</v>
      </c>
      <c r="G54" s="3025" t="s">
        <v>1640</v>
      </c>
      <c r="H54" s="1610" t="str">
        <f>项目基本情况!B43</f>
        <v>五级</v>
      </c>
      <c r="I54" s="1609">
        <f>SUMIF(修正!$A$57:$A$68,H54,修正!B57:B68)</f>
        <v>0.6</v>
      </c>
      <c r="J54" s="1297"/>
      <c r="K54" s="2721"/>
      <c r="L54" s="1757"/>
      <c r="M54" s="1757"/>
      <c r="N54" s="1757"/>
      <c r="O54" s="1757"/>
      <c r="P54" s="1757"/>
      <c r="Q54" s="1757"/>
      <c r="R54" s="1757"/>
      <c r="S54" s="1757"/>
      <c r="T54" s="1757"/>
      <c r="U54" s="1757"/>
      <c r="V54" s="1757"/>
      <c r="W54" s="1757"/>
      <c r="X54" s="1757"/>
      <c r="Y54" s="1757"/>
      <c r="Z54" s="1757"/>
      <c r="AA54" s="1757"/>
      <c r="AB54" s="1757"/>
      <c r="AC54" s="1757"/>
    </row>
    <row r="55" spans="1:29" s="1138" customFormat="1" ht="12.75">
      <c r="A55" s="584" t="s">
        <v>515</v>
      </c>
      <c r="B55" s="585" t="e">
        <f t="shared" ref="B55:B61" si="16">ROUND($C$45*C55*D55,0)</f>
        <v>#DIV/0!</v>
      </c>
      <c r="C55" s="348">
        <f t="shared" si="15"/>
        <v>0.3</v>
      </c>
      <c r="D55" s="1820">
        <v>0.25</v>
      </c>
      <c r="E55" s="586"/>
      <c r="F55" s="1606" t="e">
        <f t="shared" si="14"/>
        <v>#DIV/0!</v>
      </c>
      <c r="G55" s="3026"/>
      <c r="H55" s="1611" t="str">
        <f>项目基本情况!B43</f>
        <v>五级</v>
      </c>
      <c r="I55" s="1609">
        <f>SUMIF(修正!$A$57:$A$68,H55,修正!C57:C68)</f>
        <v>0.3</v>
      </c>
      <c r="J55" s="1297"/>
      <c r="K55" s="2721"/>
      <c r="L55" s="1757"/>
      <c r="M55" s="1757"/>
      <c r="N55" s="1757"/>
      <c r="O55" s="1757"/>
      <c r="P55" s="1757"/>
      <c r="Q55" s="1757"/>
      <c r="R55" s="1757"/>
      <c r="S55" s="1757"/>
      <c r="T55" s="1757"/>
      <c r="U55" s="1757"/>
      <c r="V55" s="1757"/>
      <c r="W55" s="1757"/>
      <c r="X55" s="1757"/>
      <c r="Y55" s="1757"/>
      <c r="Z55" s="1757"/>
      <c r="AA55" s="1757"/>
      <c r="AB55" s="1757"/>
      <c r="AC55" s="1757"/>
    </row>
    <row r="56" spans="1:29" s="1138" customFormat="1" ht="12.75">
      <c r="A56" s="584" t="s">
        <v>516</v>
      </c>
      <c r="B56" s="585" t="e">
        <f t="shared" si="16"/>
        <v>#DIV/0!</v>
      </c>
      <c r="C56" s="348">
        <f t="shared" si="15"/>
        <v>0.25</v>
      </c>
      <c r="D56" s="1820">
        <v>0.25</v>
      </c>
      <c r="E56" s="586"/>
      <c r="F56" s="1606" t="e">
        <f t="shared" si="14"/>
        <v>#DIV/0!</v>
      </c>
      <c r="G56" s="3026"/>
      <c r="H56" s="1611" t="str">
        <f>项目基本情况!B43</f>
        <v>五级</v>
      </c>
      <c r="I56" s="1609">
        <f>SUMIF(修正!$A$57:$A$68,H56,修正!D57:D68)</f>
        <v>0.25</v>
      </c>
      <c r="J56" s="1297"/>
      <c r="K56" s="2721"/>
      <c r="L56" s="1757"/>
      <c r="M56" s="1757"/>
      <c r="N56" s="1757"/>
      <c r="O56" s="1757"/>
      <c r="P56" s="1757"/>
      <c r="Q56" s="1757"/>
      <c r="R56" s="1757"/>
      <c r="S56" s="1757"/>
      <c r="T56" s="1757"/>
      <c r="U56" s="1757"/>
      <c r="V56" s="1757"/>
      <c r="W56" s="1757"/>
      <c r="X56" s="1757"/>
      <c r="Y56" s="1757"/>
      <c r="Z56" s="1757"/>
      <c r="AA56" s="1757"/>
      <c r="AB56" s="1757"/>
      <c r="AC56" s="1757"/>
    </row>
    <row r="57" spans="1:29" s="1138" customFormat="1" ht="12.75">
      <c r="A57" s="1916" t="s">
        <v>1680</v>
      </c>
      <c r="B57" s="585" t="e">
        <f t="shared" si="16"/>
        <v>#DIV/0!</v>
      </c>
      <c r="C57" s="348">
        <f t="shared" si="15"/>
        <v>0.25</v>
      </c>
      <c r="D57" s="1820">
        <v>0.25</v>
      </c>
      <c r="E57" s="588">
        <f>'数据-汇总表'!E11</f>
        <v>50</v>
      </c>
      <c r="F57" s="1606" t="e">
        <f t="shared" si="14"/>
        <v>#DIV/0!</v>
      </c>
      <c r="G57" s="1612" t="s">
        <v>1641</v>
      </c>
      <c r="H57" s="1611" t="str">
        <f>项目基本情况!C43</f>
        <v>五级</v>
      </c>
      <c r="I57" s="1609">
        <f>SUMIF(修正!$A$57:$A$68,H57,修正!E57:E68)</f>
        <v>0.25</v>
      </c>
      <c r="J57" s="1297"/>
      <c r="K57" s="2721"/>
      <c r="L57" s="1757"/>
      <c r="M57" s="1757"/>
      <c r="N57" s="1757"/>
      <c r="O57" s="1757"/>
      <c r="P57" s="1757"/>
      <c r="Q57" s="1757"/>
      <c r="R57" s="1757"/>
      <c r="S57" s="1757"/>
      <c r="T57" s="1757"/>
      <c r="U57" s="1757"/>
      <c r="V57" s="1757"/>
      <c r="W57" s="1757"/>
      <c r="X57" s="1757"/>
      <c r="Y57" s="1757"/>
      <c r="Z57" s="1757"/>
      <c r="AA57" s="1757"/>
      <c r="AB57" s="1757"/>
      <c r="AC57" s="1757"/>
    </row>
    <row r="58" spans="1:29" s="1138" customFormat="1" ht="12.75">
      <c r="A58" s="584" t="s">
        <v>517</v>
      </c>
      <c r="B58" s="585" t="e">
        <f t="shared" si="16"/>
        <v>#DIV/0!</v>
      </c>
      <c r="C58" s="348">
        <f t="shared" si="15"/>
        <v>0.25</v>
      </c>
      <c r="D58" s="1820">
        <v>0.25</v>
      </c>
      <c r="E58" s="588">
        <f>'数据-汇总表'!E12</f>
        <v>1406.86</v>
      </c>
      <c r="F58" s="1606" t="e">
        <f t="shared" si="14"/>
        <v>#DIV/0!</v>
      </c>
      <c r="G58" s="1602" t="s">
        <v>1212</v>
      </c>
      <c r="H58" s="1610" t="str">
        <f>IF(G58="商业",项目基本情况!B43,IF(G58="办公",项目基本情况!C43,IF(G58="住宅",项目基本情况!D43,项目基本情况!E43)))</f>
        <v>五级</v>
      </c>
      <c r="I58" s="1609">
        <f>SUMIF(修正!$A$57:$A$68,H58,修正!F57:F68)</f>
        <v>0.25</v>
      </c>
      <c r="J58" s="1297"/>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2.75">
      <c r="A59" s="584" t="s">
        <v>518</v>
      </c>
      <c r="B59" s="585" t="e">
        <f t="shared" si="16"/>
        <v>#DIV/0!</v>
      </c>
      <c r="C59" s="348">
        <f t="shared" si="15"/>
        <v>0.15</v>
      </c>
      <c r="D59" s="1820">
        <v>0.25</v>
      </c>
      <c r="E59" s="588">
        <f>'数据-汇总表'!E13</f>
        <v>18058.14</v>
      </c>
      <c r="F59" s="1606" t="e">
        <f t="shared" si="14"/>
        <v>#DIV/0!</v>
      </c>
      <c r="G59" s="1602" t="s">
        <v>851</v>
      </c>
      <c r="H59" s="1610" t="str">
        <f>IF(G59="商业",项目基本情况!B43,IF(G59="办公",项目基本情况!C43,IF(G59="住宅",项目基本情况!D43,项目基本情况!E43)))</f>
        <v>五级</v>
      </c>
      <c r="I59" s="1609">
        <f>SUMIF(修正!$A$57:$A$68,H59,修正!G57:G68)</f>
        <v>0.15</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2.75">
      <c r="A60" s="584" t="s">
        <v>519</v>
      </c>
      <c r="B60" s="585" t="e">
        <f t="shared" si="16"/>
        <v>#DIV/0!</v>
      </c>
      <c r="C60" s="348">
        <f t="shared" si="15"/>
        <v>0.15</v>
      </c>
      <c r="D60" s="1820">
        <v>0.25</v>
      </c>
      <c r="E60" s="588">
        <f>'数据-汇总表'!E14</f>
        <v>0</v>
      </c>
      <c r="F60" s="1606" t="e">
        <f t="shared" si="14"/>
        <v>#DIV/0!</v>
      </c>
      <c r="G60" s="1612" t="s">
        <v>1640</v>
      </c>
      <c r="H60" s="1611" t="str">
        <f>项目基本情况!B43</f>
        <v>五级</v>
      </c>
      <c r="I60" s="1609">
        <f>SUMIF(修正!$A$57:$A$68,H60,修正!G57:G68)</f>
        <v>0.15</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3.5" thickBot="1">
      <c r="A61" s="584" t="s">
        <v>520</v>
      </c>
      <c r="B61" s="585" t="e">
        <f t="shared" si="16"/>
        <v>#DIV/0!</v>
      </c>
      <c r="C61" s="348">
        <f t="shared" si="15"/>
        <v>0.15</v>
      </c>
      <c r="D61" s="1820">
        <v>0.25</v>
      </c>
      <c r="E61" s="588">
        <f>'数据-汇总表'!E15</f>
        <v>0</v>
      </c>
      <c r="F61" s="1606" t="e">
        <f t="shared" si="14"/>
        <v>#DIV/0!</v>
      </c>
      <c r="G61" s="1613" t="s">
        <v>1641</v>
      </c>
      <c r="H61" s="1614" t="str">
        <f>项目基本情况!C43</f>
        <v>五级</v>
      </c>
      <c r="I61" s="1609">
        <f>SUMIF(修正!$A$57:$A$68,H61,修正!G57:G68)</f>
        <v>0.15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3.5" thickBot="1">
      <c r="A62" s="589" t="s">
        <v>521</v>
      </c>
      <c r="B62" s="590" t="s">
        <v>11</v>
      </c>
      <c r="C62" s="590" t="s">
        <v>12</v>
      </c>
      <c r="D62" s="590" t="s">
        <v>1648</v>
      </c>
      <c r="E62" s="590">
        <f>IF(B43="楼面地价",SUM(E53:E61),'数据-汇总表'!D3)</f>
        <v>36842.300000000003</v>
      </c>
      <c r="F62" s="591"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2025-5-1</v>
      </c>
      <c r="D64" s="2108">
        <f>EDATE(C64,-3)</f>
        <v>45689</v>
      </c>
      <c r="E64" s="2108">
        <f t="shared" ref="E64:N64" si="17">EDATE(D64,-3)</f>
        <v>45597</v>
      </c>
      <c r="F64" s="2108">
        <f t="shared" si="17"/>
        <v>45505</v>
      </c>
      <c r="G64" s="2108">
        <f t="shared" si="17"/>
        <v>45413</v>
      </c>
      <c r="H64" s="2108">
        <f t="shared" si="17"/>
        <v>45323</v>
      </c>
      <c r="I64" s="2108">
        <f t="shared" si="17"/>
        <v>45231</v>
      </c>
      <c r="J64" s="2108">
        <f t="shared" si="17"/>
        <v>45139</v>
      </c>
      <c r="K64" s="2108">
        <f t="shared" si="17"/>
        <v>45047</v>
      </c>
      <c r="L64" s="2108">
        <f t="shared" si="17"/>
        <v>44958</v>
      </c>
      <c r="M64" s="2108">
        <f t="shared" si="17"/>
        <v>44866</v>
      </c>
      <c r="N64" s="2108">
        <f t="shared" si="17"/>
        <v>44774</v>
      </c>
      <c r="O64" s="1739"/>
      <c r="P64" s="1739"/>
      <c r="Q64" s="1739"/>
      <c r="R64" s="1739"/>
      <c r="S64" s="1739"/>
      <c r="T64" s="1739"/>
      <c r="U64" s="1739"/>
      <c r="V64" s="1739"/>
      <c r="W64" s="1739"/>
      <c r="X64" s="1739"/>
      <c r="Y64" s="1739"/>
      <c r="Z64" s="1739"/>
      <c r="AA64" s="1739"/>
      <c r="AB64" s="1739"/>
      <c r="AC64" s="1739"/>
    </row>
    <row r="65" spans="1:29" ht="21.75" thickBot="1">
      <c r="A65" s="1315" t="s">
        <v>522</v>
      </c>
      <c r="B65" s="799"/>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9" customFormat="1" ht="15">
      <c r="A66" s="2039"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1"/>
      <c r="P66" s="1762"/>
      <c r="Q66" s="1762"/>
      <c r="R66" s="1762"/>
      <c r="S66" s="1762"/>
      <c r="T66" s="1762"/>
      <c r="U66" s="1762"/>
      <c r="V66" s="1762"/>
      <c r="W66" s="1762"/>
      <c r="X66" s="1762"/>
      <c r="Y66" s="1762"/>
      <c r="Z66" s="1762"/>
      <c r="AA66" s="1762"/>
      <c r="AB66" s="1762"/>
      <c r="AC66" s="1762"/>
    </row>
    <row r="67" spans="1:29" s="1058" customFormat="1" ht="27.75" customHeight="1">
      <c r="A67" s="2107" t="s">
        <v>1926</v>
      </c>
      <c r="B67" s="448" t="str">
        <f>"北京市平均增长率"&amp;TEXT(基准地价!P28,"0.00%")</f>
        <v>北京市平均增长率0.00%</v>
      </c>
      <c r="C67" s="817">
        <v>100</v>
      </c>
      <c r="D67" s="79"/>
      <c r="E67" s="79"/>
      <c r="F67" s="79"/>
      <c r="G67" s="79"/>
      <c r="H67" s="79"/>
      <c r="I67" s="79"/>
      <c r="J67" s="79"/>
      <c r="K67" s="79"/>
      <c r="L67" s="79"/>
      <c r="M67" s="91"/>
      <c r="N67" s="534"/>
      <c r="O67" s="1763"/>
      <c r="P67" s="1760"/>
      <c r="Q67" s="1637"/>
      <c r="R67" s="1637"/>
      <c r="S67" s="1637"/>
      <c r="T67" s="1637"/>
      <c r="U67" s="1637"/>
      <c r="V67" s="1637"/>
      <c r="W67" s="1637"/>
      <c r="X67" s="1637"/>
      <c r="Y67" s="1637"/>
      <c r="Z67" s="1637"/>
      <c r="AA67" s="1637"/>
      <c r="AB67" s="1637"/>
      <c r="AC67" s="1637"/>
    </row>
    <row r="68" spans="1:29" s="1058" customFormat="1" ht="15.75" thickBot="1">
      <c r="A68" s="262" t="s">
        <v>523</v>
      </c>
      <c r="B68" s="598"/>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8" customFormat="1" ht="15">
      <c r="A69" s="603" t="s">
        <v>480</v>
      </c>
      <c r="B69" s="594"/>
      <c r="C69" s="604" t="s">
        <v>524</v>
      </c>
      <c r="D69" s="80"/>
      <c r="E69" s="80"/>
      <c r="F69" s="80"/>
      <c r="G69" s="80"/>
      <c r="H69" s="80"/>
      <c r="I69" s="80"/>
      <c r="J69" s="80"/>
      <c r="K69" s="80"/>
      <c r="L69" s="605"/>
      <c r="M69" s="606"/>
      <c r="N69" s="2730"/>
      <c r="O69" s="1763"/>
      <c r="P69" s="1644"/>
      <c r="Q69" s="1760"/>
      <c r="R69" s="1637"/>
      <c r="S69" s="1637"/>
      <c r="T69" s="1637"/>
      <c r="U69" s="1637"/>
      <c r="V69" s="1637"/>
      <c r="W69" s="1637"/>
      <c r="X69" s="1637"/>
      <c r="Y69" s="1637"/>
      <c r="Z69" s="1637"/>
      <c r="AA69" s="1637"/>
      <c r="AB69" s="1637"/>
      <c r="AC69" s="1637"/>
    </row>
    <row r="70" spans="1:29" s="1058" customFormat="1" ht="15.75" thickBot="1">
      <c r="A70" s="603"/>
      <c r="B70" s="594"/>
      <c r="C70" s="595">
        <v>100</v>
      </c>
      <c r="D70" s="596"/>
      <c r="E70" s="596"/>
      <c r="F70" s="596"/>
      <c r="G70" s="596"/>
      <c r="H70" s="596"/>
      <c r="I70" s="596"/>
      <c r="J70" s="596"/>
      <c r="K70" s="596"/>
      <c r="L70" s="596"/>
      <c r="M70" s="597"/>
      <c r="N70" s="2730"/>
      <c r="O70" s="1763"/>
      <c r="P70" s="1760"/>
      <c r="Q70" s="1760"/>
      <c r="R70" s="1637"/>
      <c r="S70" s="1637"/>
      <c r="T70" s="1637"/>
      <c r="U70" s="1637"/>
      <c r="V70" s="1637"/>
      <c r="W70" s="1637"/>
      <c r="X70" s="1637"/>
      <c r="Y70" s="1637"/>
      <c r="Z70" s="1637"/>
      <c r="AA70" s="1637"/>
      <c r="AB70" s="1637"/>
      <c r="AC70" s="1637"/>
    </row>
    <row r="71" spans="1:29">
      <c r="A71" s="607" t="s">
        <v>525</v>
      </c>
      <c r="B71" s="608" t="s">
        <v>483</v>
      </c>
      <c r="C71" s="547"/>
      <c r="D71" s="547"/>
      <c r="E71" s="547"/>
      <c r="F71" s="547"/>
      <c r="G71" s="547"/>
      <c r="H71" s="547"/>
      <c r="I71" s="547"/>
      <c r="J71" s="547"/>
      <c r="K71" s="609"/>
      <c r="L71" s="610"/>
      <c r="M71" s="611"/>
      <c r="N71" s="2731"/>
      <c r="O71" s="1764"/>
      <c r="P71" s="1763"/>
      <c r="Q71" s="1760"/>
      <c r="R71" s="1739"/>
      <c r="S71" s="1739"/>
      <c r="T71" s="1739"/>
      <c r="U71" s="1739"/>
      <c r="V71" s="1739"/>
      <c r="W71" s="1739"/>
      <c r="X71" s="1739"/>
      <c r="Y71" s="1739"/>
      <c r="Z71" s="1739"/>
      <c r="AA71" s="1739"/>
      <c r="AB71" s="1739"/>
      <c r="AC71" s="1739"/>
    </row>
    <row r="72" spans="1:29" ht="15.75" thickBot="1">
      <c r="A72" s="482"/>
      <c r="B72" s="612"/>
      <c r="C72" s="613"/>
      <c r="D72" s="613"/>
      <c r="E72" s="613"/>
      <c r="F72" s="613"/>
      <c r="G72" s="613"/>
      <c r="H72" s="613"/>
      <c r="I72" s="613"/>
      <c r="J72" s="613"/>
      <c r="K72" s="613"/>
      <c r="L72" s="613"/>
      <c r="M72" s="614"/>
      <c r="N72" s="2732"/>
      <c r="O72" s="1765"/>
      <c r="P72" s="1763"/>
      <c r="Q72" s="1760"/>
      <c r="R72" s="1739"/>
      <c r="S72" s="1739"/>
      <c r="T72" s="1739"/>
      <c r="U72" s="1739"/>
      <c r="V72" s="1739"/>
      <c r="W72" s="1739"/>
      <c r="X72" s="1739"/>
      <c r="Y72" s="1739"/>
      <c r="Z72" s="1739"/>
      <c r="AA72" s="1739"/>
      <c r="AB72" s="1739"/>
      <c r="AC72" s="1739"/>
    </row>
    <row r="73" spans="1:29" ht="27.75" thickTop="1">
      <c r="A73" s="482"/>
      <c r="B73" s="615" t="s">
        <v>486</v>
      </c>
      <c r="C73" s="616"/>
      <c r="D73" s="616"/>
      <c r="E73" s="616"/>
      <c r="F73" s="616"/>
      <c r="G73" s="616"/>
      <c r="H73" s="616"/>
      <c r="I73" s="616"/>
      <c r="J73" s="616"/>
      <c r="K73" s="617"/>
      <c r="L73" s="618"/>
      <c r="M73" s="619"/>
      <c r="N73" s="2731"/>
      <c r="O73" s="1764"/>
      <c r="P73" s="1763"/>
      <c r="Q73" s="1760"/>
      <c r="R73" s="1739"/>
      <c r="S73" s="1739"/>
      <c r="T73" s="1739"/>
      <c r="U73" s="1739"/>
      <c r="V73" s="1739"/>
      <c r="W73" s="1739"/>
      <c r="X73" s="1739"/>
      <c r="Y73" s="1739"/>
      <c r="Z73" s="1739"/>
      <c r="AA73" s="1739"/>
      <c r="AB73" s="1739"/>
      <c r="AC73" s="1739"/>
    </row>
    <row r="74" spans="1:29" ht="15.75" thickBot="1">
      <c r="A74" s="482"/>
      <c r="B74" s="620"/>
      <c r="C74" s="621"/>
      <c r="D74" s="621"/>
      <c r="E74" s="621"/>
      <c r="F74" s="621"/>
      <c r="G74" s="621"/>
      <c r="H74" s="621"/>
      <c r="I74" s="621"/>
      <c r="J74" s="621"/>
      <c r="K74" s="621"/>
      <c r="L74" s="621"/>
      <c r="M74" s="622"/>
      <c r="N74" s="2732"/>
      <c r="O74" s="1765"/>
      <c r="P74" s="1763"/>
      <c r="Q74" s="1760"/>
      <c r="R74" s="1739"/>
      <c r="S74" s="1739"/>
      <c r="T74" s="1739"/>
      <c r="U74" s="1739"/>
      <c r="V74" s="1739"/>
      <c r="W74" s="1739"/>
      <c r="X74" s="1739"/>
      <c r="Y74" s="1739"/>
      <c r="Z74" s="1739"/>
      <c r="AA74" s="1739"/>
      <c r="AB74" s="1739"/>
      <c r="AC74" s="1739"/>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2"/>
      <c r="O75" s="1765"/>
      <c r="P75" s="1763"/>
      <c r="Q75" s="1760"/>
      <c r="R75" s="1739"/>
      <c r="S75" s="1739"/>
      <c r="T75" s="1739"/>
      <c r="U75" s="1739"/>
      <c r="V75" s="1739"/>
      <c r="W75" s="1739"/>
      <c r="X75" s="1739"/>
      <c r="Y75" s="1739"/>
      <c r="Z75" s="1739"/>
      <c r="AA75" s="1739"/>
      <c r="AB75" s="1739"/>
      <c r="AC75" s="1739"/>
    </row>
    <row r="76" spans="1:29" ht="15">
      <c r="A76" s="482"/>
      <c r="B76" s="625"/>
      <c r="C76" s="491"/>
      <c r="D76" s="491"/>
      <c r="E76" s="491"/>
      <c r="F76" s="491"/>
      <c r="G76" s="491"/>
      <c r="H76" s="491"/>
      <c r="I76" s="491"/>
      <c r="J76" s="491"/>
      <c r="K76" s="626"/>
      <c r="L76" s="627"/>
      <c r="M76" s="628"/>
      <c r="N76" s="2731"/>
      <c r="O76" s="1764"/>
      <c r="P76" s="1763"/>
      <c r="Q76" s="1760"/>
      <c r="R76" s="1739"/>
      <c r="S76" s="1739"/>
      <c r="T76" s="1739"/>
      <c r="U76" s="1739"/>
      <c r="V76" s="1739"/>
      <c r="W76" s="1739"/>
      <c r="X76" s="1739"/>
      <c r="Y76" s="1739"/>
      <c r="Z76" s="1739"/>
      <c r="AA76" s="1739"/>
      <c r="AB76" s="1739"/>
      <c r="AC76" s="1739"/>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2"/>
      <c r="O77" s="1765"/>
      <c r="P77" s="1763"/>
      <c r="Q77" s="1760"/>
      <c r="R77" s="1739"/>
      <c r="S77" s="1739"/>
      <c r="T77" s="1739"/>
      <c r="U77" s="1739"/>
      <c r="V77" s="1739"/>
      <c r="W77" s="1739"/>
      <c r="X77" s="1739"/>
      <c r="Y77" s="1739"/>
      <c r="Z77" s="1739"/>
      <c r="AA77" s="1739"/>
      <c r="AB77" s="1739"/>
      <c r="AC77" s="1739"/>
    </row>
    <row r="78" spans="1:29" s="1132" customFormat="1" ht="15.75" thickTop="1">
      <c r="A78" s="629"/>
      <c r="B78" s="615">
        <f>B14</f>
        <v>111</v>
      </c>
      <c r="C78" s="630"/>
      <c r="D78" s="630"/>
      <c r="E78" s="630"/>
      <c r="F78" s="630"/>
      <c r="G78" s="630"/>
      <c r="H78" s="631"/>
      <c r="I78" s="631"/>
      <c r="J78" s="631"/>
      <c r="K78" s="631"/>
      <c r="L78" s="632"/>
      <c r="M78" s="633"/>
      <c r="N78" s="2733"/>
      <c r="O78" s="1766"/>
      <c r="P78" s="1766"/>
      <c r="Q78" s="1767"/>
      <c r="R78" s="1768"/>
      <c r="S78" s="1768"/>
      <c r="T78" s="1768"/>
      <c r="U78" s="1768"/>
      <c r="V78" s="1768"/>
      <c r="W78" s="1768"/>
      <c r="X78" s="1768"/>
      <c r="Y78" s="1768"/>
      <c r="Z78" s="1768"/>
      <c r="AA78" s="1768"/>
      <c r="AB78" s="1768"/>
      <c r="AC78" s="1768"/>
    </row>
    <row r="79" spans="1:29" s="1132" customFormat="1" ht="15.75" thickBot="1">
      <c r="A79" s="629"/>
      <c r="B79" s="620"/>
      <c r="C79" s="634"/>
      <c r="D79" s="613"/>
      <c r="E79" s="613"/>
      <c r="F79" s="613"/>
      <c r="G79" s="613"/>
      <c r="H79" s="613"/>
      <c r="I79" s="613"/>
      <c r="J79" s="613"/>
      <c r="K79" s="613"/>
      <c r="L79" s="613"/>
      <c r="M79" s="614"/>
      <c r="N79" s="2732"/>
      <c r="O79" s="1765"/>
      <c r="P79" s="1766"/>
      <c r="Q79" s="1767"/>
      <c r="R79" s="1768"/>
      <c r="S79" s="1768"/>
      <c r="T79" s="1768"/>
      <c r="U79" s="1768"/>
      <c r="V79" s="1768"/>
      <c r="W79" s="1768"/>
      <c r="X79" s="1768"/>
      <c r="Y79" s="1768"/>
      <c r="Z79" s="1768"/>
      <c r="AA79" s="1768"/>
      <c r="AB79" s="1768"/>
      <c r="AC79" s="1768"/>
    </row>
    <row r="80" spans="1:29" s="1132" customFormat="1" ht="15.75" thickTop="1">
      <c r="A80" s="629"/>
      <c r="B80" s="615">
        <f>B15</f>
        <v>111</v>
      </c>
      <c r="C80" s="630"/>
      <c r="D80" s="630"/>
      <c r="E80" s="630"/>
      <c r="F80" s="630"/>
      <c r="G80" s="630"/>
      <c r="H80" s="631"/>
      <c r="I80" s="631"/>
      <c r="J80" s="631"/>
      <c r="K80" s="631"/>
      <c r="L80" s="632"/>
      <c r="M80" s="633"/>
      <c r="N80" s="2733"/>
      <c r="O80" s="1766"/>
      <c r="P80" s="1768"/>
      <c r="Q80" s="1769"/>
      <c r="R80" s="1768"/>
      <c r="S80" s="1768"/>
      <c r="T80" s="1768"/>
      <c r="U80" s="1768"/>
      <c r="V80" s="1768"/>
      <c r="W80" s="1768"/>
      <c r="X80" s="1768"/>
      <c r="Y80" s="1768"/>
      <c r="Z80" s="1768"/>
      <c r="AA80" s="1768"/>
      <c r="AB80" s="1768"/>
      <c r="AC80" s="1768"/>
    </row>
    <row r="81" spans="1:29" s="1132" customFormat="1" ht="15.75" thickBot="1">
      <c r="A81" s="629"/>
      <c r="B81" s="620"/>
      <c r="C81" s="634"/>
      <c r="D81" s="634"/>
      <c r="E81" s="634"/>
      <c r="F81" s="634"/>
      <c r="G81" s="634"/>
      <c r="H81" s="635"/>
      <c r="I81" s="635"/>
      <c r="J81" s="635"/>
      <c r="K81" s="635"/>
      <c r="L81" s="635"/>
      <c r="M81" s="636"/>
      <c r="N81" s="2733"/>
      <c r="O81" s="1766"/>
      <c r="P81" s="1766"/>
      <c r="Q81" s="1767"/>
      <c r="R81" s="1768"/>
      <c r="S81" s="1768"/>
      <c r="T81" s="1768"/>
      <c r="U81" s="1768"/>
      <c r="V81" s="1768"/>
      <c r="W81" s="1768"/>
      <c r="X81" s="1768"/>
      <c r="Y81" s="1768"/>
      <c r="Z81" s="1768"/>
      <c r="AA81" s="1768"/>
      <c r="AB81" s="1768"/>
      <c r="AC81" s="1768"/>
    </row>
    <row r="82" spans="1:29" s="1132" customFormat="1" ht="15.75" thickTop="1">
      <c r="A82" s="629"/>
      <c r="B82" s="623">
        <f>B16</f>
        <v>111</v>
      </c>
      <c r="C82" s="80"/>
      <c r="D82" s="80"/>
      <c r="E82" s="80"/>
      <c r="F82" s="80"/>
      <c r="G82" s="80"/>
      <c r="H82" s="637"/>
      <c r="I82" s="637"/>
      <c r="J82" s="637"/>
      <c r="K82" s="637"/>
      <c r="L82" s="638"/>
      <c r="M82" s="639"/>
      <c r="N82" s="2733"/>
      <c r="O82" s="1766"/>
      <c r="P82" s="1770"/>
      <c r="Q82" s="1767"/>
      <c r="R82" s="1768"/>
      <c r="S82" s="1768"/>
      <c r="T82" s="1768"/>
      <c r="U82" s="1768"/>
      <c r="V82" s="1768"/>
      <c r="W82" s="1768"/>
      <c r="X82" s="1768"/>
      <c r="Y82" s="1768"/>
      <c r="Z82" s="1768"/>
      <c r="AA82" s="1768"/>
      <c r="AB82" s="1768"/>
      <c r="AC82" s="1768"/>
    </row>
    <row r="83" spans="1:29" s="1132" customFormat="1" ht="15.75" thickBot="1">
      <c r="A83" s="640"/>
      <c r="B83" s="641"/>
      <c r="C83" s="642"/>
      <c r="D83" s="642"/>
      <c r="E83" s="642"/>
      <c r="F83" s="642"/>
      <c r="G83" s="642"/>
      <c r="H83" s="643"/>
      <c r="I83" s="643"/>
      <c r="J83" s="643"/>
      <c r="K83" s="643"/>
      <c r="L83" s="643"/>
      <c r="M83" s="644"/>
      <c r="N83" s="2733"/>
      <c r="O83" s="1766"/>
      <c r="P83" s="1766"/>
      <c r="Q83" s="1767"/>
      <c r="R83" s="1768"/>
      <c r="S83" s="1768"/>
      <c r="T83" s="1768"/>
      <c r="U83" s="1768"/>
      <c r="V83" s="1768"/>
      <c r="W83" s="1768"/>
      <c r="X83" s="1768"/>
      <c r="Y83" s="1768"/>
      <c r="Z83" s="1768"/>
      <c r="AA83" s="1768"/>
      <c r="AB83" s="1768"/>
      <c r="AC83" s="1768"/>
    </row>
    <row r="84" spans="1:29">
      <c r="A84" s="607" t="s">
        <v>488</v>
      </c>
      <c r="B84" s="608" t="s">
        <v>550</v>
      </c>
      <c r="C84" s="143" t="s">
        <v>527</v>
      </c>
      <c r="D84" s="143" t="s">
        <v>528</v>
      </c>
      <c r="E84" s="143" t="s">
        <v>529</v>
      </c>
      <c r="F84" s="143" t="s">
        <v>530</v>
      </c>
      <c r="G84" s="143" t="s">
        <v>531</v>
      </c>
      <c r="H84" s="645"/>
      <c r="I84" s="645"/>
      <c r="J84" s="645"/>
      <c r="K84" s="646"/>
      <c r="L84" s="647"/>
      <c r="M84" s="648"/>
      <c r="N84" s="2731"/>
      <c r="O84" s="1764"/>
      <c r="P84" s="1771"/>
      <c r="Q84" s="1760"/>
      <c r="R84" s="1739"/>
      <c r="S84" s="1739"/>
      <c r="T84" s="1739"/>
      <c r="U84" s="1739"/>
      <c r="V84" s="1739"/>
      <c r="W84" s="1739"/>
      <c r="X84" s="1739"/>
      <c r="Y84" s="1739"/>
      <c r="Z84" s="1739"/>
      <c r="AA84" s="1739"/>
      <c r="AB84" s="1739"/>
      <c r="AC84" s="1739"/>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2"/>
      <c r="O85" s="1765"/>
      <c r="P85" s="1763"/>
      <c r="Q85" s="1760"/>
      <c r="R85" s="1739"/>
      <c r="S85" s="1739"/>
      <c r="T85" s="1739"/>
      <c r="U85" s="1739"/>
      <c r="V85" s="1739"/>
      <c r="W85" s="1739"/>
      <c r="X85" s="1739"/>
      <c r="Y85" s="1739"/>
      <c r="Z85" s="1739"/>
      <c r="AA85" s="1739"/>
      <c r="AB85" s="1739"/>
      <c r="AC85" s="1739"/>
    </row>
    <row r="86" spans="1:29" ht="15.75" thickTop="1">
      <c r="A86" s="482"/>
      <c r="B86" s="615" t="s">
        <v>534</v>
      </c>
      <c r="C86" s="649" t="s">
        <v>527</v>
      </c>
      <c r="D86" s="649" t="s">
        <v>528</v>
      </c>
      <c r="E86" s="649" t="s">
        <v>529</v>
      </c>
      <c r="F86" s="649" t="s">
        <v>530</v>
      </c>
      <c r="G86" s="649" t="s">
        <v>531</v>
      </c>
      <c r="H86" s="616"/>
      <c r="I86" s="616"/>
      <c r="J86" s="616"/>
      <c r="K86" s="617"/>
      <c r="L86" s="618"/>
      <c r="M86" s="619"/>
      <c r="N86" s="2731"/>
      <c r="O86" s="1764"/>
      <c r="P86" s="1763"/>
      <c r="Q86" s="1760"/>
      <c r="R86" s="1739"/>
      <c r="S86" s="1739"/>
      <c r="T86" s="1739"/>
      <c r="U86" s="1739"/>
      <c r="V86" s="1739"/>
      <c r="W86" s="1739"/>
      <c r="X86" s="1739"/>
      <c r="Y86" s="1739"/>
      <c r="Z86" s="1739"/>
      <c r="AA86" s="1739"/>
      <c r="AB86" s="1739"/>
      <c r="AC86" s="1739"/>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2"/>
      <c r="O87" s="1765"/>
      <c r="P87" s="1763"/>
      <c r="Q87" s="1760"/>
      <c r="R87" s="1739"/>
      <c r="S87" s="1739"/>
      <c r="T87" s="1739"/>
      <c r="U87" s="1739"/>
      <c r="V87" s="1739"/>
      <c r="W87" s="1739"/>
      <c r="X87" s="1739"/>
      <c r="Y87" s="1739"/>
      <c r="Z87" s="1739"/>
      <c r="AA87" s="1739"/>
      <c r="AB87" s="1739"/>
      <c r="AC87" s="1739"/>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0"/>
      <c r="O88" s="1763"/>
      <c r="P88" s="1763"/>
      <c r="Q88" s="1760"/>
      <c r="R88" s="1637"/>
      <c r="S88" s="1637"/>
      <c r="T88" s="1637"/>
      <c r="U88" s="1637"/>
      <c r="V88" s="1637"/>
      <c r="W88" s="1637"/>
      <c r="X88" s="1637"/>
      <c r="Y88" s="1637"/>
      <c r="Z88" s="1637"/>
      <c r="AA88" s="1637"/>
      <c r="AB88" s="1637"/>
      <c r="AC88" s="1637"/>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2"/>
      <c r="O89" s="1765"/>
      <c r="P89" s="1763"/>
      <c r="Q89" s="1760"/>
      <c r="R89" s="1637"/>
      <c r="S89" s="1637"/>
      <c r="T89" s="1637"/>
      <c r="U89" s="1637"/>
      <c r="V89" s="1637"/>
      <c r="W89" s="1637"/>
      <c r="X89" s="1637"/>
      <c r="Y89" s="1637"/>
      <c r="Z89" s="1637"/>
      <c r="AA89" s="1637"/>
      <c r="AB89" s="1637"/>
      <c r="AC89" s="1637"/>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0"/>
      <c r="O90" s="1763"/>
      <c r="P90" s="1763"/>
      <c r="Q90" s="1760"/>
      <c r="R90" s="1637"/>
      <c r="S90" s="1637"/>
      <c r="T90" s="1637"/>
      <c r="U90" s="1637"/>
      <c r="V90" s="1637"/>
      <c r="W90" s="1637"/>
      <c r="X90" s="1637"/>
      <c r="Y90" s="1637"/>
      <c r="Z90" s="1637"/>
      <c r="AA90" s="1637"/>
      <c r="AB90" s="1637"/>
      <c r="AC90" s="1637"/>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2"/>
      <c r="O91" s="1765"/>
      <c r="P91" s="1763"/>
      <c r="Q91" s="1760"/>
      <c r="R91" s="1637"/>
      <c r="S91" s="1637"/>
      <c r="T91" s="1637"/>
      <c r="U91" s="1637"/>
      <c r="V91" s="1637"/>
      <c r="W91" s="1637"/>
      <c r="X91" s="1637"/>
      <c r="Y91" s="1637"/>
      <c r="Z91" s="1637"/>
      <c r="AA91" s="1637"/>
      <c r="AB91" s="1637"/>
      <c r="AC91" s="1637"/>
    </row>
    <row r="92" spans="1:29" s="1132" customFormat="1" ht="15.75" thickTop="1">
      <c r="A92" s="629"/>
      <c r="B92" s="1552" t="s">
        <v>1826</v>
      </c>
      <c r="C92" s="143" t="s">
        <v>527</v>
      </c>
      <c r="D92" s="143" t="s">
        <v>528</v>
      </c>
      <c r="E92" s="143" t="s">
        <v>529</v>
      </c>
      <c r="F92" s="143" t="s">
        <v>530</v>
      </c>
      <c r="G92" s="143" t="s">
        <v>531</v>
      </c>
      <c r="H92" s="653"/>
      <c r="I92" s="653"/>
      <c r="J92" s="653"/>
      <c r="K92" s="653"/>
      <c r="L92" s="654"/>
      <c r="M92" s="655"/>
      <c r="N92" s="2733"/>
      <c r="O92" s="1766"/>
      <c r="P92" s="1766"/>
      <c r="Q92" s="1767"/>
      <c r="R92" s="1768"/>
      <c r="S92" s="1768"/>
      <c r="T92" s="1768"/>
      <c r="U92" s="1768"/>
      <c r="V92" s="1768"/>
      <c r="W92" s="1768"/>
      <c r="X92" s="1768"/>
      <c r="Y92" s="1768"/>
      <c r="Z92" s="1768"/>
      <c r="AA92" s="1768"/>
      <c r="AB92" s="1768"/>
      <c r="AC92" s="1768"/>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3"/>
      <c r="O93" s="1766"/>
      <c r="P93" s="1766"/>
      <c r="Q93" s="1767"/>
      <c r="R93" s="1768"/>
      <c r="S93" s="1768"/>
      <c r="T93" s="1768"/>
      <c r="U93" s="1768"/>
      <c r="V93" s="1768"/>
      <c r="W93" s="1768"/>
      <c r="X93" s="1768"/>
      <c r="Y93" s="1768"/>
      <c r="Z93" s="1768"/>
      <c r="AA93" s="1768"/>
      <c r="AB93" s="1768"/>
      <c r="AC93" s="1768"/>
    </row>
    <row r="94" spans="1:29" s="1132" customFormat="1" ht="15.75" thickTop="1">
      <c r="A94" s="629"/>
      <c r="B94" s="2053" t="s">
        <v>1828</v>
      </c>
      <c r="C94" s="2054" t="s">
        <v>1829</v>
      </c>
      <c r="D94" s="2054" t="s">
        <v>1830</v>
      </c>
      <c r="E94" s="2054" t="s">
        <v>1831</v>
      </c>
      <c r="F94" s="2054" t="s">
        <v>1832</v>
      </c>
      <c r="G94" s="2054" t="s">
        <v>1833</v>
      </c>
      <c r="H94" s="653"/>
      <c r="I94" s="653"/>
      <c r="J94" s="653"/>
      <c r="K94" s="653"/>
      <c r="L94" s="653"/>
      <c r="M94" s="655"/>
      <c r="N94" s="2733"/>
      <c r="O94" s="1766"/>
      <c r="P94" s="1766"/>
      <c r="Q94" s="1767"/>
      <c r="R94" s="1768"/>
      <c r="S94" s="1768"/>
      <c r="T94" s="1768"/>
      <c r="U94" s="1768"/>
      <c r="V94" s="1768"/>
      <c r="W94" s="1768"/>
      <c r="X94" s="1768"/>
      <c r="Y94" s="1768"/>
      <c r="Z94" s="1768"/>
      <c r="AA94" s="1768"/>
      <c r="AB94" s="1768"/>
      <c r="AC94" s="1768"/>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6"/>
      <c r="N95" s="2733"/>
      <c r="O95" s="1766"/>
      <c r="P95" s="1766"/>
      <c r="Q95" s="1767"/>
      <c r="R95" s="1768"/>
      <c r="S95" s="1768"/>
      <c r="T95" s="1768"/>
      <c r="U95" s="1768"/>
      <c r="V95" s="1768"/>
      <c r="W95" s="1768"/>
      <c r="X95" s="1768"/>
      <c r="Y95" s="1768"/>
      <c r="Z95" s="1768"/>
      <c r="AA95" s="1768"/>
      <c r="AB95" s="1768"/>
      <c r="AC95" s="1768"/>
    </row>
    <row r="96" spans="1:29" ht="15.75" thickTop="1">
      <c r="A96" s="482"/>
      <c r="B96" s="615" t="str">
        <f>B29</f>
        <v>临街状况</v>
      </c>
      <c r="C96" s="616" t="s">
        <v>537</v>
      </c>
      <c r="D96" s="616" t="s">
        <v>538</v>
      </c>
      <c r="E96" s="616" t="s">
        <v>539</v>
      </c>
      <c r="F96" s="616" t="s">
        <v>540</v>
      </c>
      <c r="G96" s="616"/>
      <c r="H96" s="616"/>
      <c r="I96" s="616"/>
      <c r="J96" s="616"/>
      <c r="K96" s="617"/>
      <c r="L96" s="618"/>
      <c r="M96" s="619"/>
      <c r="N96" s="2731"/>
      <c r="O96" s="1764"/>
      <c r="P96" s="1763"/>
      <c r="Q96" s="1760"/>
      <c r="R96" s="1739"/>
      <c r="S96" s="1739"/>
      <c r="T96" s="1739"/>
      <c r="U96" s="1739"/>
      <c r="V96" s="1739"/>
      <c r="W96" s="1739"/>
      <c r="X96" s="1739"/>
      <c r="Y96" s="1739"/>
      <c r="Z96" s="1739"/>
      <c r="AA96" s="1739"/>
      <c r="AB96" s="1739"/>
      <c r="AC96" s="1739"/>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2"/>
      <c r="O97" s="1765"/>
      <c r="P97" s="1763"/>
      <c r="Q97" s="1760"/>
      <c r="R97" s="1739"/>
      <c r="S97" s="1739"/>
      <c r="T97" s="1739"/>
      <c r="U97" s="1739"/>
      <c r="V97" s="1739"/>
      <c r="W97" s="1739"/>
      <c r="X97" s="1739"/>
      <c r="Y97" s="1739"/>
      <c r="Z97" s="1739"/>
      <c r="AA97" s="1739"/>
      <c r="AB97" s="1739"/>
      <c r="AC97" s="1739"/>
    </row>
    <row r="98" spans="1:29" ht="27.75" thickTop="1">
      <c r="A98" s="482"/>
      <c r="B98" s="615" t="s">
        <v>497</v>
      </c>
      <c r="C98" s="630"/>
      <c r="D98" s="630"/>
      <c r="E98" s="630"/>
      <c r="F98" s="630"/>
      <c r="G98" s="630"/>
      <c r="H98" s="658"/>
      <c r="I98" s="658"/>
      <c r="J98" s="658"/>
      <c r="K98" s="659"/>
      <c r="L98" s="660"/>
      <c r="M98" s="661"/>
      <c r="N98" s="2731"/>
      <c r="O98" s="1764"/>
      <c r="P98" s="1763"/>
      <c r="Q98" s="1760"/>
      <c r="R98" s="1739"/>
      <c r="S98" s="1739"/>
      <c r="T98" s="1739"/>
      <c r="U98" s="1739"/>
      <c r="V98" s="1739"/>
      <c r="W98" s="1739"/>
      <c r="X98" s="1739"/>
      <c r="Y98" s="1739"/>
      <c r="Z98" s="1739"/>
      <c r="AA98" s="1739"/>
      <c r="AB98" s="1739"/>
      <c r="AC98" s="1739"/>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2"/>
      <c r="O99" s="1765"/>
      <c r="P99" s="1763"/>
      <c r="Q99" s="1760"/>
      <c r="R99" s="1739"/>
      <c r="S99" s="1739"/>
      <c r="T99" s="1739"/>
      <c r="U99" s="1739"/>
      <c r="V99" s="1739"/>
      <c r="W99" s="1739"/>
      <c r="X99" s="1739"/>
      <c r="Y99" s="1739"/>
      <c r="Z99" s="1739"/>
      <c r="AA99" s="1739"/>
      <c r="AB99" s="1739"/>
      <c r="AC99" s="1739"/>
    </row>
    <row r="100" spans="1:29" ht="15.75" thickTop="1">
      <c r="A100" s="482"/>
      <c r="B100" s="615" t="s">
        <v>498</v>
      </c>
      <c r="C100" s="658"/>
      <c r="D100" s="658"/>
      <c r="E100" s="658"/>
      <c r="F100" s="658"/>
      <c r="G100" s="658"/>
      <c r="H100" s="658"/>
      <c r="I100" s="658"/>
      <c r="J100" s="658"/>
      <c r="K100" s="659"/>
      <c r="L100" s="660"/>
      <c r="M100" s="661"/>
      <c r="N100" s="2731"/>
      <c r="O100" s="1764"/>
      <c r="P100" s="1763"/>
      <c r="Q100" s="1760"/>
      <c r="R100" s="1739"/>
      <c r="S100" s="1739"/>
      <c r="T100" s="1739"/>
      <c r="U100" s="1739"/>
      <c r="V100" s="1739"/>
      <c r="W100" s="1739"/>
      <c r="X100" s="1739"/>
      <c r="Y100" s="1739"/>
      <c r="Z100" s="1739"/>
      <c r="AA100" s="1739"/>
      <c r="AB100" s="1739"/>
      <c r="AC100" s="1739"/>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2"/>
      <c r="O101" s="1765"/>
      <c r="P101" s="1763"/>
      <c r="Q101" s="1760"/>
      <c r="R101" s="1739"/>
      <c r="S101" s="1739"/>
      <c r="T101" s="1739"/>
      <c r="U101" s="1739"/>
      <c r="V101" s="1739"/>
      <c r="W101" s="1739"/>
      <c r="X101" s="1739"/>
      <c r="Y101" s="1739"/>
      <c r="Z101" s="1739"/>
      <c r="AA101" s="1739"/>
      <c r="AB101" s="1739"/>
      <c r="AC101" s="1739"/>
    </row>
    <row r="102" spans="1:29" ht="15.75" thickTop="1">
      <c r="A102" s="482"/>
      <c r="B102" s="623">
        <f>B33</f>
        <v>111</v>
      </c>
      <c r="C102" s="630"/>
      <c r="D102" s="630"/>
      <c r="E102" s="630"/>
      <c r="F102" s="630"/>
      <c r="G102" s="662"/>
      <c r="H102" s="662"/>
      <c r="I102" s="662"/>
      <c r="J102" s="662"/>
      <c r="K102" s="663"/>
      <c r="L102" s="664"/>
      <c r="M102" s="665"/>
      <c r="N102" s="2731"/>
      <c r="O102" s="1764"/>
      <c r="P102" s="1763"/>
      <c r="Q102" s="1760"/>
      <c r="R102" s="1739"/>
      <c r="S102" s="1739"/>
      <c r="T102" s="1739"/>
      <c r="U102" s="1739"/>
      <c r="V102" s="1739"/>
      <c r="W102" s="1739"/>
      <c r="X102" s="1739"/>
      <c r="Y102" s="1739"/>
      <c r="Z102" s="1739"/>
      <c r="AA102" s="1739"/>
      <c r="AB102" s="1739"/>
      <c r="AC102" s="1739"/>
    </row>
    <row r="103" spans="1:29" ht="15.75" thickBot="1">
      <c r="A103" s="482"/>
      <c r="B103" s="641"/>
      <c r="C103" s="634"/>
      <c r="D103" s="613"/>
      <c r="E103" s="613"/>
      <c r="F103" s="613"/>
      <c r="G103" s="666"/>
      <c r="H103" s="666"/>
      <c r="I103" s="666"/>
      <c r="J103" s="666"/>
      <c r="K103" s="666"/>
      <c r="L103" s="666"/>
      <c r="M103" s="667"/>
      <c r="N103" s="2732"/>
      <c r="O103" s="1765"/>
      <c r="P103" s="1763"/>
      <c r="Q103" s="1760"/>
      <c r="R103" s="1739"/>
      <c r="S103" s="1739"/>
      <c r="T103" s="1739"/>
      <c r="U103" s="1739"/>
      <c r="V103" s="1739"/>
      <c r="W103" s="1739"/>
      <c r="X103" s="1739"/>
      <c r="Y103" s="1739"/>
      <c r="Z103" s="1739"/>
      <c r="AA103" s="1739"/>
      <c r="AB103" s="1739"/>
      <c r="AC103" s="1739"/>
    </row>
    <row r="104" spans="1:29" ht="15" thickTop="1">
      <c r="A104" s="536"/>
      <c r="B104" s="615">
        <f>B34</f>
        <v>111</v>
      </c>
      <c r="C104" s="630"/>
      <c r="D104" s="630"/>
      <c r="E104" s="630"/>
      <c r="F104" s="630"/>
      <c r="G104" s="658"/>
      <c r="H104" s="658"/>
      <c r="I104" s="658"/>
      <c r="J104" s="658"/>
      <c r="K104" s="659"/>
      <c r="L104" s="660"/>
      <c r="M104" s="661"/>
      <c r="N104" s="2731"/>
      <c r="O104" s="1764"/>
      <c r="P104" s="1763"/>
      <c r="Q104" s="1760"/>
      <c r="R104" s="1739"/>
      <c r="S104" s="1739"/>
      <c r="T104" s="1739"/>
      <c r="U104" s="1739"/>
      <c r="V104" s="1739"/>
      <c r="W104" s="1739"/>
      <c r="X104" s="1739"/>
      <c r="Y104" s="1739"/>
      <c r="Z104" s="1739"/>
      <c r="AA104" s="1739"/>
      <c r="AB104" s="1739"/>
      <c r="AC104" s="1739"/>
    </row>
    <row r="105" spans="1:29" ht="15.75" thickBot="1">
      <c r="A105" s="482"/>
      <c r="B105" s="620"/>
      <c r="C105" s="634"/>
      <c r="D105" s="634"/>
      <c r="E105" s="634"/>
      <c r="F105" s="634"/>
      <c r="G105" s="613"/>
      <c r="H105" s="613"/>
      <c r="I105" s="613"/>
      <c r="J105" s="613"/>
      <c r="K105" s="613"/>
      <c r="L105" s="613"/>
      <c r="M105" s="614"/>
      <c r="N105" s="2732"/>
      <c r="O105" s="1765"/>
      <c r="P105" s="1763"/>
      <c r="Q105" s="1760"/>
      <c r="R105" s="1739"/>
      <c r="S105" s="1739"/>
      <c r="T105" s="1739"/>
      <c r="U105" s="1739"/>
      <c r="V105" s="1739"/>
      <c r="W105" s="1739"/>
      <c r="X105" s="1739"/>
      <c r="Y105" s="1739"/>
      <c r="Z105" s="1739"/>
      <c r="AA105" s="1739"/>
      <c r="AB105" s="1739"/>
      <c r="AC105" s="1739"/>
    </row>
    <row r="106" spans="1:29" s="1132" customFormat="1" ht="15" thickTop="1">
      <c r="A106" s="552"/>
      <c r="B106" s="668">
        <f>B35</f>
        <v>111</v>
      </c>
      <c r="C106" s="80"/>
      <c r="D106" s="80"/>
      <c r="E106" s="80"/>
      <c r="F106" s="80"/>
      <c r="G106" s="79"/>
      <c r="H106" s="79"/>
      <c r="I106" s="79"/>
      <c r="J106" s="669"/>
      <c r="K106" s="669"/>
      <c r="L106" s="670"/>
      <c r="M106" s="671"/>
      <c r="N106" s="2733"/>
      <c r="O106" s="1766"/>
      <c r="P106" s="1766"/>
      <c r="Q106" s="1767"/>
      <c r="R106" s="1768"/>
      <c r="S106" s="1768"/>
      <c r="T106" s="1768"/>
      <c r="U106" s="1768"/>
      <c r="V106" s="1768"/>
      <c r="W106" s="1768"/>
      <c r="X106" s="1768"/>
      <c r="Y106" s="1768"/>
      <c r="Z106" s="1768"/>
      <c r="AA106" s="1768"/>
      <c r="AB106" s="1768"/>
      <c r="AC106" s="1768"/>
    </row>
    <row r="107" spans="1:29" s="1132" customFormat="1" ht="15.75" thickBot="1">
      <c r="A107" s="629"/>
      <c r="B107" s="623"/>
      <c r="C107" s="642"/>
      <c r="D107" s="642"/>
      <c r="E107" s="642"/>
      <c r="F107" s="642"/>
      <c r="G107" s="541"/>
      <c r="H107" s="541"/>
      <c r="I107" s="541"/>
      <c r="J107" s="541"/>
      <c r="K107" s="541"/>
      <c r="L107" s="541"/>
      <c r="M107" s="672"/>
      <c r="N107" s="2732"/>
      <c r="O107" s="1765"/>
      <c r="P107" s="1766"/>
      <c r="Q107" s="1767"/>
      <c r="R107" s="1768"/>
      <c r="S107" s="1768"/>
      <c r="T107" s="1768"/>
      <c r="U107" s="1768"/>
      <c r="V107" s="1768"/>
      <c r="W107" s="1768"/>
      <c r="X107" s="1768"/>
      <c r="Y107" s="1768"/>
      <c r="Z107" s="1768"/>
      <c r="AA107" s="1768"/>
      <c r="AB107" s="1768"/>
      <c r="AC107" s="1768"/>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5" t="str">
        <f t="shared" si="24"/>
        <v>(含)-</v>
      </c>
      <c r="L108" s="2346"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ht="15">
      <c r="A109" s="482"/>
      <c r="B109" s="623"/>
      <c r="C109" s="79"/>
      <c r="D109" s="79"/>
      <c r="E109" s="79"/>
      <c r="F109" s="79"/>
      <c r="G109" s="79"/>
      <c r="H109" s="79"/>
      <c r="I109" s="79"/>
      <c r="J109" s="669"/>
      <c r="K109" s="669"/>
      <c r="L109" s="670"/>
      <c r="M109" s="671"/>
      <c r="N109" s="2731"/>
      <c r="O109" s="1764"/>
      <c r="P109" s="1763"/>
      <c r="Q109" s="1760"/>
      <c r="R109" s="1739"/>
      <c r="S109" s="1739"/>
      <c r="T109" s="1739"/>
      <c r="U109" s="1739"/>
      <c r="V109" s="1739"/>
      <c r="W109" s="1739"/>
      <c r="X109" s="1739"/>
      <c r="Y109" s="1739"/>
      <c r="Z109" s="1739"/>
      <c r="AA109" s="1739"/>
      <c r="AB109" s="1739"/>
      <c r="AC109" s="1739"/>
    </row>
    <row r="110" spans="1:29" ht="15.75" thickBot="1">
      <c r="A110" s="482"/>
      <c r="B110" s="620"/>
      <c r="C110" s="642"/>
      <c r="D110" s="666"/>
      <c r="E110" s="666"/>
      <c r="F110" s="666"/>
      <c r="G110" s="666"/>
      <c r="H110" s="666"/>
      <c r="I110" s="666"/>
      <c r="J110" s="666"/>
      <c r="K110" s="666"/>
      <c r="L110" s="666"/>
      <c r="M110" s="667"/>
      <c r="N110" s="2732"/>
      <c r="O110" s="1765"/>
      <c r="P110" s="1763"/>
      <c r="Q110" s="1760"/>
      <c r="R110" s="1739"/>
      <c r="S110" s="1739"/>
      <c r="T110" s="1739"/>
      <c r="U110" s="1739"/>
      <c r="V110" s="1739"/>
      <c r="W110" s="1739"/>
      <c r="X110" s="1739"/>
      <c r="Y110" s="1739"/>
      <c r="Z110" s="1739"/>
      <c r="AA110" s="1739"/>
      <c r="AB110" s="1739"/>
      <c r="AC110" s="1739"/>
    </row>
    <row r="111" spans="1:29" ht="15" thickTop="1">
      <c r="A111" s="543"/>
      <c r="B111" s="615" t="s">
        <v>542</v>
      </c>
      <c r="C111" s="658"/>
      <c r="D111" s="658"/>
      <c r="E111" s="658"/>
      <c r="F111" s="658"/>
      <c r="G111" s="658"/>
      <c r="H111" s="658"/>
      <c r="I111" s="658"/>
      <c r="J111" s="658"/>
      <c r="K111" s="659"/>
      <c r="L111" s="660"/>
      <c r="M111" s="661"/>
      <c r="N111" s="2731"/>
      <c r="O111" s="1764"/>
      <c r="P111" s="1763"/>
      <c r="Q111" s="1760"/>
      <c r="R111" s="1739"/>
      <c r="S111" s="1739"/>
      <c r="T111" s="1739"/>
      <c r="U111" s="1739"/>
      <c r="V111" s="1739"/>
      <c r="W111" s="1739"/>
      <c r="X111" s="1739"/>
      <c r="Y111" s="1739"/>
      <c r="Z111" s="1739"/>
      <c r="AA111" s="1739"/>
      <c r="AB111" s="1739"/>
      <c r="AC111" s="1739"/>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2"/>
      <c r="O112" s="1765"/>
      <c r="P112" s="1763"/>
      <c r="Q112" s="1760"/>
      <c r="R112" s="1739"/>
      <c r="S112" s="1739"/>
      <c r="T112" s="1739"/>
      <c r="U112" s="1739"/>
      <c r="V112" s="1739"/>
      <c r="W112" s="1739"/>
      <c r="X112" s="1739"/>
      <c r="Y112" s="1739"/>
      <c r="Z112" s="1739"/>
      <c r="AA112" s="1739"/>
      <c r="AB112" s="1739"/>
      <c r="AC112" s="1739"/>
    </row>
    <row r="113" spans="1:29" s="1132" customFormat="1" ht="15" thickTop="1">
      <c r="A113" s="552"/>
      <c r="B113" s="1552" t="s">
        <v>1772</v>
      </c>
      <c r="C113" s="1165"/>
      <c r="D113" s="1165"/>
      <c r="E113" s="1165"/>
      <c r="F113" s="1165"/>
      <c r="G113" s="1165"/>
      <c r="H113" s="658"/>
      <c r="I113" s="658"/>
      <c r="J113" s="658"/>
      <c r="K113" s="659"/>
      <c r="L113" s="660"/>
      <c r="M113" s="661"/>
      <c r="N113" s="2733"/>
      <c r="O113" s="1766"/>
      <c r="P113" s="1766"/>
      <c r="Q113" s="1767"/>
      <c r="R113" s="1768"/>
      <c r="S113" s="1768"/>
      <c r="T113" s="1768"/>
      <c r="U113" s="1768"/>
      <c r="V113" s="1768"/>
      <c r="W113" s="1768"/>
      <c r="X113" s="1768"/>
      <c r="Y113" s="1768"/>
      <c r="Z113" s="1768"/>
      <c r="AA113" s="1768"/>
      <c r="AB113" s="1768"/>
      <c r="AC113" s="1768"/>
    </row>
    <row r="114" spans="1:29" s="1132"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3"/>
      <c r="B115" s="615" t="s">
        <v>544</v>
      </c>
      <c r="C115" s="630"/>
      <c r="D115" s="630"/>
      <c r="E115" s="658"/>
      <c r="F115" s="658"/>
      <c r="G115" s="658"/>
      <c r="H115" s="658"/>
      <c r="I115" s="658"/>
      <c r="J115" s="658"/>
      <c r="K115" s="659"/>
      <c r="L115" s="660"/>
      <c r="M115" s="661"/>
      <c r="N115" s="2731"/>
      <c r="O115" s="1764"/>
      <c r="P115" s="1763"/>
      <c r="Q115" s="1760"/>
      <c r="R115" s="1739"/>
      <c r="S115" s="1739"/>
      <c r="T115" s="1739"/>
      <c r="U115" s="1739"/>
      <c r="V115" s="1739"/>
      <c r="W115" s="1739"/>
      <c r="X115" s="1739"/>
      <c r="Y115" s="1739"/>
      <c r="Z115" s="1739"/>
      <c r="AA115" s="1739"/>
      <c r="AB115" s="1739"/>
      <c r="AC115" s="1739"/>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2"/>
      <c r="O116" s="1765"/>
      <c r="P116" s="1763"/>
      <c r="Q116" s="1760"/>
      <c r="R116" s="1739"/>
      <c r="S116" s="1739"/>
      <c r="T116" s="1739"/>
      <c r="U116" s="1739"/>
      <c r="V116" s="1739"/>
      <c r="W116" s="1739"/>
      <c r="X116" s="1739"/>
      <c r="Y116" s="1739"/>
      <c r="Z116" s="1739"/>
      <c r="AA116" s="1739"/>
      <c r="AB116" s="1739"/>
      <c r="AC116" s="1739"/>
    </row>
    <row r="117" spans="1:29" ht="15" thickTop="1">
      <c r="A117" s="543"/>
      <c r="B117" s="615">
        <f>B40</f>
        <v>111</v>
      </c>
      <c r="C117" s="630"/>
      <c r="D117" s="630"/>
      <c r="E117" s="630"/>
      <c r="F117" s="630"/>
      <c r="G117" s="630"/>
      <c r="H117" s="658"/>
      <c r="I117" s="658"/>
      <c r="J117" s="658"/>
      <c r="K117" s="659"/>
      <c r="L117" s="660"/>
      <c r="M117" s="661"/>
      <c r="N117" s="2731"/>
      <c r="O117" s="1764"/>
      <c r="P117" s="1763"/>
      <c r="Q117" s="1760"/>
      <c r="R117" s="1739"/>
      <c r="S117" s="1739"/>
      <c r="T117" s="1739"/>
      <c r="U117" s="1739"/>
      <c r="V117" s="1739"/>
      <c r="W117" s="1739"/>
      <c r="X117" s="1739"/>
      <c r="Y117" s="1739"/>
      <c r="Z117" s="1739"/>
      <c r="AA117" s="1739"/>
      <c r="AB117" s="1739"/>
      <c r="AC117" s="1739"/>
    </row>
    <row r="118" spans="1:29" ht="15.75" thickBot="1">
      <c r="A118" s="482"/>
      <c r="B118" s="620"/>
      <c r="C118" s="634"/>
      <c r="D118" s="613"/>
      <c r="E118" s="613"/>
      <c r="F118" s="613"/>
      <c r="G118" s="613"/>
      <c r="H118" s="613"/>
      <c r="I118" s="613"/>
      <c r="J118" s="613"/>
      <c r="K118" s="613"/>
      <c r="L118" s="613"/>
      <c r="M118" s="614"/>
      <c r="N118" s="2732"/>
      <c r="O118" s="1765"/>
      <c r="P118" s="1763"/>
      <c r="Q118" s="1760"/>
      <c r="R118" s="1739"/>
      <c r="S118" s="1739"/>
      <c r="T118" s="1739"/>
      <c r="U118" s="1739"/>
      <c r="V118" s="1739"/>
      <c r="W118" s="1739"/>
      <c r="X118" s="1739"/>
      <c r="Y118" s="1739"/>
      <c r="Z118" s="1739"/>
      <c r="AA118" s="1739"/>
      <c r="AB118" s="1739"/>
      <c r="AC118" s="1739"/>
    </row>
    <row r="119" spans="1:29" ht="15" thickTop="1">
      <c r="A119" s="543"/>
      <c r="B119" s="615">
        <f>B41</f>
        <v>111</v>
      </c>
      <c r="C119" s="630"/>
      <c r="D119" s="630"/>
      <c r="E119" s="630"/>
      <c r="F119" s="630"/>
      <c r="G119" s="658"/>
      <c r="H119" s="658"/>
      <c r="I119" s="658"/>
      <c r="J119" s="658"/>
      <c r="K119" s="659"/>
      <c r="L119" s="660"/>
      <c r="M119" s="661"/>
      <c r="N119" s="2731"/>
      <c r="O119" s="1764"/>
      <c r="P119" s="1763"/>
      <c r="Q119" s="1760"/>
      <c r="R119" s="1739"/>
      <c r="S119" s="1739"/>
      <c r="T119" s="1739"/>
      <c r="U119" s="1739"/>
      <c r="V119" s="1739"/>
      <c r="W119" s="1739"/>
      <c r="X119" s="1739"/>
      <c r="Y119" s="1739"/>
      <c r="Z119" s="1739"/>
      <c r="AA119" s="1739"/>
      <c r="AB119" s="1739"/>
      <c r="AC119" s="1739"/>
    </row>
    <row r="120" spans="1:29" ht="15.75" thickBot="1">
      <c r="A120" s="482"/>
      <c r="B120" s="620"/>
      <c r="C120" s="634"/>
      <c r="D120" s="634"/>
      <c r="E120" s="634"/>
      <c r="F120" s="634"/>
      <c r="G120" s="613"/>
      <c r="H120" s="613"/>
      <c r="I120" s="613"/>
      <c r="J120" s="613"/>
      <c r="K120" s="613"/>
      <c r="L120" s="613"/>
      <c r="M120" s="614"/>
      <c r="N120" s="2732"/>
      <c r="O120" s="1765"/>
      <c r="P120" s="1763"/>
      <c r="Q120" s="1760"/>
      <c r="R120" s="1739"/>
      <c r="S120" s="1739"/>
      <c r="T120" s="1739"/>
      <c r="U120" s="1739"/>
      <c r="V120" s="1739"/>
      <c r="W120" s="1739"/>
      <c r="X120" s="1739"/>
      <c r="Y120" s="1739"/>
      <c r="Z120" s="1739"/>
      <c r="AA120" s="1739"/>
      <c r="AB120" s="1739"/>
      <c r="AC120" s="1739"/>
    </row>
    <row r="121" spans="1:29" s="1132" customFormat="1" ht="15" thickTop="1">
      <c r="A121" s="552"/>
      <c r="B121" s="615">
        <f>B42</f>
        <v>111</v>
      </c>
      <c r="C121" s="80"/>
      <c r="D121" s="80"/>
      <c r="E121" s="80"/>
      <c r="F121" s="80"/>
      <c r="G121" s="631"/>
      <c r="H121" s="631"/>
      <c r="I121" s="631"/>
      <c r="J121" s="631"/>
      <c r="K121" s="631"/>
      <c r="L121" s="632"/>
      <c r="M121" s="633"/>
      <c r="N121" s="2733"/>
      <c r="O121" s="1766"/>
      <c r="P121" s="1766"/>
      <c r="Q121" s="1767"/>
      <c r="R121" s="1768"/>
      <c r="S121" s="1768"/>
      <c r="T121" s="1768"/>
      <c r="U121" s="1768"/>
      <c r="V121" s="1768"/>
      <c r="W121" s="1768"/>
      <c r="X121" s="1768"/>
      <c r="Y121" s="1768"/>
      <c r="Z121" s="1768"/>
      <c r="AA121" s="1768"/>
      <c r="AB121" s="1768"/>
      <c r="AC121" s="1768"/>
    </row>
    <row r="122" spans="1:29" s="1132" customFormat="1" ht="15.75" thickBot="1">
      <c r="A122" s="640"/>
      <c r="B122" s="673"/>
      <c r="C122" s="642"/>
      <c r="D122" s="642"/>
      <c r="E122" s="642"/>
      <c r="F122" s="642"/>
      <c r="G122" s="666"/>
      <c r="H122" s="666"/>
      <c r="I122" s="666"/>
      <c r="J122" s="666"/>
      <c r="K122" s="666"/>
      <c r="L122" s="666"/>
      <c r="M122" s="667"/>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2743</v>
      </c>
      <c r="B1" s="961" t="s">
        <v>990</v>
      </c>
      <c r="C1" s="961" t="s">
        <v>1031</v>
      </c>
      <c r="D1" s="961" t="s">
        <v>1145</v>
      </c>
      <c r="E1" s="961" t="s">
        <v>853</v>
      </c>
      <c r="F1" s="961" t="s">
        <v>1152</v>
      </c>
      <c r="G1" s="961" t="s">
        <v>1153</v>
      </c>
      <c r="H1" s="961" t="s">
        <v>1154</v>
      </c>
      <c r="I1" s="961" t="s">
        <v>1155</v>
      </c>
      <c r="J1" s="961" t="s">
        <v>1156</v>
      </c>
      <c r="K1" s="961" t="s">
        <v>1157</v>
      </c>
      <c r="L1" s="961" t="s">
        <v>2744</v>
      </c>
      <c r="M1" s="962" t="s">
        <v>2745</v>
      </c>
    </row>
    <row r="2" spans="1:13">
      <c r="A2" s="2980" t="s">
        <v>2720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2746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2718</v>
      </c>
      <c r="B7" s="2994">
        <v>2.5</v>
      </c>
      <c r="C7" s="2994">
        <v>2.5</v>
      </c>
      <c r="D7" s="2994">
        <v>2</v>
      </c>
      <c r="E7" s="2994">
        <v>2</v>
      </c>
      <c r="F7" s="2994">
        <v>2</v>
      </c>
      <c r="G7" s="2994">
        <v>2</v>
      </c>
      <c r="H7" s="2994">
        <v>2</v>
      </c>
      <c r="I7" s="2995">
        <v>1.5</v>
      </c>
      <c r="J7" s="2995">
        <v>1.5</v>
      </c>
      <c r="K7" s="2995">
        <v>1.5</v>
      </c>
      <c r="L7" s="2995">
        <v>1.5</v>
      </c>
      <c r="M7" s="2996">
        <v>1.5</v>
      </c>
    </row>
    <row r="8" spans="1:13">
      <c r="A8" s="974" t="s">
        <v>2747</v>
      </c>
      <c r="B8" s="2997">
        <v>80</v>
      </c>
      <c r="C8" s="2997">
        <v>80</v>
      </c>
      <c r="D8" s="2997">
        <v>70</v>
      </c>
      <c r="E8" s="2997">
        <v>70</v>
      </c>
      <c r="F8" s="2997">
        <v>70</v>
      </c>
      <c r="G8" s="2997">
        <v>70</v>
      </c>
      <c r="H8" s="2997">
        <v>70</v>
      </c>
      <c r="I8" s="2997">
        <v>60</v>
      </c>
      <c r="J8" s="2997">
        <v>60</v>
      </c>
      <c r="K8" s="2997">
        <v>60</v>
      </c>
      <c r="L8" s="2997">
        <v>60</v>
      </c>
      <c r="M8" s="2998">
        <v>60</v>
      </c>
    </row>
    <row r="9" spans="1:13">
      <c r="A9" s="957" t="s">
        <v>2748</v>
      </c>
      <c r="B9" s="2999">
        <v>70</v>
      </c>
      <c r="C9" s="2999">
        <v>70</v>
      </c>
      <c r="D9" s="2999">
        <v>60</v>
      </c>
      <c r="E9" s="2999">
        <v>60</v>
      </c>
      <c r="F9" s="2999">
        <v>60</v>
      </c>
      <c r="G9" s="2999">
        <v>60</v>
      </c>
      <c r="H9" s="2999">
        <v>60</v>
      </c>
      <c r="I9" s="2999">
        <v>50</v>
      </c>
      <c r="J9" s="2999">
        <v>50</v>
      </c>
      <c r="K9" s="2999">
        <v>50</v>
      </c>
      <c r="L9" s="2999">
        <v>50</v>
      </c>
      <c r="M9" s="3000">
        <v>50</v>
      </c>
    </row>
    <row r="10" spans="1:13">
      <c r="A10" s="957" t="s">
        <v>2749</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2750</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2751</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2752</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2753</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2754</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0" t="s">
        <v>2755</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1160</v>
      </c>
      <c r="B18" s="977"/>
      <c r="C18" s="978"/>
      <c r="D18" s="978"/>
      <c r="E18" s="977"/>
      <c r="F18" s="978"/>
      <c r="G18" s="978"/>
    </row>
    <row r="19" spans="1:13" ht="14.25" thickBot="1">
      <c r="A19" s="3001" t="s">
        <v>2437</v>
      </c>
      <c r="B19" s="3003" t="s">
        <v>2438</v>
      </c>
      <c r="C19" s="3004" t="s">
        <v>2439</v>
      </c>
      <c r="D19" s="3005"/>
      <c r="E19" s="2999" t="s">
        <v>2440</v>
      </c>
      <c r="F19" s="980"/>
      <c r="G19" s="980"/>
    </row>
    <row r="20" spans="1:13">
      <c r="A20" s="3744" t="s">
        <v>2431</v>
      </c>
      <c r="B20" s="3747" t="s">
        <v>2441</v>
      </c>
      <c r="C20" s="3006" t="s">
        <v>2442</v>
      </c>
      <c r="D20" s="3007"/>
      <c r="E20" s="3008">
        <v>1</v>
      </c>
      <c r="F20" s="3009" t="s">
        <v>2443</v>
      </c>
      <c r="G20" s="982"/>
    </row>
    <row r="21" spans="1:13">
      <c r="A21" s="3745"/>
      <c r="B21" s="3743"/>
      <c r="C21" s="3010" t="s">
        <v>2444</v>
      </c>
      <c r="D21" s="3011"/>
      <c r="E21" s="3012">
        <v>1</v>
      </c>
      <c r="F21" s="3009" t="s">
        <v>2445</v>
      </c>
      <c r="G21" s="982"/>
    </row>
    <row r="22" spans="1:13">
      <c r="A22" s="3745"/>
      <c r="B22" s="3743"/>
      <c r="C22" s="3010" t="s">
        <v>2446</v>
      </c>
      <c r="D22" s="3011"/>
      <c r="E22" s="3012">
        <v>0.9</v>
      </c>
      <c r="F22" s="3009" t="s">
        <v>2447</v>
      </c>
      <c r="G22" s="982"/>
    </row>
    <row r="23" spans="1:13">
      <c r="A23" s="3745"/>
      <c r="B23" s="3743"/>
      <c r="C23" s="3010" t="s">
        <v>2448</v>
      </c>
      <c r="D23" s="3011"/>
      <c r="E23" s="3012">
        <v>0.9</v>
      </c>
      <c r="F23" s="3009" t="s">
        <v>2449</v>
      </c>
      <c r="G23" s="982"/>
    </row>
    <row r="24" spans="1:13">
      <c r="A24" s="3745"/>
      <c r="B24" s="3743"/>
      <c r="C24" s="3010" t="s">
        <v>2450</v>
      </c>
      <c r="D24" s="3011"/>
      <c r="E24" s="3012">
        <v>0.8</v>
      </c>
      <c r="F24" s="3009" t="s">
        <v>2451</v>
      </c>
      <c r="G24" s="982"/>
    </row>
    <row r="25" spans="1:13" ht="14.25" thickBot="1">
      <c r="A25" s="3746"/>
      <c r="B25" s="3748"/>
      <c r="C25" s="3013" t="s">
        <v>2452</v>
      </c>
      <c r="D25" s="3014"/>
      <c r="E25" s="3015">
        <v>0.8</v>
      </c>
      <c r="F25" s="3009" t="s">
        <v>2453</v>
      </c>
      <c r="G25" s="982"/>
    </row>
    <row r="26" spans="1:13" ht="14.25" thickBot="1">
      <c r="A26" s="3016" t="s">
        <v>2432</v>
      </c>
      <c r="B26" s="3017" t="s">
        <v>2441</v>
      </c>
      <c r="C26" s="3018" t="s">
        <v>2454</v>
      </c>
      <c r="D26" s="3019"/>
      <c r="E26" s="3020">
        <v>1</v>
      </c>
      <c r="F26" s="3009" t="s">
        <v>2455</v>
      </c>
      <c r="G26" s="982"/>
    </row>
    <row r="27" spans="1:13">
      <c r="A27" s="3749" t="s">
        <v>2436</v>
      </c>
      <c r="B27" s="3747" t="s">
        <v>2436</v>
      </c>
      <c r="C27" s="3006" t="s">
        <v>2456</v>
      </c>
      <c r="D27" s="3007"/>
      <c r="E27" s="3008">
        <v>1</v>
      </c>
      <c r="F27" s="3009" t="s">
        <v>2457</v>
      </c>
      <c r="G27" s="982"/>
    </row>
    <row r="28" spans="1:13">
      <c r="A28" s="3750"/>
      <c r="B28" s="3743"/>
      <c r="C28" s="3010" t="s">
        <v>2458</v>
      </c>
      <c r="D28" s="3011"/>
      <c r="E28" s="3012">
        <v>1</v>
      </c>
      <c r="F28" s="3009" t="s">
        <v>2459</v>
      </c>
      <c r="G28" s="982"/>
    </row>
    <row r="29" spans="1:13">
      <c r="A29" s="3750"/>
      <c r="B29" s="3743"/>
      <c r="C29" s="3010" t="s">
        <v>2460</v>
      </c>
      <c r="D29" s="3011"/>
      <c r="E29" s="3012">
        <v>0.8</v>
      </c>
      <c r="F29" s="3009" t="s">
        <v>2461</v>
      </c>
      <c r="G29" s="982"/>
    </row>
    <row r="30" spans="1:13">
      <c r="A30" s="3750"/>
      <c r="B30" s="3743"/>
      <c r="C30" s="3010" t="s">
        <v>2462</v>
      </c>
      <c r="D30" s="3011"/>
      <c r="E30" s="3012">
        <v>0.8</v>
      </c>
      <c r="F30" s="3009" t="s">
        <v>2463</v>
      </c>
      <c r="G30" s="982"/>
    </row>
    <row r="31" spans="1:13">
      <c r="A31" s="3750"/>
      <c r="B31" s="3743"/>
      <c r="C31" s="3010" t="s">
        <v>2464</v>
      </c>
      <c r="D31" s="3011"/>
      <c r="E31" s="3012">
        <v>0.8</v>
      </c>
      <c r="F31" s="3009" t="s">
        <v>2465</v>
      </c>
      <c r="G31" s="982"/>
    </row>
    <row r="32" spans="1:13">
      <c r="A32" s="3750"/>
      <c r="B32" s="3743"/>
      <c r="C32" s="3010" t="s">
        <v>2466</v>
      </c>
      <c r="D32" s="3011"/>
      <c r="E32" s="3012">
        <v>0.7</v>
      </c>
      <c r="F32" s="3009" t="s">
        <v>2467</v>
      </c>
      <c r="G32" s="982"/>
    </row>
    <row r="33" spans="1:7">
      <c r="A33" s="3750"/>
      <c r="B33" s="3743"/>
      <c r="C33" s="3010" t="s">
        <v>2468</v>
      </c>
      <c r="D33" s="3011"/>
      <c r="E33" s="3012">
        <v>0.8</v>
      </c>
      <c r="F33" s="3009" t="s">
        <v>2469</v>
      </c>
      <c r="G33" s="982"/>
    </row>
    <row r="34" spans="1:7">
      <c r="A34" s="3750"/>
      <c r="B34" s="3743"/>
      <c r="C34" s="3010" t="s">
        <v>2470</v>
      </c>
      <c r="D34" s="3011"/>
      <c r="E34" s="3012">
        <v>0.6</v>
      </c>
      <c r="F34" s="3009" t="s">
        <v>2471</v>
      </c>
      <c r="G34" s="982"/>
    </row>
    <row r="35" spans="1:7">
      <c r="A35" s="3750"/>
      <c r="B35" s="3743"/>
      <c r="C35" s="3010" t="s">
        <v>2472</v>
      </c>
      <c r="D35" s="3011"/>
      <c r="E35" s="3012">
        <v>0.2</v>
      </c>
      <c r="F35" s="3009" t="s">
        <v>2473</v>
      </c>
      <c r="G35" s="982"/>
    </row>
    <row r="36" spans="1:7">
      <c r="A36" s="3750"/>
      <c r="B36" s="3743"/>
      <c r="C36" s="3010" t="s">
        <v>2474</v>
      </c>
      <c r="D36" s="3011"/>
      <c r="E36" s="3012">
        <v>0.2</v>
      </c>
      <c r="F36" s="3009" t="s">
        <v>2475</v>
      </c>
      <c r="G36" s="982"/>
    </row>
    <row r="37" spans="1:7">
      <c r="A37" s="3750"/>
      <c r="B37" s="3741" t="s">
        <v>2476</v>
      </c>
      <c r="C37" s="3010" t="s">
        <v>2477</v>
      </c>
      <c r="D37" s="3011"/>
      <c r="E37" s="3012">
        <v>0.6</v>
      </c>
      <c r="F37" s="3009" t="s">
        <v>2478</v>
      </c>
      <c r="G37" s="982"/>
    </row>
    <row r="38" spans="1:7">
      <c r="A38" s="3750"/>
      <c r="B38" s="3743"/>
      <c r="C38" s="3010" t="s">
        <v>2479</v>
      </c>
      <c r="D38" s="3011"/>
      <c r="E38" s="3012">
        <v>0.6</v>
      </c>
      <c r="F38" s="3009" t="s">
        <v>2480</v>
      </c>
      <c r="G38" s="982"/>
    </row>
    <row r="39" spans="1:7" ht="14.25" thickBot="1">
      <c r="A39" s="3751"/>
      <c r="B39" s="3748"/>
      <c r="C39" s="3013" t="s">
        <v>2481</v>
      </c>
      <c r="D39" s="3014"/>
      <c r="E39" s="3015">
        <v>0.6</v>
      </c>
      <c r="F39" s="3009" t="s">
        <v>2482</v>
      </c>
      <c r="G39" s="982"/>
    </row>
    <row r="40" spans="1:7" ht="14.25" thickBot="1">
      <c r="A40" s="3016" t="s">
        <v>2433</v>
      </c>
      <c r="B40" s="3017" t="s">
        <v>2433</v>
      </c>
      <c r="C40" s="3018" t="s">
        <v>2483</v>
      </c>
      <c r="D40" s="3019"/>
      <c r="E40" s="3020">
        <v>1</v>
      </c>
      <c r="F40" s="3009" t="s">
        <v>2484</v>
      </c>
      <c r="G40" s="982"/>
    </row>
    <row r="41" spans="1:7">
      <c r="A41" s="3744" t="s">
        <v>2434</v>
      </c>
      <c r="B41" s="3747" t="s">
        <v>2485</v>
      </c>
      <c r="C41" s="3006" t="s">
        <v>2486</v>
      </c>
      <c r="D41" s="3007"/>
      <c r="E41" s="3008">
        <v>1</v>
      </c>
      <c r="F41" s="3009" t="s">
        <v>2487</v>
      </c>
      <c r="G41" s="982"/>
    </row>
    <row r="42" spans="1:7">
      <c r="A42" s="3745"/>
      <c r="B42" s="3743"/>
      <c r="C42" s="3010" t="s">
        <v>2488</v>
      </c>
      <c r="D42" s="3011"/>
      <c r="E42" s="3012">
        <v>1</v>
      </c>
      <c r="F42" s="3009" t="s">
        <v>2489</v>
      </c>
      <c r="G42" s="982"/>
    </row>
    <row r="43" spans="1:7">
      <c r="A43" s="3745"/>
      <c r="B43" s="3742"/>
      <c r="C43" s="3010" t="s">
        <v>2490</v>
      </c>
      <c r="D43" s="3011"/>
      <c r="E43" s="3012">
        <v>1.5</v>
      </c>
      <c r="F43" s="3009" t="s">
        <v>2491</v>
      </c>
      <c r="G43" s="982"/>
    </row>
    <row r="44" spans="1:7">
      <c r="A44" s="3745"/>
      <c r="B44" s="3021" t="s">
        <v>2436</v>
      </c>
      <c r="C44" s="3010" t="s">
        <v>2435</v>
      </c>
      <c r="D44" s="3011"/>
      <c r="E44" s="3012">
        <v>2</v>
      </c>
      <c r="F44" s="3009" t="s">
        <v>2492</v>
      </c>
      <c r="G44" s="982"/>
    </row>
    <row r="45" spans="1:7">
      <c r="A45" s="3745"/>
      <c r="B45" s="3741" t="s">
        <v>2493</v>
      </c>
      <c r="C45" s="3010" t="s">
        <v>2494</v>
      </c>
      <c r="D45" s="3011"/>
      <c r="E45" s="3012">
        <v>1</v>
      </c>
      <c r="F45" s="3009" t="s">
        <v>2495</v>
      </c>
      <c r="G45" s="982"/>
    </row>
    <row r="46" spans="1:7">
      <c r="A46" s="3745"/>
      <c r="B46" s="3743"/>
      <c r="C46" s="3010" t="s">
        <v>2496</v>
      </c>
      <c r="D46" s="3011"/>
      <c r="E46" s="3012">
        <v>1</v>
      </c>
      <c r="F46" s="3009" t="s">
        <v>2497</v>
      </c>
      <c r="G46" s="982"/>
    </row>
    <row r="47" spans="1:7">
      <c r="A47" s="3745"/>
      <c r="B47" s="3743"/>
      <c r="C47" s="3010" t="s">
        <v>2498</v>
      </c>
      <c r="D47" s="3011"/>
      <c r="E47" s="3012">
        <v>1</v>
      </c>
      <c r="F47" s="3009" t="s">
        <v>2499</v>
      </c>
      <c r="G47" s="982"/>
    </row>
    <row r="48" spans="1:7">
      <c r="A48" s="3745"/>
      <c r="B48" s="3743"/>
      <c r="C48" s="3010" t="s">
        <v>2500</v>
      </c>
      <c r="D48" s="3011"/>
      <c r="E48" s="3012">
        <v>1</v>
      </c>
      <c r="F48" s="3009" t="s">
        <v>2501</v>
      </c>
      <c r="G48" s="982"/>
    </row>
    <row r="49" spans="1:9">
      <c r="A49" s="3745"/>
      <c r="B49" s="3743"/>
      <c r="C49" s="3010" t="s">
        <v>2502</v>
      </c>
      <c r="D49" s="3011"/>
      <c r="E49" s="3012">
        <v>1</v>
      </c>
      <c r="F49" s="3009" t="s">
        <v>2503</v>
      </c>
      <c r="G49" s="982"/>
    </row>
    <row r="50" spans="1:9">
      <c r="A50" s="3745"/>
      <c r="B50" s="3743"/>
      <c r="C50" s="3010" t="s">
        <v>2504</v>
      </c>
      <c r="D50" s="3011"/>
      <c r="E50" s="3012">
        <v>1</v>
      </c>
      <c r="F50" s="3009" t="s">
        <v>2505</v>
      </c>
      <c r="G50" s="982"/>
    </row>
    <row r="51" spans="1:9" ht="14.25" thickBot="1">
      <c r="A51" s="3746"/>
      <c r="B51" s="3748"/>
      <c r="C51" s="3013" t="s">
        <v>2506</v>
      </c>
      <c r="D51" s="3014"/>
      <c r="E51" s="3015">
        <v>1</v>
      </c>
      <c r="F51" s="3009" t="s">
        <v>2507</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2756</v>
      </c>
      <c r="F56" s="979" t="s">
        <v>2756</v>
      </c>
      <c r="G56" s="979" t="s">
        <v>2756</v>
      </c>
      <c r="I56" s="956"/>
    </row>
    <row r="57" spans="1:9">
      <c r="A57" s="996" t="s">
        <v>836</v>
      </c>
      <c r="B57" s="2999">
        <v>0.7</v>
      </c>
      <c r="C57" s="2999">
        <v>0.4</v>
      </c>
      <c r="D57" s="2999">
        <v>0.3</v>
      </c>
      <c r="E57" s="3005">
        <v>0.3</v>
      </c>
      <c r="F57" s="2999">
        <v>0.3</v>
      </c>
      <c r="G57" s="2999">
        <v>0.2</v>
      </c>
      <c r="I57" s="956"/>
    </row>
    <row r="58" spans="1:9">
      <c r="A58" s="996" t="s">
        <v>837</v>
      </c>
      <c r="B58" s="2999">
        <v>0.7</v>
      </c>
      <c r="C58" s="2999">
        <v>0.4</v>
      </c>
      <c r="D58" s="2999">
        <v>0.3</v>
      </c>
      <c r="E58" s="2999">
        <v>0.3</v>
      </c>
      <c r="F58" s="2999">
        <v>0.3</v>
      </c>
      <c r="G58" s="2999">
        <v>0.2</v>
      </c>
      <c r="I58" s="956"/>
    </row>
    <row r="59" spans="1:9">
      <c r="A59" s="996" t="s">
        <v>838</v>
      </c>
      <c r="B59" s="2999">
        <v>0.6</v>
      </c>
      <c r="C59" s="2999">
        <v>0.3</v>
      </c>
      <c r="D59" s="2999">
        <v>0.25</v>
      </c>
      <c r="E59" s="2999">
        <v>0.25</v>
      </c>
      <c r="F59" s="2999">
        <v>0.25</v>
      </c>
      <c r="G59" s="2999">
        <v>0.15</v>
      </c>
      <c r="I59" s="956"/>
    </row>
    <row r="60" spans="1:9">
      <c r="A60" s="996" t="s">
        <v>839</v>
      </c>
      <c r="B60" s="2999">
        <v>0.6</v>
      </c>
      <c r="C60" s="2999">
        <v>0.3</v>
      </c>
      <c r="D60" s="2999">
        <v>0.25</v>
      </c>
      <c r="E60" s="2999">
        <v>0.25</v>
      </c>
      <c r="F60" s="2999">
        <v>0.25</v>
      </c>
      <c r="G60" s="2999">
        <v>0.15</v>
      </c>
      <c r="I60" s="956"/>
    </row>
    <row r="61" spans="1:9" s="972" customFormat="1">
      <c r="A61" s="996" t="s">
        <v>840</v>
      </c>
      <c r="B61" s="2999">
        <v>0.6</v>
      </c>
      <c r="C61" s="2999">
        <v>0.3</v>
      </c>
      <c r="D61" s="2999">
        <v>0.25</v>
      </c>
      <c r="E61" s="2999">
        <v>0.25</v>
      </c>
      <c r="F61" s="2999">
        <v>0.25</v>
      </c>
      <c r="G61" s="2999">
        <v>0.15</v>
      </c>
    </row>
    <row r="62" spans="1:9" s="972" customFormat="1">
      <c r="A62" s="996" t="s">
        <v>841</v>
      </c>
      <c r="B62" s="2999">
        <v>0.6</v>
      </c>
      <c r="C62" s="2999">
        <v>0.3</v>
      </c>
      <c r="D62" s="2999">
        <v>0.25</v>
      </c>
      <c r="E62" s="2999">
        <v>0.25</v>
      </c>
      <c r="F62" s="2999">
        <v>0.25</v>
      </c>
      <c r="G62" s="2999">
        <v>0.15</v>
      </c>
    </row>
    <row r="63" spans="1:9" s="972" customFormat="1">
      <c r="A63" s="996" t="s">
        <v>842</v>
      </c>
      <c r="B63" s="2999">
        <v>0.6</v>
      </c>
      <c r="C63" s="2999">
        <v>0.3</v>
      </c>
      <c r="D63" s="2999">
        <v>0.25</v>
      </c>
      <c r="E63" s="2999">
        <v>0.25</v>
      </c>
      <c r="F63" s="2999">
        <v>0.25</v>
      </c>
      <c r="G63" s="2999">
        <v>0.15</v>
      </c>
    </row>
    <row r="64" spans="1:9" s="972" customFormat="1">
      <c r="A64" s="996" t="s">
        <v>843</v>
      </c>
      <c r="B64" s="2999">
        <v>0.5</v>
      </c>
      <c r="C64" s="2999">
        <v>0.2</v>
      </c>
      <c r="D64" s="2999">
        <v>0.2</v>
      </c>
      <c r="E64" s="2999">
        <v>0.2</v>
      </c>
      <c r="F64" s="2999">
        <v>0.2</v>
      </c>
      <c r="G64" s="2999">
        <v>0.1</v>
      </c>
    </row>
    <row r="65" spans="1:8" s="972" customFormat="1">
      <c r="A65" s="996" t="s">
        <v>844</v>
      </c>
      <c r="B65" s="2999">
        <v>0.5</v>
      </c>
      <c r="C65" s="2999">
        <v>0.2</v>
      </c>
      <c r="D65" s="2999">
        <v>0.2</v>
      </c>
      <c r="E65" s="2999">
        <v>0.2</v>
      </c>
      <c r="F65" s="2999">
        <v>0.2</v>
      </c>
      <c r="G65" s="2999">
        <v>0.1</v>
      </c>
    </row>
    <row r="66" spans="1:8" s="972" customFormat="1">
      <c r="A66" s="996" t="s">
        <v>845</v>
      </c>
      <c r="B66" s="2999">
        <v>0.5</v>
      </c>
      <c r="C66" s="2999">
        <v>0.2</v>
      </c>
      <c r="D66" s="2999">
        <v>0.2</v>
      </c>
      <c r="E66" s="2999">
        <v>0.2</v>
      </c>
      <c r="F66" s="2999">
        <v>0.2</v>
      </c>
      <c r="G66" s="2999">
        <v>0.1</v>
      </c>
    </row>
    <row r="67" spans="1:8" s="972" customFormat="1">
      <c r="A67" s="996" t="s">
        <v>846</v>
      </c>
      <c r="B67" s="2999">
        <v>0.5</v>
      </c>
      <c r="C67" s="2999">
        <v>0.2</v>
      </c>
      <c r="D67" s="2999">
        <v>0.2</v>
      </c>
      <c r="E67" s="2999">
        <v>0.2</v>
      </c>
      <c r="F67" s="2999">
        <v>0.2</v>
      </c>
      <c r="G67" s="2999">
        <v>0.1</v>
      </c>
    </row>
    <row r="68" spans="1:8" s="972" customFormat="1">
      <c r="A68" s="996" t="s">
        <v>847</v>
      </c>
      <c r="B68" s="2999">
        <v>0.5</v>
      </c>
      <c r="C68" s="2999">
        <v>0.2</v>
      </c>
      <c r="D68" s="2999">
        <v>0.2</v>
      </c>
      <c r="E68" s="2999">
        <v>0.2</v>
      </c>
      <c r="F68" s="2999">
        <v>0.2</v>
      </c>
      <c r="G68" s="2999">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2508</v>
      </c>
      <c r="D72" s="998"/>
      <c r="E72" s="986" t="s">
        <v>1159</v>
      </c>
      <c r="F72" s="998" t="s">
        <v>1159</v>
      </c>
    </row>
    <row r="73" spans="1:8" s="972" customFormat="1">
      <c r="A73" s="3021">
        <v>1</v>
      </c>
      <c r="B73" s="3741" t="s">
        <v>2509</v>
      </c>
      <c r="C73" s="2999" t="s">
        <v>2510</v>
      </c>
      <c r="D73" s="2999" t="s">
        <v>2511</v>
      </c>
      <c r="E73" s="3022">
        <v>0.2</v>
      </c>
      <c r="F73" s="3021">
        <v>25</v>
      </c>
      <c r="H73" s="972">
        <f>SUMIF(C71:C139,基准地价!C8,E71:E139)</f>
        <v>0</v>
      </c>
    </row>
    <row r="74" spans="1:8" s="972" customFormat="1" ht="24">
      <c r="A74" s="3021">
        <v>2</v>
      </c>
      <c r="B74" s="3743"/>
      <c r="C74" s="2999" t="s">
        <v>2512</v>
      </c>
      <c r="D74" s="2999" t="s">
        <v>2513</v>
      </c>
      <c r="E74" s="3022">
        <v>0.2</v>
      </c>
      <c r="F74" s="3021">
        <v>25</v>
      </c>
    </row>
    <row r="75" spans="1:8" s="972" customFormat="1" ht="24">
      <c r="A75" s="3021">
        <v>3</v>
      </c>
      <c r="B75" s="3743"/>
      <c r="C75" s="2999" t="s">
        <v>2514</v>
      </c>
      <c r="D75" s="2999" t="s">
        <v>2515</v>
      </c>
      <c r="E75" s="3022">
        <v>0.2</v>
      </c>
      <c r="F75" s="3021">
        <v>25</v>
      </c>
    </row>
    <row r="76" spans="1:8" s="972" customFormat="1">
      <c r="A76" s="3021">
        <v>4</v>
      </c>
      <c r="B76" s="3743"/>
      <c r="C76" s="2999" t="s">
        <v>2516</v>
      </c>
      <c r="D76" s="2999" t="s">
        <v>2517</v>
      </c>
      <c r="E76" s="3022">
        <v>0.15</v>
      </c>
      <c r="F76" s="3021">
        <v>20</v>
      </c>
    </row>
    <row r="77" spans="1:8" s="972" customFormat="1" ht="24">
      <c r="A77" s="3021">
        <v>5</v>
      </c>
      <c r="B77" s="3743"/>
      <c r="C77" s="2999" t="s">
        <v>2518</v>
      </c>
      <c r="D77" s="2999" t="s">
        <v>2519</v>
      </c>
      <c r="E77" s="3022">
        <v>0.15</v>
      </c>
      <c r="F77" s="3021">
        <v>20</v>
      </c>
    </row>
    <row r="78" spans="1:8" s="972" customFormat="1" ht="24">
      <c r="A78" s="3021">
        <v>6</v>
      </c>
      <c r="B78" s="3743"/>
      <c r="C78" s="2999" t="s">
        <v>2520</v>
      </c>
      <c r="D78" s="2999" t="s">
        <v>2521</v>
      </c>
      <c r="E78" s="3022">
        <v>0.15</v>
      </c>
      <c r="F78" s="3021">
        <v>20</v>
      </c>
    </row>
    <row r="79" spans="1:8" s="972" customFormat="1" ht="24">
      <c r="A79" s="3021">
        <v>7</v>
      </c>
      <c r="B79" s="3743"/>
      <c r="C79" s="2999" t="s">
        <v>2522</v>
      </c>
      <c r="D79" s="2999" t="s">
        <v>2523</v>
      </c>
      <c r="E79" s="3022">
        <v>0.15</v>
      </c>
      <c r="F79" s="3021">
        <v>20</v>
      </c>
    </row>
    <row r="80" spans="1:8" s="972" customFormat="1" ht="24">
      <c r="A80" s="3021">
        <v>8</v>
      </c>
      <c r="B80" s="3743"/>
      <c r="C80" s="2999" t="s">
        <v>2524</v>
      </c>
      <c r="D80" s="2999" t="s">
        <v>2525</v>
      </c>
      <c r="E80" s="3022">
        <v>0.1</v>
      </c>
      <c r="F80" s="3021">
        <v>15</v>
      </c>
    </row>
    <row r="81" spans="1:6" s="972" customFormat="1" ht="24">
      <c r="A81" s="3021">
        <v>9</v>
      </c>
      <c r="B81" s="3743"/>
      <c r="C81" s="2999" t="s">
        <v>2526</v>
      </c>
      <c r="D81" s="2999" t="s">
        <v>2527</v>
      </c>
      <c r="E81" s="3022">
        <v>0.1</v>
      </c>
      <c r="F81" s="3021">
        <v>15</v>
      </c>
    </row>
    <row r="82" spans="1:6" s="972" customFormat="1" ht="24">
      <c r="A82" s="3021">
        <v>10</v>
      </c>
      <c r="B82" s="3743"/>
      <c r="C82" s="2999" t="s">
        <v>2528</v>
      </c>
      <c r="D82" s="2999" t="s">
        <v>2529</v>
      </c>
      <c r="E82" s="3022">
        <v>0.1</v>
      </c>
      <c r="F82" s="3021">
        <v>15</v>
      </c>
    </row>
    <row r="83" spans="1:6" s="972" customFormat="1" ht="24">
      <c r="A83" s="3021">
        <v>11</v>
      </c>
      <c r="B83" s="3743"/>
      <c r="C83" s="2999" t="s">
        <v>2530</v>
      </c>
      <c r="D83" s="2999" t="s">
        <v>2531</v>
      </c>
      <c r="E83" s="3022">
        <v>0.1</v>
      </c>
      <c r="F83" s="3021">
        <v>15</v>
      </c>
    </row>
    <row r="84" spans="1:6" s="972" customFormat="1" ht="24">
      <c r="A84" s="3021">
        <v>12</v>
      </c>
      <c r="B84" s="3743"/>
      <c r="C84" s="2999" t="s">
        <v>2532</v>
      </c>
      <c r="D84" s="2999" t="s">
        <v>2533</v>
      </c>
      <c r="E84" s="3022">
        <v>0.1</v>
      </c>
      <c r="F84" s="3021">
        <v>15</v>
      </c>
    </row>
    <row r="85" spans="1:6" s="972" customFormat="1">
      <c r="A85" s="3021">
        <v>13</v>
      </c>
      <c r="B85" s="3743"/>
      <c r="C85" s="2999" t="s">
        <v>2534</v>
      </c>
      <c r="D85" s="2999" t="s">
        <v>2535</v>
      </c>
      <c r="E85" s="3022">
        <v>0.1</v>
      </c>
      <c r="F85" s="3021">
        <v>15</v>
      </c>
    </row>
    <row r="86" spans="1:6" s="972" customFormat="1">
      <c r="A86" s="3021">
        <v>14</v>
      </c>
      <c r="B86" s="3743"/>
      <c r="C86" s="2999" t="s">
        <v>2536</v>
      </c>
      <c r="D86" s="2999" t="s">
        <v>2537</v>
      </c>
      <c r="E86" s="3022">
        <v>0.1</v>
      </c>
      <c r="F86" s="3021">
        <v>15</v>
      </c>
    </row>
    <row r="87" spans="1:6" s="972" customFormat="1">
      <c r="A87" s="3021">
        <v>15</v>
      </c>
      <c r="B87" s="3743"/>
      <c r="C87" s="2999" t="s">
        <v>2538</v>
      </c>
      <c r="D87" s="2999" t="s">
        <v>2539</v>
      </c>
      <c r="E87" s="3022">
        <v>0.1</v>
      </c>
      <c r="F87" s="3021">
        <v>15</v>
      </c>
    </row>
    <row r="88" spans="1:6" s="972" customFormat="1" ht="24">
      <c r="A88" s="3021">
        <v>16</v>
      </c>
      <c r="B88" s="3743"/>
      <c r="C88" s="2999" t="s">
        <v>2540</v>
      </c>
      <c r="D88" s="2999" t="s">
        <v>2541</v>
      </c>
      <c r="E88" s="3022">
        <v>0.1</v>
      </c>
      <c r="F88" s="3021">
        <v>15</v>
      </c>
    </row>
    <row r="89" spans="1:6" s="972" customFormat="1" ht="24">
      <c r="A89" s="3021">
        <v>17</v>
      </c>
      <c r="B89" s="3742"/>
      <c r="C89" s="2999" t="s">
        <v>2542</v>
      </c>
      <c r="D89" s="2999" t="s">
        <v>2543</v>
      </c>
      <c r="E89" s="3022">
        <v>0.1</v>
      </c>
      <c r="F89" s="3021">
        <v>15</v>
      </c>
    </row>
    <row r="90" spans="1:6" s="972" customFormat="1">
      <c r="A90" s="3021">
        <v>18</v>
      </c>
      <c r="B90" s="3741" t="s">
        <v>2544</v>
      </c>
      <c r="C90" s="2999" t="s">
        <v>2545</v>
      </c>
      <c r="D90" s="2999" t="s">
        <v>2546</v>
      </c>
      <c r="E90" s="3022">
        <v>0.2</v>
      </c>
      <c r="F90" s="3021">
        <v>25</v>
      </c>
    </row>
    <row r="91" spans="1:6" s="972" customFormat="1" ht="24">
      <c r="A91" s="3021">
        <v>19</v>
      </c>
      <c r="B91" s="3743"/>
      <c r="C91" s="2999" t="s">
        <v>2547</v>
      </c>
      <c r="D91" s="2999" t="s">
        <v>2548</v>
      </c>
      <c r="E91" s="3022">
        <v>0.2</v>
      </c>
      <c r="F91" s="3021">
        <v>25</v>
      </c>
    </row>
    <row r="92" spans="1:6" s="972" customFormat="1">
      <c r="A92" s="3021">
        <v>20</v>
      </c>
      <c r="B92" s="3743"/>
      <c r="C92" s="2999" t="s">
        <v>2549</v>
      </c>
      <c r="D92" s="2999" t="s">
        <v>2550</v>
      </c>
      <c r="E92" s="3022">
        <v>0.15</v>
      </c>
      <c r="F92" s="3021">
        <v>20</v>
      </c>
    </row>
    <row r="93" spans="1:6" s="972" customFormat="1" ht="24">
      <c r="A93" s="3021">
        <v>21</v>
      </c>
      <c r="B93" s="3743"/>
      <c r="C93" s="2999" t="s">
        <v>2551</v>
      </c>
      <c r="D93" s="2999" t="s">
        <v>2552</v>
      </c>
      <c r="E93" s="3022">
        <v>0.15</v>
      </c>
      <c r="F93" s="3021">
        <v>20</v>
      </c>
    </row>
    <row r="94" spans="1:6" s="972" customFormat="1" ht="24">
      <c r="A94" s="3021">
        <v>22</v>
      </c>
      <c r="B94" s="3743"/>
      <c r="C94" s="2999" t="s">
        <v>2553</v>
      </c>
      <c r="D94" s="2999" t="s">
        <v>2554</v>
      </c>
      <c r="E94" s="3022">
        <v>0.15</v>
      </c>
      <c r="F94" s="3021">
        <v>20</v>
      </c>
    </row>
    <row r="95" spans="1:6" s="972" customFormat="1" ht="36">
      <c r="A95" s="3021">
        <v>23</v>
      </c>
      <c r="B95" s="3743"/>
      <c r="C95" s="2999" t="s">
        <v>2555</v>
      </c>
      <c r="D95" s="2999" t="s">
        <v>2556</v>
      </c>
      <c r="E95" s="3022">
        <v>0.15</v>
      </c>
      <c r="F95" s="3021">
        <v>20</v>
      </c>
    </row>
    <row r="96" spans="1:6" s="972" customFormat="1">
      <c r="A96" s="3021">
        <v>24</v>
      </c>
      <c r="B96" s="3743"/>
      <c r="C96" s="2999" t="s">
        <v>2557</v>
      </c>
      <c r="D96" s="2999" t="s">
        <v>2558</v>
      </c>
      <c r="E96" s="3022">
        <v>0.1</v>
      </c>
      <c r="F96" s="3021">
        <v>15</v>
      </c>
    </row>
    <row r="97" spans="1:6" s="972" customFormat="1" ht="24">
      <c r="A97" s="3021">
        <v>25</v>
      </c>
      <c r="B97" s="3743"/>
      <c r="C97" s="2999" t="s">
        <v>2559</v>
      </c>
      <c r="D97" s="2999" t="s">
        <v>2560</v>
      </c>
      <c r="E97" s="3022">
        <v>0.1</v>
      </c>
      <c r="F97" s="3021">
        <v>15</v>
      </c>
    </row>
    <row r="98" spans="1:6" s="972" customFormat="1" ht="24">
      <c r="A98" s="3021">
        <v>26</v>
      </c>
      <c r="B98" s="3743"/>
      <c r="C98" s="2999" t="s">
        <v>2561</v>
      </c>
      <c r="D98" s="2999" t="s">
        <v>2562</v>
      </c>
      <c r="E98" s="3022">
        <v>0.1</v>
      </c>
      <c r="F98" s="3021">
        <v>15</v>
      </c>
    </row>
    <row r="99" spans="1:6" s="972" customFormat="1" ht="24">
      <c r="A99" s="3021">
        <v>27</v>
      </c>
      <c r="B99" s="3743"/>
      <c r="C99" s="2999" t="s">
        <v>2563</v>
      </c>
      <c r="D99" s="2999" t="s">
        <v>2564</v>
      </c>
      <c r="E99" s="3022">
        <v>0.1</v>
      </c>
      <c r="F99" s="3021">
        <v>15</v>
      </c>
    </row>
    <row r="100" spans="1:6" s="972" customFormat="1" ht="24">
      <c r="A100" s="3021">
        <v>28</v>
      </c>
      <c r="B100" s="3743"/>
      <c r="C100" s="2999" t="s">
        <v>2565</v>
      </c>
      <c r="D100" s="2999" t="s">
        <v>2566</v>
      </c>
      <c r="E100" s="3022">
        <v>0.1</v>
      </c>
      <c r="F100" s="3021">
        <v>15</v>
      </c>
    </row>
    <row r="101" spans="1:6" s="972" customFormat="1" ht="24">
      <c r="A101" s="3021">
        <v>29</v>
      </c>
      <c r="B101" s="3743"/>
      <c r="C101" s="2999" t="s">
        <v>2567</v>
      </c>
      <c r="D101" s="2999" t="s">
        <v>2568</v>
      </c>
      <c r="E101" s="3022">
        <v>0.1</v>
      </c>
      <c r="F101" s="3021">
        <v>15</v>
      </c>
    </row>
    <row r="102" spans="1:6" s="972" customFormat="1" ht="24">
      <c r="A102" s="3021">
        <v>30</v>
      </c>
      <c r="B102" s="3743"/>
      <c r="C102" s="2999" t="s">
        <v>2569</v>
      </c>
      <c r="D102" s="2999" t="s">
        <v>2570</v>
      </c>
      <c r="E102" s="3022">
        <v>0.1</v>
      </c>
      <c r="F102" s="3021">
        <v>15</v>
      </c>
    </row>
    <row r="103" spans="1:6" s="972" customFormat="1" ht="24">
      <c r="A103" s="3021">
        <v>31</v>
      </c>
      <c r="B103" s="3743"/>
      <c r="C103" s="2999" t="s">
        <v>2571</v>
      </c>
      <c r="D103" s="2999" t="s">
        <v>2572</v>
      </c>
      <c r="E103" s="3022">
        <v>0.1</v>
      </c>
      <c r="F103" s="3021">
        <v>15</v>
      </c>
    </row>
    <row r="104" spans="1:6" s="972" customFormat="1" ht="24">
      <c r="A104" s="3021">
        <v>32</v>
      </c>
      <c r="B104" s="3743"/>
      <c r="C104" s="2999" t="s">
        <v>2573</v>
      </c>
      <c r="D104" s="2999" t="s">
        <v>2574</v>
      </c>
      <c r="E104" s="3022">
        <v>0.1</v>
      </c>
      <c r="F104" s="3021">
        <v>15</v>
      </c>
    </row>
    <row r="105" spans="1:6" s="972" customFormat="1" ht="24">
      <c r="A105" s="3021">
        <v>33</v>
      </c>
      <c r="B105" s="3743"/>
      <c r="C105" s="2999" t="s">
        <v>2575</v>
      </c>
      <c r="D105" s="2999" t="s">
        <v>2576</v>
      </c>
      <c r="E105" s="3022">
        <v>0.1</v>
      </c>
      <c r="F105" s="3021">
        <v>15</v>
      </c>
    </row>
    <row r="106" spans="1:6" s="972" customFormat="1" ht="24">
      <c r="A106" s="3021">
        <v>34</v>
      </c>
      <c r="B106" s="3742"/>
      <c r="C106" s="2999" t="s">
        <v>2577</v>
      </c>
      <c r="D106" s="2999" t="s">
        <v>2578</v>
      </c>
      <c r="E106" s="3022">
        <v>0.1</v>
      </c>
      <c r="F106" s="3021">
        <v>15</v>
      </c>
    </row>
    <row r="107" spans="1:6" s="972" customFormat="1" ht="24">
      <c r="A107" s="3021">
        <v>35</v>
      </c>
      <c r="B107" s="3741" t="s">
        <v>2579</v>
      </c>
      <c r="C107" s="3021" t="s">
        <v>2580</v>
      </c>
      <c r="D107" s="2999" t="s">
        <v>2581</v>
      </c>
      <c r="E107" s="3022">
        <v>0.15</v>
      </c>
      <c r="F107" s="3021">
        <v>20</v>
      </c>
    </row>
    <row r="108" spans="1:6" s="972" customFormat="1" ht="24">
      <c r="A108" s="3021">
        <v>36</v>
      </c>
      <c r="B108" s="3743"/>
      <c r="C108" s="3021" t="s">
        <v>2582</v>
      </c>
      <c r="D108" s="2999" t="s">
        <v>2583</v>
      </c>
      <c r="E108" s="3022">
        <v>0.15</v>
      </c>
      <c r="F108" s="3021">
        <v>20</v>
      </c>
    </row>
    <row r="109" spans="1:6" s="972" customFormat="1" ht="24">
      <c r="A109" s="3021">
        <v>37</v>
      </c>
      <c r="B109" s="3743"/>
      <c r="C109" s="3021" t="s">
        <v>2584</v>
      </c>
      <c r="D109" s="2999" t="s">
        <v>2585</v>
      </c>
      <c r="E109" s="3022">
        <v>0.15</v>
      </c>
      <c r="F109" s="3021">
        <v>20</v>
      </c>
    </row>
    <row r="110" spans="1:6" s="972" customFormat="1">
      <c r="A110" s="3021">
        <v>38</v>
      </c>
      <c r="B110" s="3743"/>
      <c r="C110" s="3021" t="s">
        <v>2586</v>
      </c>
      <c r="D110" s="2999" t="s">
        <v>2587</v>
      </c>
      <c r="E110" s="3022">
        <v>0.1</v>
      </c>
      <c r="F110" s="3021">
        <v>15</v>
      </c>
    </row>
    <row r="111" spans="1:6" s="972" customFormat="1" ht="24">
      <c r="A111" s="3021">
        <v>39</v>
      </c>
      <c r="B111" s="3743"/>
      <c r="C111" s="3021" t="s">
        <v>2588</v>
      </c>
      <c r="D111" s="2999" t="s">
        <v>2589</v>
      </c>
      <c r="E111" s="3022">
        <v>0.1</v>
      </c>
      <c r="F111" s="3021">
        <v>15</v>
      </c>
    </row>
    <row r="112" spans="1:6" s="972" customFormat="1" ht="24">
      <c r="A112" s="3021">
        <v>40</v>
      </c>
      <c r="B112" s="3742"/>
      <c r="C112" s="3021" t="s">
        <v>2590</v>
      </c>
      <c r="D112" s="2999" t="s">
        <v>2591</v>
      </c>
      <c r="E112" s="3022">
        <v>0.1</v>
      </c>
      <c r="F112" s="3021">
        <v>15</v>
      </c>
    </row>
    <row r="113" spans="1:6" s="972" customFormat="1" ht="24">
      <c r="A113" s="3021">
        <v>41</v>
      </c>
      <c r="B113" s="3740" t="s">
        <v>2592</v>
      </c>
      <c r="C113" s="3021" t="s">
        <v>2593</v>
      </c>
      <c r="D113" s="2999" t="s">
        <v>2594</v>
      </c>
      <c r="E113" s="3022">
        <v>0.1</v>
      </c>
      <c r="F113" s="3021">
        <v>15</v>
      </c>
    </row>
    <row r="114" spans="1:6" s="972" customFormat="1">
      <c r="A114" s="3021">
        <v>42</v>
      </c>
      <c r="B114" s="3740"/>
      <c r="C114" s="3021" t="s">
        <v>2595</v>
      </c>
      <c r="D114" s="2999" t="s">
        <v>2596</v>
      </c>
      <c r="E114" s="3022">
        <v>0.1</v>
      </c>
      <c r="F114" s="3021">
        <v>15</v>
      </c>
    </row>
    <row r="115" spans="1:6" s="972" customFormat="1" ht="24">
      <c r="A115" s="3021">
        <v>43</v>
      </c>
      <c r="B115" s="3740"/>
      <c r="C115" s="3021" t="s">
        <v>2597</v>
      </c>
      <c r="D115" s="2999" t="s">
        <v>2598</v>
      </c>
      <c r="E115" s="3022">
        <v>0.1</v>
      </c>
      <c r="F115" s="3021">
        <v>15</v>
      </c>
    </row>
    <row r="116" spans="1:6" s="972" customFormat="1" ht="24">
      <c r="A116" s="3021">
        <v>44</v>
      </c>
      <c r="B116" s="3741" t="s">
        <v>2599</v>
      </c>
      <c r="C116" s="3021" t="s">
        <v>2600</v>
      </c>
      <c r="D116" s="2999" t="s">
        <v>2601</v>
      </c>
      <c r="E116" s="3022">
        <v>0.1</v>
      </c>
      <c r="F116" s="3021">
        <v>15</v>
      </c>
    </row>
    <row r="117" spans="1:6" s="972" customFormat="1" ht="24">
      <c r="A117" s="3021">
        <v>45</v>
      </c>
      <c r="B117" s="3742"/>
      <c r="C117" s="2999" t="s">
        <v>2602</v>
      </c>
      <c r="D117" s="2999" t="s">
        <v>2603</v>
      </c>
      <c r="E117" s="3022">
        <v>0.1</v>
      </c>
      <c r="F117" s="3021">
        <v>15</v>
      </c>
    </row>
    <row r="118" spans="1:6" s="972" customFormat="1" ht="24">
      <c r="A118" s="3021">
        <v>46</v>
      </c>
      <c r="B118" s="3741" t="s">
        <v>2604</v>
      </c>
      <c r="C118" s="3021" t="s">
        <v>2605</v>
      </c>
      <c r="D118" s="2999" t="s">
        <v>2606</v>
      </c>
      <c r="E118" s="3022">
        <v>0.1</v>
      </c>
      <c r="F118" s="3021">
        <v>15</v>
      </c>
    </row>
    <row r="119" spans="1:6" s="972" customFormat="1" ht="24">
      <c r="A119" s="3021">
        <v>47</v>
      </c>
      <c r="B119" s="3742"/>
      <c r="C119" s="3021" t="s">
        <v>2607</v>
      </c>
      <c r="D119" s="2999" t="s">
        <v>2608</v>
      </c>
      <c r="E119" s="3022">
        <v>0.1</v>
      </c>
      <c r="F119" s="3021">
        <v>15</v>
      </c>
    </row>
    <row r="120" spans="1:6" s="972" customFormat="1" ht="24">
      <c r="A120" s="3021">
        <v>48</v>
      </c>
      <c r="B120" s="3741" t="s">
        <v>2609</v>
      </c>
      <c r="C120" s="3021" t="s">
        <v>2610</v>
      </c>
      <c r="D120" s="2999" t="s">
        <v>2611</v>
      </c>
      <c r="E120" s="3022">
        <v>0.1</v>
      </c>
      <c r="F120" s="3021">
        <v>15</v>
      </c>
    </row>
    <row r="121" spans="1:6" s="972" customFormat="1">
      <c r="A121" s="3021">
        <v>49</v>
      </c>
      <c r="B121" s="3742"/>
      <c r="C121" s="3021" t="s">
        <v>2612</v>
      </c>
      <c r="D121" s="2999" t="s">
        <v>2613</v>
      </c>
      <c r="E121" s="3022">
        <v>0.1</v>
      </c>
      <c r="F121" s="3021">
        <v>15</v>
      </c>
    </row>
    <row r="122" spans="1:6" s="972" customFormat="1" ht="24">
      <c r="A122" s="3021">
        <v>50</v>
      </c>
      <c r="B122" s="3740" t="s">
        <v>2614</v>
      </c>
      <c r="C122" s="3021" t="s">
        <v>2615</v>
      </c>
      <c r="D122" s="2999" t="s">
        <v>2616</v>
      </c>
      <c r="E122" s="3022">
        <v>0.1</v>
      </c>
      <c r="F122" s="3021">
        <v>15</v>
      </c>
    </row>
    <row r="123" spans="1:6" s="972" customFormat="1" ht="24">
      <c r="A123" s="3021">
        <v>51</v>
      </c>
      <c r="B123" s="3740"/>
      <c r="C123" s="3021" t="s">
        <v>2617</v>
      </c>
      <c r="D123" s="2999" t="s">
        <v>2618</v>
      </c>
      <c r="E123" s="3022">
        <v>0.1</v>
      </c>
      <c r="F123" s="3021">
        <v>15</v>
      </c>
    </row>
    <row r="124" spans="1:6" s="972" customFormat="1" ht="24">
      <c r="A124" s="3021">
        <v>52</v>
      </c>
      <c r="B124" s="3740" t="s">
        <v>2619</v>
      </c>
      <c r="C124" s="3021" t="s">
        <v>2620</v>
      </c>
      <c r="D124" s="2999" t="s">
        <v>2621</v>
      </c>
      <c r="E124" s="3022">
        <v>0.1</v>
      </c>
      <c r="F124" s="3021">
        <v>15</v>
      </c>
    </row>
    <row r="125" spans="1:6" s="972" customFormat="1" ht="24">
      <c r="A125" s="3021">
        <v>53</v>
      </c>
      <c r="B125" s="3740"/>
      <c r="C125" s="3021" t="s">
        <v>2622</v>
      </c>
      <c r="D125" s="2999" t="s">
        <v>2623</v>
      </c>
      <c r="E125" s="3022">
        <v>0.1</v>
      </c>
      <c r="F125" s="3021">
        <v>15</v>
      </c>
    </row>
    <row r="126" spans="1:6" ht="24">
      <c r="A126" s="3021">
        <v>54</v>
      </c>
      <c r="B126" s="3021" t="s">
        <v>2624</v>
      </c>
      <c r="C126" s="3021" t="s">
        <v>2625</v>
      </c>
      <c r="D126" s="2999" t="s">
        <v>2626</v>
      </c>
      <c r="E126" s="3022">
        <v>0.1</v>
      </c>
      <c r="F126" s="3021">
        <v>15</v>
      </c>
    </row>
    <row r="127" spans="1:6">
      <c r="A127" s="3021">
        <v>55</v>
      </c>
      <c r="B127" s="3740" t="s">
        <v>2627</v>
      </c>
      <c r="C127" s="3021" t="s">
        <v>2628</v>
      </c>
      <c r="D127" s="2999" t="s">
        <v>2629</v>
      </c>
      <c r="E127" s="3022">
        <v>0.1</v>
      </c>
      <c r="F127" s="3021">
        <v>15</v>
      </c>
    </row>
    <row r="128" spans="1:6">
      <c r="A128" s="3021">
        <v>56</v>
      </c>
      <c r="B128" s="3740"/>
      <c r="C128" s="3021" t="s">
        <v>2630</v>
      </c>
      <c r="D128" s="2999" t="s">
        <v>2631</v>
      </c>
      <c r="E128" s="3022">
        <v>0.1</v>
      </c>
      <c r="F128" s="3021">
        <v>15</v>
      </c>
    </row>
    <row r="129" spans="1:14" ht="24">
      <c r="A129" s="3021">
        <v>57</v>
      </c>
      <c r="B129" s="3740"/>
      <c r="C129" s="3021" t="s">
        <v>2632</v>
      </c>
      <c r="D129" s="2999" t="s">
        <v>2633</v>
      </c>
      <c r="E129" s="3022">
        <v>0.1</v>
      </c>
      <c r="F129" s="3021">
        <v>15</v>
      </c>
    </row>
    <row r="130" spans="1:14" ht="24">
      <c r="A130" s="3021">
        <v>58</v>
      </c>
      <c r="B130" s="3740" t="s">
        <v>2634</v>
      </c>
      <c r="C130" s="3021" t="s">
        <v>2635</v>
      </c>
      <c r="D130" s="2999" t="s">
        <v>2636</v>
      </c>
      <c r="E130" s="3022">
        <v>0.1</v>
      </c>
      <c r="F130" s="3021">
        <v>15</v>
      </c>
    </row>
    <row r="131" spans="1:14" ht="24">
      <c r="A131" s="3021">
        <v>59</v>
      </c>
      <c r="B131" s="3740"/>
      <c r="C131" s="3021" t="s">
        <v>2637</v>
      </c>
      <c r="D131" s="2999" t="s">
        <v>2638</v>
      </c>
      <c r="E131" s="3022">
        <v>0.1</v>
      </c>
      <c r="F131" s="3021">
        <v>15</v>
      </c>
    </row>
    <row r="132" spans="1:14" ht="24">
      <c r="A132" s="3021">
        <v>60</v>
      </c>
      <c r="B132" s="3741" t="s">
        <v>2639</v>
      </c>
      <c r="C132" s="3021" t="s">
        <v>2640</v>
      </c>
      <c r="D132" s="2999" t="s">
        <v>2641</v>
      </c>
      <c r="E132" s="3022">
        <v>0.1</v>
      </c>
      <c r="F132" s="3021">
        <v>15</v>
      </c>
    </row>
    <row r="133" spans="1:14" ht="24">
      <c r="A133" s="3021">
        <v>61</v>
      </c>
      <c r="B133" s="3742"/>
      <c r="C133" s="3021" t="s">
        <v>2642</v>
      </c>
      <c r="D133" s="2999" t="s">
        <v>2643</v>
      </c>
      <c r="E133" s="3022">
        <v>0.1</v>
      </c>
      <c r="F133" s="3021">
        <v>15</v>
      </c>
    </row>
    <row r="134" spans="1:14" ht="24">
      <c r="A134" s="3021">
        <v>62</v>
      </c>
      <c r="B134" s="3021" t="s">
        <v>2644</v>
      </c>
      <c r="C134" s="3021" t="s">
        <v>2645</v>
      </c>
      <c r="D134" s="2999" t="s">
        <v>2646</v>
      </c>
      <c r="E134" s="3022">
        <v>0.1</v>
      </c>
      <c r="F134" s="3021">
        <v>15</v>
      </c>
    </row>
    <row r="135" spans="1:14" ht="24">
      <c r="A135" s="3021">
        <v>63</v>
      </c>
      <c r="B135" s="3740" t="s">
        <v>2647</v>
      </c>
      <c r="C135" s="3021" t="s">
        <v>2648</v>
      </c>
      <c r="D135" s="2999" t="s">
        <v>2649</v>
      </c>
      <c r="E135" s="3022">
        <v>0.1</v>
      </c>
      <c r="F135" s="3021">
        <v>15</v>
      </c>
    </row>
    <row r="136" spans="1:14">
      <c r="A136" s="3021">
        <v>64</v>
      </c>
      <c r="B136" s="3740"/>
      <c r="C136" s="3021" t="s">
        <v>2650</v>
      </c>
      <c r="D136" s="2999" t="s">
        <v>2651</v>
      </c>
      <c r="E136" s="3022">
        <v>0.1</v>
      </c>
      <c r="F136" s="3021">
        <v>15</v>
      </c>
    </row>
    <row r="137" spans="1:14" ht="24">
      <c r="A137" s="3021">
        <v>65</v>
      </c>
      <c r="B137" s="3021" t="s">
        <v>2652</v>
      </c>
      <c r="C137" s="3021" t="s">
        <v>2653</v>
      </c>
      <c r="D137" s="2999" t="s">
        <v>2654</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9"/>
    <col min="9" max="9" width="9" style="956"/>
    <col min="10" max="10" width="17.375" style="3188" customWidth="1"/>
    <col min="11" max="21" width="17.375" style="3163" customWidth="1"/>
    <col min="22" max="16384" width="9" style="956"/>
  </cols>
  <sheetData>
    <row r="1" spans="1:21">
      <c r="A1" s="3752" t="s">
        <v>2793</v>
      </c>
      <c r="B1" s="3752"/>
      <c r="C1" s="3752"/>
      <c r="D1" s="3752"/>
      <c r="E1" s="3752"/>
      <c r="F1" s="3752"/>
      <c r="G1" s="3753"/>
      <c r="I1" s="960"/>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2794</v>
      </c>
      <c r="B2" s="3149"/>
      <c r="C2" s="3149"/>
      <c r="D2" s="3149"/>
      <c r="E2" s="3149"/>
      <c r="F2" s="3149"/>
      <c r="G2" s="3144" t="s">
        <v>2795</v>
      </c>
      <c r="J2" s="3173" t="s">
        <v>2801</v>
      </c>
      <c r="K2" s="3153" t="s">
        <v>2803</v>
      </c>
      <c r="L2" s="3153" t="s">
        <v>2805</v>
      </c>
      <c r="M2" s="3153" t="s">
        <v>2811</v>
      </c>
      <c r="N2" s="3153" t="s">
        <v>2821</v>
      </c>
      <c r="O2" s="3153" t="s">
        <v>2836</v>
      </c>
      <c r="P2" s="3153" t="s">
        <v>2873</v>
      </c>
      <c r="Q2" s="3153" t="s">
        <v>2904</v>
      </c>
      <c r="R2" s="3153" t="s">
        <v>2932</v>
      </c>
      <c r="S2" s="3153" t="s">
        <v>2967</v>
      </c>
      <c r="T2" s="3153" t="s">
        <v>2987</v>
      </c>
      <c r="U2" s="3153" t="s">
        <v>2999</v>
      </c>
    </row>
    <row r="3" spans="1:21" s="960" customFormat="1" ht="19.5" customHeight="1">
      <c r="A3" s="3754" t="s">
        <v>2796</v>
      </c>
      <c r="B3" s="3145"/>
      <c r="C3" s="3146" t="s">
        <v>2774</v>
      </c>
      <c r="D3" s="3146" t="s">
        <v>2797</v>
      </c>
      <c r="E3" s="3146" t="s">
        <v>2776</v>
      </c>
      <c r="F3" s="3146" t="s">
        <v>2798</v>
      </c>
      <c r="G3" s="3146" t="s">
        <v>2719</v>
      </c>
      <c r="H3" s="963"/>
      <c r="J3" s="3173" t="s">
        <v>2802</v>
      </c>
      <c r="K3" s="3153" t="s">
        <v>973</v>
      </c>
      <c r="L3" s="3153" t="s">
        <v>974</v>
      </c>
      <c r="M3" s="3153" t="s">
        <v>975</v>
      </c>
      <c r="N3" s="3153" t="s">
        <v>976</v>
      </c>
      <c r="O3" s="3153" t="s">
        <v>977</v>
      </c>
      <c r="P3" s="3153" t="s">
        <v>978</v>
      </c>
      <c r="Q3" s="3153" t="s">
        <v>979</v>
      </c>
      <c r="R3" s="3153" t="s">
        <v>980</v>
      </c>
      <c r="S3" s="3153" t="s">
        <v>981</v>
      </c>
      <c r="T3" s="3153" t="s">
        <v>2988</v>
      </c>
      <c r="U3" s="3153" t="s">
        <v>3000</v>
      </c>
    </row>
    <row r="4" spans="1:21" s="960" customFormat="1" ht="19.5" customHeight="1" thickBot="1">
      <c r="A4" s="3755"/>
      <c r="B4" s="3147" t="s">
        <v>2799</v>
      </c>
      <c r="C4" s="3147" t="s">
        <v>2800</v>
      </c>
      <c r="D4" s="3147" t="s">
        <v>2800</v>
      </c>
      <c r="E4" s="3147" t="s">
        <v>2800</v>
      </c>
      <c r="F4" s="3148" t="s">
        <v>2800</v>
      </c>
      <c r="G4" s="3148" t="s">
        <v>2800</v>
      </c>
      <c r="H4" s="963"/>
      <c r="J4" s="3173" t="s">
        <v>982</v>
      </c>
      <c r="K4" s="3153" t="s">
        <v>983</v>
      </c>
      <c r="L4" s="3153" t="s">
        <v>984</v>
      </c>
      <c r="M4" s="3153" t="s">
        <v>985</v>
      </c>
      <c r="N4" s="3153" t="s">
        <v>986</v>
      </c>
      <c r="O4" s="3153" t="s">
        <v>987</v>
      </c>
      <c r="P4" s="3153" t="s">
        <v>988</v>
      </c>
      <c r="Q4" s="3153" t="s">
        <v>989</v>
      </c>
      <c r="R4" s="3153" t="s">
        <v>2933</v>
      </c>
      <c r="S4" s="3153" t="s">
        <v>2968</v>
      </c>
      <c r="T4" s="3153" t="s">
        <v>2989</v>
      </c>
      <c r="U4" s="3153" t="s">
        <v>3001</v>
      </c>
    </row>
    <row r="5" spans="1:21" ht="14.25" customHeight="1">
      <c r="A5" s="3150" t="s">
        <v>990</v>
      </c>
      <c r="B5" s="3151" t="s">
        <v>2801</v>
      </c>
      <c r="C5" s="3151">
        <v>34550</v>
      </c>
      <c r="D5" s="3151">
        <v>34470</v>
      </c>
      <c r="E5" s="3151">
        <v>34330</v>
      </c>
      <c r="F5" s="3152">
        <v>13400</v>
      </c>
      <c r="G5" s="3152">
        <v>25450</v>
      </c>
      <c r="H5" s="964" t="s">
        <v>961</v>
      </c>
      <c r="I5" s="965">
        <f>SUMPRODUCT((B5:B9=基准地价!I2)*(C3:G3=基准地价!E2)*(C5:G9))</f>
        <v>0</v>
      </c>
      <c r="J5" s="3173" t="s">
        <v>991</v>
      </c>
      <c r="K5" s="3153" t="s">
        <v>992</v>
      </c>
      <c r="L5" s="3153" t="s">
        <v>993</v>
      </c>
      <c r="M5" s="3153" t="s">
        <v>994</v>
      </c>
      <c r="N5" s="3153" t="s">
        <v>995</v>
      </c>
      <c r="O5" s="3153" t="s">
        <v>996</v>
      </c>
      <c r="P5" s="3153" t="s">
        <v>997</v>
      </c>
      <c r="Q5" s="3153" t="s">
        <v>998</v>
      </c>
      <c r="R5" s="3153" t="s">
        <v>2934</v>
      </c>
      <c r="S5" s="3153" t="s">
        <v>2969</v>
      </c>
      <c r="T5" s="3153" t="s">
        <v>999</v>
      </c>
      <c r="U5" s="3153" t="s">
        <v>3002</v>
      </c>
    </row>
    <row r="6" spans="1:21" ht="14.25" customHeight="1">
      <c r="A6" s="3153" t="s">
        <v>990</v>
      </c>
      <c r="B6" s="3153" t="s">
        <v>2802</v>
      </c>
      <c r="C6" s="3153">
        <v>36990</v>
      </c>
      <c r="D6" s="3153">
        <v>36850</v>
      </c>
      <c r="E6" s="3153">
        <v>36700</v>
      </c>
      <c r="F6" s="3154">
        <v>14590</v>
      </c>
      <c r="G6" s="3154">
        <v>27450</v>
      </c>
      <c r="H6" s="966" t="s">
        <v>1000</v>
      </c>
      <c r="I6" s="967">
        <f>SUMPRODUCT((B10:B29=基准地价!I2)*(C3:G3=基准地价!E2)*(C10:G29))</f>
        <v>0</v>
      </c>
      <c r="J6" s="3173" t="s">
        <v>1001</v>
      </c>
      <c r="K6" s="3153" t="s">
        <v>1002</v>
      </c>
      <c r="L6" s="3153" t="s">
        <v>1003</v>
      </c>
      <c r="M6" s="3153" t="s">
        <v>1004</v>
      </c>
      <c r="N6" s="3153" t="s">
        <v>1005</v>
      </c>
      <c r="O6" s="3153" t="s">
        <v>1006</v>
      </c>
      <c r="P6" s="3153" t="s">
        <v>1007</v>
      </c>
      <c r="Q6" s="3153" t="s">
        <v>2905</v>
      </c>
      <c r="R6" s="3153" t="s">
        <v>2935</v>
      </c>
      <c r="S6" s="3153" t="s">
        <v>1008</v>
      </c>
      <c r="T6" s="3153" t="s">
        <v>2990</v>
      </c>
      <c r="U6" s="3153" t="s">
        <v>3003</v>
      </c>
    </row>
    <row r="7" spans="1:21" ht="14.25" customHeight="1">
      <c r="A7" s="3153" t="s">
        <v>990</v>
      </c>
      <c r="B7" s="1214" t="s">
        <v>982</v>
      </c>
      <c r="C7" s="3153">
        <v>34850</v>
      </c>
      <c r="D7" s="3153">
        <v>34690</v>
      </c>
      <c r="E7" s="3153">
        <v>34550</v>
      </c>
      <c r="F7" s="3154">
        <v>14360</v>
      </c>
      <c r="G7" s="3154">
        <v>25620</v>
      </c>
      <c r="H7" s="966" t="s">
        <v>838</v>
      </c>
      <c r="I7" s="967">
        <f>SUMPRODUCT((B30:B54=基准地价!I2)*(C3:G3=基准地价!E2)*(C30:G54))</f>
        <v>0</v>
      </c>
      <c r="K7" s="3153" t="s">
        <v>1009</v>
      </c>
      <c r="L7" s="3153" t="s">
        <v>1010</v>
      </c>
      <c r="M7" s="3153" t="s">
        <v>1011</v>
      </c>
      <c r="N7" s="3153" t="s">
        <v>1012</v>
      </c>
      <c r="O7" s="3153" t="s">
        <v>1013</v>
      </c>
      <c r="P7" s="3153" t="s">
        <v>1014</v>
      </c>
      <c r="Q7" s="3153" t="s">
        <v>2906</v>
      </c>
      <c r="R7" s="3153" t="s">
        <v>2936</v>
      </c>
      <c r="S7" s="3153" t="s">
        <v>2970</v>
      </c>
      <c r="T7" s="3153" t="s">
        <v>2991</v>
      </c>
      <c r="U7" s="1214" t="s">
        <v>3004</v>
      </c>
    </row>
    <row r="8" spans="1:21" ht="14.25" customHeight="1">
      <c r="A8" s="3153" t="s">
        <v>990</v>
      </c>
      <c r="B8" s="3153" t="s">
        <v>991</v>
      </c>
      <c r="C8" s="3153">
        <v>32630</v>
      </c>
      <c r="D8" s="3153">
        <v>32510</v>
      </c>
      <c r="E8" s="3153">
        <v>32420</v>
      </c>
      <c r="F8" s="3154">
        <v>13300</v>
      </c>
      <c r="G8" s="3154">
        <v>24010</v>
      </c>
      <c r="H8" s="966" t="s">
        <v>839</v>
      </c>
      <c r="I8" s="967">
        <f>SUMPRODUCT((B55:B86=基准地价!I2)*(C3:G3=基准地价!E2)*(C55:G86))</f>
        <v>0</v>
      </c>
      <c r="K8" s="3153" t="s">
        <v>1015</v>
      </c>
      <c r="L8" s="3153" t="s">
        <v>1016</v>
      </c>
      <c r="M8" s="3153" t="s">
        <v>1017</v>
      </c>
      <c r="N8" s="3153" t="s">
        <v>1018</v>
      </c>
      <c r="O8" s="3153" t="s">
        <v>1019</v>
      </c>
      <c r="P8" s="3153" t="s">
        <v>1020</v>
      </c>
      <c r="Q8" s="3153" t="s">
        <v>2907</v>
      </c>
      <c r="R8" s="3153" t="s">
        <v>1021</v>
      </c>
      <c r="S8" s="3153" t="s">
        <v>2971</v>
      </c>
      <c r="T8" s="3153" t="s">
        <v>2992</v>
      </c>
      <c r="U8" s="3153" t="s">
        <v>3005</v>
      </c>
    </row>
    <row r="9" spans="1:21" ht="14.25" customHeight="1" thickBot="1">
      <c r="A9" s="3167" t="s">
        <v>990</v>
      </c>
      <c r="B9" s="3155" t="s">
        <v>1001</v>
      </c>
      <c r="C9" s="3156">
        <v>36370</v>
      </c>
      <c r="D9" s="3156">
        <v>36210</v>
      </c>
      <c r="E9" s="3156">
        <v>36050</v>
      </c>
      <c r="F9" s="3157"/>
      <c r="G9" s="3158">
        <v>26740</v>
      </c>
      <c r="H9" s="966" t="s">
        <v>840</v>
      </c>
      <c r="I9" s="967">
        <f>SUMPRODUCT((B87:B126=基准地价!I2)*(C3:G3=基准地价!E2)*(C87:G126))</f>
        <v>15910</v>
      </c>
      <c r="K9" s="3153" t="s">
        <v>1022</v>
      </c>
      <c r="L9" s="3153" t="s">
        <v>1023</v>
      </c>
      <c r="M9" s="3153" t="s">
        <v>1024</v>
      </c>
      <c r="N9" s="3153" t="s">
        <v>1025</v>
      </c>
      <c r="O9" s="3153" t="s">
        <v>1026</v>
      </c>
      <c r="P9" s="3153" t="s">
        <v>1027</v>
      </c>
      <c r="Q9" s="3153" t="s">
        <v>2908</v>
      </c>
      <c r="R9" s="3153" t="s">
        <v>1029</v>
      </c>
      <c r="S9" s="3153" t="s">
        <v>1030</v>
      </c>
      <c r="T9" s="3153" t="s">
        <v>1047</v>
      </c>
    </row>
    <row r="10" spans="1:21" ht="14.25" customHeight="1">
      <c r="A10" s="3150" t="s">
        <v>1031</v>
      </c>
      <c r="B10" s="3151" t="s">
        <v>2803</v>
      </c>
      <c r="C10" s="3151">
        <v>32350</v>
      </c>
      <c r="D10" s="3151">
        <v>31430</v>
      </c>
      <c r="E10" s="3151">
        <v>31320</v>
      </c>
      <c r="F10" s="3152">
        <v>10850</v>
      </c>
      <c r="G10" s="3152">
        <v>22860</v>
      </c>
      <c r="H10" s="966" t="s">
        <v>841</v>
      </c>
      <c r="I10" s="967">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2993</v>
      </c>
    </row>
    <row r="11" spans="1:21" ht="14.25" customHeight="1">
      <c r="A11" s="3153" t="s">
        <v>1031</v>
      </c>
      <c r="B11" s="1214" t="s">
        <v>973</v>
      </c>
      <c r="C11" s="3153">
        <v>31590</v>
      </c>
      <c r="D11" s="3153">
        <v>29490</v>
      </c>
      <c r="E11" s="3153">
        <v>28700</v>
      </c>
      <c r="F11" s="3159">
        <v>10410</v>
      </c>
      <c r="G11" s="3159">
        <v>21460</v>
      </c>
      <c r="H11" s="966" t="s">
        <v>842</v>
      </c>
      <c r="I11" s="967">
        <f>SUMPRODUCT((B190:B233=基准地价!I2)*(C3:G3=基准地价!E2)*(C190:G233))</f>
        <v>0</v>
      </c>
      <c r="K11" s="3153" t="s">
        <v>1041</v>
      </c>
      <c r="L11" s="3153" t="s">
        <v>1042</v>
      </c>
      <c r="M11" s="3153" t="s">
        <v>1043</v>
      </c>
      <c r="N11" s="3153" t="s">
        <v>1044</v>
      </c>
      <c r="O11" s="3153" t="s">
        <v>1045</v>
      </c>
      <c r="P11" s="3153" t="s">
        <v>2874</v>
      </c>
      <c r="Q11" s="3153" t="s">
        <v>1038</v>
      </c>
      <c r="R11" s="3153" t="s">
        <v>1046</v>
      </c>
      <c r="S11" s="3153" t="s">
        <v>2972</v>
      </c>
      <c r="T11" s="3153" t="s">
        <v>2994</v>
      </c>
    </row>
    <row r="12" spans="1:21" ht="14.25" customHeight="1">
      <c r="A12" s="3153" t="s">
        <v>1031</v>
      </c>
      <c r="B12" s="1214" t="s">
        <v>983</v>
      </c>
      <c r="C12" s="3153">
        <v>29640</v>
      </c>
      <c r="D12" s="3153">
        <v>27550</v>
      </c>
      <c r="E12" s="3153">
        <v>28010</v>
      </c>
      <c r="F12" s="3159">
        <v>8730</v>
      </c>
      <c r="G12" s="3159">
        <v>20050</v>
      </c>
      <c r="H12" s="966" t="s">
        <v>843</v>
      </c>
      <c r="I12" s="967">
        <f>SUMPRODUCT((B234:B276=基准地价!I2)*(C3:G3=基准地价!E2)*(C234:G276))</f>
        <v>0</v>
      </c>
      <c r="K12" s="3153" t="s">
        <v>1048</v>
      </c>
      <c r="L12" s="3153" t="s">
        <v>1049</v>
      </c>
      <c r="M12" s="3153" t="s">
        <v>1050</v>
      </c>
      <c r="N12" s="3153" t="s">
        <v>1051</v>
      </c>
      <c r="O12" s="3153" t="s">
        <v>1052</v>
      </c>
      <c r="P12" s="3153" t="s">
        <v>2875</v>
      </c>
      <c r="Q12" s="3153" t="s">
        <v>2909</v>
      </c>
      <c r="R12" s="3153" t="s">
        <v>2937</v>
      </c>
      <c r="S12" s="3153" t="s">
        <v>2973</v>
      </c>
      <c r="T12" s="3153" t="s">
        <v>2995</v>
      </c>
    </row>
    <row r="13" spans="1:21" ht="14.25" customHeight="1">
      <c r="A13" s="3153" t="s">
        <v>1031</v>
      </c>
      <c r="B13" s="1214" t="s">
        <v>992</v>
      </c>
      <c r="C13" s="3153">
        <v>29680</v>
      </c>
      <c r="D13" s="3153">
        <v>27660</v>
      </c>
      <c r="E13" s="3153">
        <v>28210</v>
      </c>
      <c r="F13" s="3159">
        <v>9590</v>
      </c>
      <c r="G13" s="3159">
        <v>20120</v>
      </c>
      <c r="H13" s="966" t="s">
        <v>844</v>
      </c>
      <c r="I13" s="967">
        <f>SUMPRODUCT((B277:B326=基准地价!I2)*(C3:G3=基准地价!E2)*(C277:G326))</f>
        <v>0</v>
      </c>
      <c r="K13" s="3153" t="s">
        <v>1055</v>
      </c>
      <c r="L13" s="3153" t="s">
        <v>1056</v>
      </c>
      <c r="M13" s="3153" t="s">
        <v>1057</v>
      </c>
      <c r="N13" s="3153" t="s">
        <v>1058</v>
      </c>
      <c r="O13" s="3153" t="s">
        <v>1059</v>
      </c>
      <c r="P13" s="3153" t="s">
        <v>2876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6" t="s">
        <v>845</v>
      </c>
      <c r="I14" s="967">
        <f>SUMPRODUCT((B327:B357=基准地价!I2)*(C3:G3=基准地价!E2)*(C327:G357))</f>
        <v>0</v>
      </c>
      <c r="K14" s="3153" t="s">
        <v>1062</v>
      </c>
      <c r="L14" s="3153" t="s">
        <v>1063</v>
      </c>
      <c r="M14" s="3153" t="s">
        <v>1064</v>
      </c>
      <c r="N14" s="3153" t="s">
        <v>1065</v>
      </c>
      <c r="O14" s="3153" t="s">
        <v>1066</v>
      </c>
      <c r="P14" s="3153" t="s">
        <v>1088</v>
      </c>
      <c r="Q14" s="3153" t="s">
        <v>1060</v>
      </c>
      <c r="R14" s="3153" t="s">
        <v>2938</v>
      </c>
      <c r="S14" s="3153" t="s">
        <v>1076</v>
      </c>
      <c r="T14" s="3153" t="s">
        <v>1069</v>
      </c>
    </row>
    <row r="15" spans="1:21" ht="14.25" customHeight="1">
      <c r="A15" s="3153" t="s">
        <v>1031</v>
      </c>
      <c r="B15" s="1214" t="s">
        <v>1009</v>
      </c>
      <c r="C15" s="3153">
        <v>29090</v>
      </c>
      <c r="D15" s="3153">
        <v>27590</v>
      </c>
      <c r="E15" s="3153">
        <v>28120</v>
      </c>
      <c r="F15" s="3159">
        <v>9110</v>
      </c>
      <c r="G15" s="3159">
        <v>20070</v>
      </c>
      <c r="H15" s="966" t="s">
        <v>846</v>
      </c>
      <c r="I15" s="967">
        <f>SUMPRODUCT((B358:B377=基准地价!I2)*(C3:G3=基准地价!E2)*(C358:G377))</f>
        <v>0</v>
      </c>
      <c r="K15" s="3153" t="s">
        <v>1070</v>
      </c>
      <c r="L15" s="3153" t="s">
        <v>1071</v>
      </c>
      <c r="M15" s="3153" t="s">
        <v>1072</v>
      </c>
      <c r="N15" s="3153" t="s">
        <v>1073</v>
      </c>
      <c r="O15" s="3153" t="s">
        <v>1074</v>
      </c>
      <c r="P15" s="3153" t="s">
        <v>2877</v>
      </c>
      <c r="Q15" s="3153" t="s">
        <v>2910</v>
      </c>
      <c r="R15" s="3153" t="s">
        <v>1090</v>
      </c>
      <c r="S15" s="3153" t="s">
        <v>2974</v>
      </c>
      <c r="T15" s="3153" t="s">
        <v>1077</v>
      </c>
    </row>
    <row r="16" spans="1:21" ht="14.25" customHeight="1" thickBot="1">
      <c r="A16" s="3153" t="s">
        <v>1031</v>
      </c>
      <c r="B16" s="1214" t="s">
        <v>1015</v>
      </c>
      <c r="C16" s="3153">
        <v>26790</v>
      </c>
      <c r="D16" s="3153">
        <v>30370</v>
      </c>
      <c r="E16" s="3153">
        <v>30240</v>
      </c>
      <c r="F16" s="3159">
        <v>11590</v>
      </c>
      <c r="G16" s="3159">
        <v>22090</v>
      </c>
      <c r="H16" s="968" t="s">
        <v>847</v>
      </c>
      <c r="I16" s="969">
        <f>SUMPRODUCT((B378:B384=基准地价!I2)*(C3:G3=基准地价!E2)*(C378:G384))</f>
        <v>0</v>
      </c>
      <c r="K16" s="3153" t="s">
        <v>1078</v>
      </c>
      <c r="L16" s="3153" t="s">
        <v>1079</v>
      </c>
      <c r="M16" s="3153" t="s">
        <v>1080</v>
      </c>
      <c r="N16" s="3153" t="s">
        <v>1081</v>
      </c>
      <c r="O16" s="3153" t="s">
        <v>1082</v>
      </c>
      <c r="P16" s="3153" t="s">
        <v>2878</v>
      </c>
      <c r="Q16" s="3153" t="s">
        <v>1075</v>
      </c>
      <c r="R16" s="3153" t="s">
        <v>1098</v>
      </c>
      <c r="S16" s="3153" t="s">
        <v>1054</v>
      </c>
      <c r="T16" s="3153" t="s">
        <v>2996</v>
      </c>
    </row>
    <row r="17" spans="1:20" ht="14.25" customHeight="1">
      <c r="A17" s="3153" t="s">
        <v>1031</v>
      </c>
      <c r="B17" s="1214" t="s">
        <v>1022</v>
      </c>
      <c r="C17" s="3153">
        <v>29180</v>
      </c>
      <c r="D17" s="3153">
        <v>27620</v>
      </c>
      <c r="E17" s="3153">
        <v>28180</v>
      </c>
      <c r="F17" s="3159">
        <v>10790</v>
      </c>
      <c r="G17" s="3160">
        <v>20090</v>
      </c>
      <c r="I17" s="970"/>
      <c r="K17" s="3153" t="s">
        <v>1083</v>
      </c>
      <c r="L17" s="3153" t="s">
        <v>1084</v>
      </c>
      <c r="M17" s="3153" t="s">
        <v>1085</v>
      </c>
      <c r="N17" s="3153" t="s">
        <v>1086</v>
      </c>
      <c r="O17" s="3153" t="s">
        <v>1087</v>
      </c>
      <c r="P17" s="3153" t="s">
        <v>2879</v>
      </c>
      <c r="Q17" s="3153" t="s">
        <v>2911</v>
      </c>
      <c r="R17" s="3153" t="s">
        <v>1104</v>
      </c>
      <c r="S17" s="3153" t="s">
        <v>2975</v>
      </c>
      <c r="T17" s="3153" t="s">
        <v>1106</v>
      </c>
    </row>
    <row r="18" spans="1:20" ht="14.25" customHeight="1">
      <c r="A18" s="3153" t="s">
        <v>1031</v>
      </c>
      <c r="B18" s="1214" t="s">
        <v>1032</v>
      </c>
      <c r="C18" s="3153">
        <v>26840</v>
      </c>
      <c r="D18" s="3153">
        <v>28930</v>
      </c>
      <c r="E18" s="3153">
        <v>28820</v>
      </c>
      <c r="F18" s="3159"/>
      <c r="G18" s="3160">
        <v>21050</v>
      </c>
      <c r="I18" s="970"/>
      <c r="K18" s="3153" t="s">
        <v>1092</v>
      </c>
      <c r="L18" s="3153" t="s">
        <v>1093</v>
      </c>
      <c r="M18" s="3153" t="s">
        <v>1094</v>
      </c>
      <c r="N18" s="3153" t="s">
        <v>1095</v>
      </c>
      <c r="O18" s="3153" t="s">
        <v>1096</v>
      </c>
      <c r="P18" s="3153" t="s">
        <v>2880</v>
      </c>
      <c r="Q18" s="3153" t="s">
        <v>1089</v>
      </c>
      <c r="R18" s="3153" t="s">
        <v>2939</v>
      </c>
      <c r="S18" s="3153" t="s">
        <v>1105</v>
      </c>
      <c r="T18" s="3153" t="s">
        <v>1114</v>
      </c>
    </row>
    <row r="19" spans="1:20" ht="14.25" customHeight="1">
      <c r="A19" s="3153" t="s">
        <v>1031</v>
      </c>
      <c r="B19" s="1214" t="s">
        <v>1041</v>
      </c>
      <c r="C19" s="3153">
        <v>27750</v>
      </c>
      <c r="D19" s="3153">
        <v>26680</v>
      </c>
      <c r="E19" s="3153">
        <v>26590</v>
      </c>
      <c r="F19" s="3159"/>
      <c r="G19" s="3160">
        <v>19420</v>
      </c>
      <c r="I19" s="970"/>
      <c r="K19" s="3153" t="s">
        <v>1099</v>
      </c>
      <c r="L19" s="3153" t="s">
        <v>1100</v>
      </c>
      <c r="M19" s="3153" t="s">
        <v>1101</v>
      </c>
      <c r="N19" s="3153" t="s">
        <v>1102</v>
      </c>
      <c r="O19" s="3153" t="s">
        <v>1103</v>
      </c>
      <c r="P19" s="3153" t="s">
        <v>2881</v>
      </c>
      <c r="Q19" s="3153" t="s">
        <v>1097</v>
      </c>
      <c r="R19" s="3153" t="s">
        <v>2940</v>
      </c>
      <c r="S19" s="3153" t="s">
        <v>1113</v>
      </c>
      <c r="T19" s="3153" t="s">
        <v>2997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2882</v>
      </c>
      <c r="Q20" s="3153" t="s">
        <v>2912</v>
      </c>
      <c r="R20" s="3153" t="s">
        <v>1139</v>
      </c>
      <c r="S20" s="3153" t="s">
        <v>2976</v>
      </c>
      <c r="T20" s="3153" t="s">
        <v>1126</v>
      </c>
    </row>
    <row r="21" spans="1:20" ht="14.25" customHeight="1">
      <c r="A21" s="3153" t="s">
        <v>1031</v>
      </c>
      <c r="B21" s="1214" t="s">
        <v>1055</v>
      </c>
      <c r="C21" s="3153">
        <v>32370</v>
      </c>
      <c r="D21" s="3153">
        <v>26730</v>
      </c>
      <c r="E21" s="3153">
        <v>26640</v>
      </c>
      <c r="F21" s="3159"/>
      <c r="G21" s="3160">
        <v>19440</v>
      </c>
      <c r="K21" s="3162" t="s">
        <v>2804</v>
      </c>
      <c r="L21" s="3153" t="s">
        <v>1115</v>
      </c>
      <c r="M21" s="3153" t="s">
        <v>1116</v>
      </c>
      <c r="N21" s="3153" t="s">
        <v>1117</v>
      </c>
      <c r="O21" s="3153" t="s">
        <v>1118</v>
      </c>
      <c r="P21" s="3153" t="s">
        <v>1112</v>
      </c>
      <c r="Q21" s="3153" t="s">
        <v>1132</v>
      </c>
      <c r="R21" s="3153" t="s">
        <v>1142</v>
      </c>
      <c r="S21" s="3153" t="s">
        <v>2977</v>
      </c>
      <c r="T21" s="3153" t="s">
        <v>2998</v>
      </c>
    </row>
    <row r="22" spans="1:20" ht="14.25" customHeight="1">
      <c r="A22" s="3153" t="s">
        <v>1031</v>
      </c>
      <c r="B22" s="1214" t="s">
        <v>1062</v>
      </c>
      <c r="C22" s="3153">
        <v>29830</v>
      </c>
      <c r="D22" s="3153">
        <v>27600</v>
      </c>
      <c r="E22" s="3153">
        <v>28150</v>
      </c>
      <c r="F22" s="3159"/>
      <c r="G22" s="3160">
        <v>20080</v>
      </c>
      <c r="L22" s="3162" t="s">
        <v>2806</v>
      </c>
      <c r="M22" s="3153" t="s">
        <v>1120</v>
      </c>
      <c r="N22" s="3153" t="s">
        <v>1121</v>
      </c>
      <c r="O22" s="3153" t="s">
        <v>1122</v>
      </c>
      <c r="P22" s="3153" t="s">
        <v>2883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2807</v>
      </c>
      <c r="M23" s="3153" t="s">
        <v>1127</v>
      </c>
      <c r="N23" s="3153" t="s">
        <v>1128</v>
      </c>
      <c r="O23" s="3153" t="s">
        <v>2837</v>
      </c>
      <c r="P23" s="3153" t="s">
        <v>2884</v>
      </c>
      <c r="Q23" s="3153" t="s">
        <v>1138</v>
      </c>
      <c r="R23" s="3153" t="s">
        <v>1147</v>
      </c>
      <c r="S23" s="3153" t="s">
        <v>2978</v>
      </c>
    </row>
    <row r="24" spans="1:20" ht="14.25" customHeight="1">
      <c r="A24" s="3153" t="s">
        <v>1031</v>
      </c>
      <c r="B24" s="1214" t="s">
        <v>1078</v>
      </c>
      <c r="C24" s="3153">
        <v>27930</v>
      </c>
      <c r="D24" s="3153">
        <v>32260</v>
      </c>
      <c r="E24" s="3153">
        <v>32120</v>
      </c>
      <c r="F24" s="3159"/>
      <c r="G24" s="3160">
        <v>23470</v>
      </c>
      <c r="L24" s="3162" t="s">
        <v>2808</v>
      </c>
      <c r="M24" s="3153" t="s">
        <v>1130</v>
      </c>
      <c r="N24" s="3153" t="s">
        <v>1131</v>
      </c>
      <c r="O24" s="3153" t="s">
        <v>2838</v>
      </c>
      <c r="P24" s="3153" t="s">
        <v>1134</v>
      </c>
      <c r="Q24" s="3153" t="s">
        <v>2913</v>
      </c>
      <c r="R24" s="3153" t="s">
        <v>2941</v>
      </c>
      <c r="S24" s="3153" t="s">
        <v>2979</v>
      </c>
    </row>
    <row r="25" spans="1:20" ht="14.25" customHeight="1">
      <c r="A25" s="3153" t="s">
        <v>1031</v>
      </c>
      <c r="B25" s="1214" t="s">
        <v>1083</v>
      </c>
      <c r="C25" s="3153">
        <v>32230</v>
      </c>
      <c r="D25" s="3153">
        <v>29640</v>
      </c>
      <c r="E25" s="3153">
        <v>29510</v>
      </c>
      <c r="F25" s="3159"/>
      <c r="G25" s="3160">
        <v>21560</v>
      </c>
      <c r="L25" s="3162" t="s">
        <v>2809</v>
      </c>
      <c r="M25" s="3153" t="s">
        <v>2812</v>
      </c>
      <c r="N25" s="3153" t="s">
        <v>1133</v>
      </c>
      <c r="O25" s="3153" t="s">
        <v>1141</v>
      </c>
      <c r="P25" s="3153" t="s">
        <v>1137</v>
      </c>
      <c r="Q25" s="3153" t="s">
        <v>1124</v>
      </c>
      <c r="R25" s="3153" t="s">
        <v>1119</v>
      </c>
      <c r="S25" s="3153" t="s">
        <v>2980</v>
      </c>
    </row>
    <row r="26" spans="1:20" ht="14.25" customHeight="1">
      <c r="A26" s="3153" t="s">
        <v>1031</v>
      </c>
      <c r="B26" s="1214" t="s">
        <v>1092</v>
      </c>
      <c r="C26" s="3153">
        <v>31690</v>
      </c>
      <c r="D26" s="3153">
        <v>27650</v>
      </c>
      <c r="E26" s="3153">
        <v>28200</v>
      </c>
      <c r="F26" s="3159"/>
      <c r="G26" s="3160">
        <v>20110</v>
      </c>
      <c r="L26" s="3162" t="s">
        <v>2810</v>
      </c>
      <c r="M26" s="3153" t="s">
        <v>2813</v>
      </c>
      <c r="N26" s="3153" t="s">
        <v>1136</v>
      </c>
      <c r="O26" s="3153" t="s">
        <v>1143</v>
      </c>
      <c r="P26" s="3153" t="s">
        <v>2885</v>
      </c>
      <c r="Q26" s="3153" t="s">
        <v>2914</v>
      </c>
      <c r="R26" s="3153" t="s">
        <v>1125</v>
      </c>
      <c r="S26" s="3153" t="s">
        <v>2981</v>
      </c>
    </row>
    <row r="27" spans="1:20" ht="14.25" customHeight="1">
      <c r="A27" s="3153" t="s">
        <v>1031</v>
      </c>
      <c r="B27" s="1214" t="s">
        <v>1099</v>
      </c>
      <c r="C27" s="3153">
        <v>29610</v>
      </c>
      <c r="D27" s="3153">
        <v>27770</v>
      </c>
      <c r="E27" s="3153">
        <v>28300</v>
      </c>
      <c r="F27" s="3159"/>
      <c r="G27" s="3160">
        <v>20210</v>
      </c>
      <c r="M27" s="3153" t="s">
        <v>2814</v>
      </c>
      <c r="N27" s="3153" t="s">
        <v>1140</v>
      </c>
      <c r="O27" s="3153" t="s">
        <v>1146</v>
      </c>
      <c r="P27" s="3153" t="s">
        <v>1123</v>
      </c>
      <c r="Q27" s="3153" t="s">
        <v>2915</v>
      </c>
      <c r="R27" s="3153" t="s">
        <v>2942</v>
      </c>
      <c r="S27" s="3153" t="s">
        <v>2982</v>
      </c>
    </row>
    <row r="28" spans="1:20" ht="14.25" customHeight="1">
      <c r="A28" s="3167" t="s">
        <v>1031</v>
      </c>
      <c r="B28" s="2403" t="s">
        <v>1107</v>
      </c>
      <c r="C28" s="1212"/>
      <c r="D28" s="1212">
        <v>31520</v>
      </c>
      <c r="E28" s="1212">
        <v>31410</v>
      </c>
      <c r="F28" s="3164"/>
      <c r="G28" s="3165">
        <v>22940</v>
      </c>
      <c r="M28" s="3153" t="s">
        <v>2815</v>
      </c>
      <c r="N28" s="3153" t="s">
        <v>2822</v>
      </c>
      <c r="O28" s="3153" t="s">
        <v>2839</v>
      </c>
      <c r="P28" s="3153" t="s">
        <v>2886</v>
      </c>
      <c r="Q28" s="3153" t="s">
        <v>2916</v>
      </c>
      <c r="R28" s="3153" t="s">
        <v>2943</v>
      </c>
      <c r="S28" s="3162" t="s">
        <v>2983</v>
      </c>
    </row>
    <row r="29" spans="1:20" ht="14.25" customHeight="1" thickBot="1">
      <c r="A29" s="3168" t="s">
        <v>1031</v>
      </c>
      <c r="B29" s="3156" t="s">
        <v>2804</v>
      </c>
      <c r="C29" s="3156"/>
      <c r="D29" s="3156">
        <v>29460</v>
      </c>
      <c r="E29" s="3156">
        <v>28640</v>
      </c>
      <c r="F29" s="3157"/>
      <c r="G29" s="3169">
        <v>21430</v>
      </c>
      <c r="M29" s="3162" t="s">
        <v>2816</v>
      </c>
      <c r="N29" s="3153" t="s">
        <v>2823</v>
      </c>
      <c r="O29" s="3153" t="s">
        <v>2840</v>
      </c>
      <c r="P29" s="3153" t="s">
        <v>2887</v>
      </c>
      <c r="Q29" s="3153" t="s">
        <v>2917</v>
      </c>
      <c r="R29" s="3153" t="s">
        <v>2944</v>
      </c>
      <c r="S29" s="3162" t="s">
        <v>1129</v>
      </c>
    </row>
    <row r="30" spans="1:20" ht="14.25" customHeight="1">
      <c r="A30" s="3167" t="s">
        <v>1145</v>
      </c>
      <c r="B30" s="1214" t="s">
        <v>2805</v>
      </c>
      <c r="C30" s="1214">
        <v>26890</v>
      </c>
      <c r="D30" s="1214">
        <v>26770</v>
      </c>
      <c r="E30" s="1214">
        <v>25700</v>
      </c>
      <c r="F30" s="3154">
        <v>8180</v>
      </c>
      <c r="G30" s="3154">
        <v>18740</v>
      </c>
      <c r="I30" s="970"/>
      <c r="M30" s="3162" t="s">
        <v>2817</v>
      </c>
      <c r="N30" s="3153" t="s">
        <v>2824</v>
      </c>
      <c r="O30" s="3153" t="s">
        <v>2841</v>
      </c>
      <c r="P30" s="3153" t="s">
        <v>2888</v>
      </c>
      <c r="Q30" s="3153" t="s">
        <v>2918</v>
      </c>
      <c r="R30" s="3153" t="s">
        <v>2945</v>
      </c>
      <c r="S30" s="3162" t="s">
        <v>2984</v>
      </c>
    </row>
    <row r="31" spans="1:20" ht="14.25" customHeight="1">
      <c r="A31" s="3153" t="s">
        <v>1145</v>
      </c>
      <c r="B31" s="1214" t="s">
        <v>974</v>
      </c>
      <c r="C31" s="3153">
        <v>24550</v>
      </c>
      <c r="D31" s="3153">
        <v>23990</v>
      </c>
      <c r="E31" s="3153">
        <v>22930</v>
      </c>
      <c r="F31" s="3159">
        <v>7470</v>
      </c>
      <c r="G31" s="3159">
        <v>16790</v>
      </c>
      <c r="I31" s="970"/>
      <c r="M31" s="3162" t="s">
        <v>2818</v>
      </c>
      <c r="N31" s="3153" t="s">
        <v>2825</v>
      </c>
      <c r="O31" s="3153" t="s">
        <v>2842</v>
      </c>
      <c r="P31" s="3153" t="s">
        <v>2889</v>
      </c>
      <c r="Q31" s="3153" t="s">
        <v>2919</v>
      </c>
      <c r="R31" s="3153" t="s">
        <v>2946</v>
      </c>
      <c r="S31" s="3162" t="s">
        <v>2985</v>
      </c>
    </row>
    <row r="32" spans="1:20" ht="14.25" customHeight="1">
      <c r="A32" s="3153" t="s">
        <v>1145</v>
      </c>
      <c r="B32" s="1214" t="s">
        <v>984</v>
      </c>
      <c r="C32" s="3153">
        <v>27210</v>
      </c>
      <c r="D32" s="3153">
        <v>23240</v>
      </c>
      <c r="E32" s="3153">
        <v>23260</v>
      </c>
      <c r="F32" s="3159">
        <v>7130</v>
      </c>
      <c r="G32" s="3159">
        <v>16270</v>
      </c>
      <c r="I32" s="970"/>
      <c r="M32" s="3162" t="s">
        <v>2819</v>
      </c>
      <c r="N32" s="3153" t="s">
        <v>2826</v>
      </c>
      <c r="O32" s="3153" t="s">
        <v>1149</v>
      </c>
      <c r="P32" s="3153" t="s">
        <v>2890</v>
      </c>
      <c r="Q32" s="3153" t="s">
        <v>1148</v>
      </c>
      <c r="R32" s="3153" t="s">
        <v>2947</v>
      </c>
      <c r="S32" s="3162" t="s">
        <v>2986</v>
      </c>
    </row>
    <row r="33" spans="1:18" ht="14.25" customHeight="1">
      <c r="A33" s="3153" t="s">
        <v>1145</v>
      </c>
      <c r="B33" s="1214" t="s">
        <v>993</v>
      </c>
      <c r="C33" s="3153">
        <v>27300</v>
      </c>
      <c r="D33" s="3153">
        <v>22980</v>
      </c>
      <c r="E33" s="3153">
        <v>24260</v>
      </c>
      <c r="F33" s="3159">
        <v>5860</v>
      </c>
      <c r="G33" s="3159">
        <v>16090</v>
      </c>
      <c r="I33" s="970"/>
      <c r="M33" s="3162" t="s">
        <v>2820</v>
      </c>
      <c r="N33" s="3153" t="s">
        <v>2827</v>
      </c>
      <c r="O33" s="3153" t="s">
        <v>1150</v>
      </c>
      <c r="P33" s="3153" t="s">
        <v>2891</v>
      </c>
      <c r="Q33" s="3153" t="s">
        <v>2920</v>
      </c>
      <c r="R33" s="3153" t="s">
        <v>2948</v>
      </c>
    </row>
    <row r="34" spans="1:18" ht="14.25" customHeight="1">
      <c r="A34" s="3153" t="s">
        <v>1145</v>
      </c>
      <c r="B34" s="1214" t="s">
        <v>1003</v>
      </c>
      <c r="C34" s="3153">
        <v>23090</v>
      </c>
      <c r="D34" s="3153">
        <v>23390</v>
      </c>
      <c r="E34" s="3153">
        <v>23510</v>
      </c>
      <c r="F34" s="3159">
        <v>6700</v>
      </c>
      <c r="G34" s="3159">
        <v>16370</v>
      </c>
      <c r="I34" s="970"/>
      <c r="N34" s="3153" t="s">
        <v>2828</v>
      </c>
      <c r="O34" s="3153" t="s">
        <v>1151</v>
      </c>
      <c r="P34" s="3153" t="s">
        <v>2892</v>
      </c>
      <c r="Q34" s="3153" t="s">
        <v>2921</v>
      </c>
      <c r="R34" s="3153" t="s">
        <v>2949</v>
      </c>
    </row>
    <row r="35" spans="1:18" ht="14.25" customHeight="1">
      <c r="A35" s="3153" t="s">
        <v>1145</v>
      </c>
      <c r="B35" s="1214" t="s">
        <v>1010</v>
      </c>
      <c r="C35" s="3153">
        <v>27270</v>
      </c>
      <c r="D35" s="3153">
        <v>24270</v>
      </c>
      <c r="E35" s="3153">
        <v>24950</v>
      </c>
      <c r="F35" s="3159">
        <v>6600</v>
      </c>
      <c r="G35" s="3159">
        <v>16990</v>
      </c>
      <c r="I35" s="970"/>
      <c r="N35" s="3153" t="s">
        <v>2829</v>
      </c>
      <c r="O35" s="3153" t="s">
        <v>2843</v>
      </c>
      <c r="P35" s="3153" t="s">
        <v>2893</v>
      </c>
      <c r="Q35" s="3153" t="s">
        <v>2922</v>
      </c>
      <c r="R35" s="3153" t="s">
        <v>2950</v>
      </c>
    </row>
    <row r="36" spans="1:18" ht="14.25" customHeight="1">
      <c r="A36" s="3153" t="s">
        <v>1145</v>
      </c>
      <c r="B36" s="1214" t="s">
        <v>1016</v>
      </c>
      <c r="C36" s="3153">
        <v>23490</v>
      </c>
      <c r="D36" s="3153">
        <v>23020</v>
      </c>
      <c r="E36" s="3153">
        <v>25230</v>
      </c>
      <c r="F36" s="3159">
        <v>6780</v>
      </c>
      <c r="G36" s="3159">
        <v>16120</v>
      </c>
      <c r="I36" s="970"/>
      <c r="N36" s="3162" t="s">
        <v>2830</v>
      </c>
      <c r="O36" s="3189" t="s">
        <v>2844</v>
      </c>
      <c r="P36" s="3153" t="s">
        <v>2894</v>
      </c>
      <c r="Q36" s="3153" t="s">
        <v>2923</v>
      </c>
      <c r="R36" s="3153" t="s">
        <v>2951</v>
      </c>
    </row>
    <row r="37" spans="1:18" ht="14.25" customHeight="1">
      <c r="A37" s="3153" t="s">
        <v>1145</v>
      </c>
      <c r="B37" s="1214" t="s">
        <v>1023</v>
      </c>
      <c r="C37" s="3153">
        <v>24380</v>
      </c>
      <c r="D37" s="3153">
        <v>22240</v>
      </c>
      <c r="E37" s="3153">
        <v>25980</v>
      </c>
      <c r="F37" s="3159">
        <v>8160</v>
      </c>
      <c r="G37" s="3159">
        <v>15570</v>
      </c>
      <c r="I37" s="971"/>
      <c r="N37" s="3162" t="s">
        <v>2831</v>
      </c>
      <c r="O37" s="3189" t="s">
        <v>2845</v>
      </c>
      <c r="P37" s="3153" t="s">
        <v>2895</v>
      </c>
      <c r="Q37" s="3153" t="s">
        <v>2924</v>
      </c>
      <c r="R37" s="3153" t="s">
        <v>2952</v>
      </c>
    </row>
    <row r="38" spans="1:18" ht="14.25" customHeight="1">
      <c r="A38" s="3153" t="s">
        <v>1145</v>
      </c>
      <c r="B38" s="1214" t="s">
        <v>1033</v>
      </c>
      <c r="C38" s="3153">
        <v>23120</v>
      </c>
      <c r="D38" s="3153">
        <v>24630</v>
      </c>
      <c r="E38" s="3153">
        <v>25030</v>
      </c>
      <c r="F38" s="3159">
        <v>7710</v>
      </c>
      <c r="G38" s="3159">
        <v>17240</v>
      </c>
      <c r="I38" s="970"/>
      <c r="N38" s="3162" t="s">
        <v>2832</v>
      </c>
      <c r="O38" s="3189" t="s">
        <v>2846</v>
      </c>
      <c r="P38" s="3153" t="s">
        <v>2896</v>
      </c>
      <c r="Q38" s="3153" t="s">
        <v>2925</v>
      </c>
      <c r="R38" s="3153" t="s">
        <v>2953</v>
      </c>
    </row>
    <row r="39" spans="1:18" ht="14.25" customHeight="1">
      <c r="A39" s="3153" t="s">
        <v>1145</v>
      </c>
      <c r="B39" s="1214" t="s">
        <v>1042</v>
      </c>
      <c r="C39" s="3153">
        <v>22330</v>
      </c>
      <c r="D39" s="3153">
        <v>21140</v>
      </c>
      <c r="E39" s="3153">
        <v>23970</v>
      </c>
      <c r="F39" s="3159">
        <v>7940</v>
      </c>
      <c r="G39" s="3159">
        <v>14790</v>
      </c>
      <c r="I39" s="970"/>
      <c r="N39" s="3162" t="s">
        <v>2833</v>
      </c>
      <c r="O39" s="3189" t="s">
        <v>2847</v>
      </c>
      <c r="P39" s="3153" t="s">
        <v>2897</v>
      </c>
      <c r="Q39" s="3153" t="s">
        <v>2926</v>
      </c>
      <c r="R39" s="3153" t="s">
        <v>2954</v>
      </c>
    </row>
    <row r="40" spans="1:18" ht="14.25" customHeight="1">
      <c r="A40" s="3153" t="s">
        <v>1145</v>
      </c>
      <c r="B40" s="1214" t="s">
        <v>1049</v>
      </c>
      <c r="C40" s="3153">
        <v>24740</v>
      </c>
      <c r="D40" s="3153">
        <v>24690</v>
      </c>
      <c r="E40" s="3153">
        <v>22610</v>
      </c>
      <c r="F40" s="3159"/>
      <c r="G40" s="3159">
        <v>17280</v>
      </c>
      <c r="I40" s="970"/>
      <c r="N40" s="3162" t="s">
        <v>2834</v>
      </c>
      <c r="O40" s="3189" t="s">
        <v>2848</v>
      </c>
      <c r="P40" s="3153" t="s">
        <v>2898</v>
      </c>
      <c r="Q40" s="3153" t="s">
        <v>2927</v>
      </c>
      <c r="R40" s="3153" t="s">
        <v>2955</v>
      </c>
    </row>
    <row r="41" spans="1:18" ht="14.25" customHeight="1">
      <c r="A41" s="3153" t="s">
        <v>1145</v>
      </c>
      <c r="B41" s="1214" t="s">
        <v>1056</v>
      </c>
      <c r="C41" s="3153">
        <v>21220</v>
      </c>
      <c r="D41" s="3153">
        <v>21120</v>
      </c>
      <c r="E41" s="3153">
        <v>22590</v>
      </c>
      <c r="F41" s="3159"/>
      <c r="G41" s="3159">
        <v>14780</v>
      </c>
      <c r="I41" s="970"/>
      <c r="N41" s="3162" t="s">
        <v>2835</v>
      </c>
      <c r="O41" s="3190" t="s">
        <v>2849</v>
      </c>
      <c r="P41" s="1214" t="s">
        <v>2899</v>
      </c>
      <c r="Q41" s="3162" t="s">
        <v>2928</v>
      </c>
      <c r="R41" s="1214" t="s">
        <v>2956</v>
      </c>
    </row>
    <row r="42" spans="1:18" ht="14.25" customHeight="1">
      <c r="A42" s="3153" t="s">
        <v>1145</v>
      </c>
      <c r="B42" s="1214" t="s">
        <v>1063</v>
      </c>
      <c r="C42" s="3153">
        <v>24800</v>
      </c>
      <c r="D42" s="3153">
        <v>22280</v>
      </c>
      <c r="E42" s="3153">
        <v>24350</v>
      </c>
      <c r="F42" s="3159"/>
      <c r="G42" s="3159">
        <v>15590</v>
      </c>
      <c r="I42" s="970"/>
      <c r="O42" s="3153" t="s">
        <v>2850</v>
      </c>
      <c r="P42" s="3153" t="s">
        <v>2900</v>
      </c>
      <c r="Q42" s="3162" t="s">
        <v>2929</v>
      </c>
      <c r="R42" s="3153" t="s">
        <v>2957</v>
      </c>
    </row>
    <row r="43" spans="1:18" ht="14.25" customHeight="1">
      <c r="A43" s="3153" t="s">
        <v>1145</v>
      </c>
      <c r="B43" s="1214" t="s">
        <v>1071</v>
      </c>
      <c r="C43" s="3153">
        <v>21210</v>
      </c>
      <c r="D43" s="3153">
        <v>21160</v>
      </c>
      <c r="E43" s="3153">
        <v>22650</v>
      </c>
      <c r="F43" s="3159"/>
      <c r="G43" s="3159">
        <v>14800</v>
      </c>
      <c r="I43" s="970"/>
      <c r="O43" s="3153" t="s">
        <v>2851</v>
      </c>
      <c r="P43" s="3153" t="s">
        <v>2901</v>
      </c>
      <c r="Q43" s="3162" t="s">
        <v>2930</v>
      </c>
      <c r="R43" s="3153" t="s">
        <v>2958</v>
      </c>
    </row>
    <row r="44" spans="1:18" ht="14.25" customHeight="1">
      <c r="A44" s="3153" t="s">
        <v>1145</v>
      </c>
      <c r="B44" s="1214" t="s">
        <v>1079</v>
      </c>
      <c r="C44" s="3153">
        <v>22370</v>
      </c>
      <c r="D44" s="3153">
        <v>23140</v>
      </c>
      <c r="E44" s="3153">
        <v>25090</v>
      </c>
      <c r="F44" s="3159"/>
      <c r="G44" s="3159">
        <v>16190</v>
      </c>
      <c r="I44" s="970"/>
      <c r="O44" s="3153" t="s">
        <v>2852</v>
      </c>
      <c r="P44" s="3153" t="s">
        <v>2902</v>
      </c>
      <c r="Q44" s="3162" t="s">
        <v>2931</v>
      </c>
      <c r="R44" s="3153" t="s">
        <v>2959</v>
      </c>
    </row>
    <row r="45" spans="1:18" ht="14.25" customHeight="1">
      <c r="A45" s="3153" t="s">
        <v>1145</v>
      </c>
      <c r="B45" s="1214" t="s">
        <v>1084</v>
      </c>
      <c r="C45" s="3153">
        <v>21240</v>
      </c>
      <c r="D45" s="3153">
        <v>27050</v>
      </c>
      <c r="E45" s="3153">
        <v>28000</v>
      </c>
      <c r="F45" s="3159"/>
      <c r="G45" s="3159">
        <v>18940</v>
      </c>
      <c r="I45" s="970"/>
      <c r="O45" s="3153" t="s">
        <v>2853</v>
      </c>
      <c r="P45" s="3153" t="s">
        <v>2903</v>
      </c>
      <c r="R45" s="3153" t="s">
        <v>2960</v>
      </c>
    </row>
    <row r="46" spans="1:18" ht="14.25" customHeight="1">
      <c r="A46" s="3153" t="s">
        <v>1145</v>
      </c>
      <c r="B46" s="1214" t="s">
        <v>1093</v>
      </c>
      <c r="C46" s="3153">
        <v>23240</v>
      </c>
      <c r="D46" s="3153">
        <v>23000</v>
      </c>
      <c r="E46" s="3153">
        <v>24980</v>
      </c>
      <c r="F46" s="3159"/>
      <c r="G46" s="3159">
        <v>16100</v>
      </c>
      <c r="I46" s="970"/>
      <c r="O46" s="3153" t="s">
        <v>2854</v>
      </c>
      <c r="P46" s="3153"/>
      <c r="R46" s="3153" t="s">
        <v>2961</v>
      </c>
    </row>
    <row r="47" spans="1:18" ht="14.25" customHeight="1">
      <c r="A47" s="3153" t="s">
        <v>1145</v>
      </c>
      <c r="B47" s="2403" t="s">
        <v>1100</v>
      </c>
      <c r="C47" s="1212">
        <v>27150</v>
      </c>
      <c r="D47" s="1212">
        <v>23310</v>
      </c>
      <c r="E47" s="1212">
        <v>25150</v>
      </c>
      <c r="F47" s="3164"/>
      <c r="G47" s="3164">
        <v>16310</v>
      </c>
      <c r="I47" s="970"/>
      <c r="O47" s="3153" t="s">
        <v>2855</v>
      </c>
      <c r="P47" s="3153"/>
      <c r="R47" s="3162" t="s">
        <v>2962</v>
      </c>
    </row>
    <row r="48" spans="1:18" ht="14.25" customHeight="1">
      <c r="A48" s="3153" t="s">
        <v>1145</v>
      </c>
      <c r="B48" s="3153" t="s">
        <v>1108</v>
      </c>
      <c r="C48" s="3153">
        <v>23100</v>
      </c>
      <c r="D48" s="3153">
        <v>21110</v>
      </c>
      <c r="E48" s="3153">
        <v>23080</v>
      </c>
      <c r="F48" s="3159"/>
      <c r="G48" s="3166">
        <v>14780</v>
      </c>
      <c r="I48" s="970"/>
      <c r="O48" s="3153" t="s">
        <v>2856</v>
      </c>
      <c r="P48" s="3153"/>
      <c r="R48" s="3162" t="s">
        <v>2963</v>
      </c>
    </row>
    <row r="49" spans="1:18" ht="14.25" customHeight="1">
      <c r="A49" s="3153" t="s">
        <v>1145</v>
      </c>
      <c r="B49" s="1214" t="s">
        <v>1115</v>
      </c>
      <c r="C49" s="1214">
        <v>23400</v>
      </c>
      <c r="D49" s="1214">
        <v>22920</v>
      </c>
      <c r="E49" s="1214">
        <v>24900</v>
      </c>
      <c r="F49" s="3154"/>
      <c r="G49" s="3154">
        <v>16040</v>
      </c>
      <c r="I49" s="970"/>
      <c r="O49" s="3153" t="s">
        <v>2857</v>
      </c>
      <c r="P49" s="3153"/>
      <c r="R49" s="3162" t="s">
        <v>2964</v>
      </c>
    </row>
    <row r="50" spans="1:18" ht="14.25" customHeight="1">
      <c r="A50" s="3153" t="s">
        <v>1145</v>
      </c>
      <c r="B50" s="3153" t="s">
        <v>2806</v>
      </c>
      <c r="C50" s="3153">
        <v>21200</v>
      </c>
      <c r="D50" s="3153">
        <v>26540</v>
      </c>
      <c r="E50" s="3153">
        <v>23200</v>
      </c>
      <c r="F50" s="3159"/>
      <c r="G50" s="3159">
        <v>18580</v>
      </c>
      <c r="I50" s="970"/>
      <c r="O50" s="3162" t="s">
        <v>2858</v>
      </c>
      <c r="R50" s="3162" t="s">
        <v>2965</v>
      </c>
    </row>
    <row r="51" spans="1:18" ht="14.25" customHeight="1">
      <c r="A51" s="3153" t="s">
        <v>1145</v>
      </c>
      <c r="B51" s="3153" t="s">
        <v>2807</v>
      </c>
      <c r="C51" s="3153">
        <v>23000</v>
      </c>
      <c r="D51" s="3153">
        <v>23460</v>
      </c>
      <c r="E51" s="3153">
        <v>25290</v>
      </c>
      <c r="F51" s="3159"/>
      <c r="G51" s="3159">
        <v>16420</v>
      </c>
      <c r="I51" s="970"/>
      <c r="O51" s="3162" t="s">
        <v>2859</v>
      </c>
      <c r="R51" s="3162" t="s">
        <v>2966</v>
      </c>
    </row>
    <row r="52" spans="1:18" ht="14.25" customHeight="1">
      <c r="A52" s="3153" t="s">
        <v>1145</v>
      </c>
      <c r="B52" s="3153" t="s">
        <v>2808</v>
      </c>
      <c r="C52" s="3153">
        <v>26660</v>
      </c>
      <c r="D52" s="3153">
        <v>22350</v>
      </c>
      <c r="E52" s="3153">
        <v>22920</v>
      </c>
      <c r="F52" s="3159"/>
      <c r="G52" s="3159">
        <v>15640</v>
      </c>
      <c r="I52" s="970"/>
      <c r="O52" s="3162" t="s">
        <v>2860</v>
      </c>
    </row>
    <row r="53" spans="1:18" ht="14.25" customHeight="1">
      <c r="A53" s="3153" t="s">
        <v>1145</v>
      </c>
      <c r="B53" s="3153" t="s">
        <v>2809</v>
      </c>
      <c r="C53" s="3153">
        <v>23580</v>
      </c>
      <c r="D53" s="3153"/>
      <c r="E53" s="3153">
        <v>24280</v>
      </c>
      <c r="F53" s="3159"/>
      <c r="G53" s="3159"/>
      <c r="I53" s="970"/>
      <c r="O53" s="3162" t="s">
        <v>2861</v>
      </c>
    </row>
    <row r="54" spans="1:18" ht="14.25" customHeight="1" thickBot="1">
      <c r="A54" s="3168" t="s">
        <v>1145</v>
      </c>
      <c r="B54" s="3156" t="s">
        <v>2810</v>
      </c>
      <c r="C54" s="3156">
        <v>22460</v>
      </c>
      <c r="D54" s="3156"/>
      <c r="E54" s="3156"/>
      <c r="F54" s="3157"/>
      <c r="G54" s="3169"/>
      <c r="I54" s="970"/>
      <c r="O54" s="3162" t="s">
        <v>2862</v>
      </c>
    </row>
    <row r="55" spans="1:18" ht="14.25" customHeight="1">
      <c r="A55" s="3167" t="s">
        <v>853</v>
      </c>
      <c r="B55" s="1214" t="s">
        <v>2811</v>
      </c>
      <c r="C55" s="1214">
        <v>21970</v>
      </c>
      <c r="D55" s="1214">
        <v>20370</v>
      </c>
      <c r="E55" s="1214">
        <v>20180</v>
      </c>
      <c r="F55" s="3154">
        <v>5730</v>
      </c>
      <c r="G55" s="3154">
        <v>13820</v>
      </c>
      <c r="I55" s="970"/>
      <c r="O55" s="3162" t="s">
        <v>2863</v>
      </c>
    </row>
    <row r="56" spans="1:18" ht="14.25" customHeight="1">
      <c r="A56" s="3153" t="s">
        <v>853</v>
      </c>
      <c r="B56" s="3153" t="s">
        <v>975</v>
      </c>
      <c r="C56" s="3153">
        <v>20470</v>
      </c>
      <c r="D56" s="3153">
        <v>20700</v>
      </c>
      <c r="E56" s="3153">
        <v>20380</v>
      </c>
      <c r="F56" s="3159">
        <v>4760</v>
      </c>
      <c r="G56" s="3159">
        <v>14050</v>
      </c>
      <c r="I56" s="970"/>
      <c r="O56" s="3162" t="s">
        <v>2864</v>
      </c>
    </row>
    <row r="57" spans="1:18" ht="14.25" customHeight="1">
      <c r="A57" s="3153" t="s">
        <v>853</v>
      </c>
      <c r="B57" s="3153" t="s">
        <v>985</v>
      </c>
      <c r="C57" s="3153">
        <v>20790</v>
      </c>
      <c r="D57" s="3153">
        <v>21370</v>
      </c>
      <c r="E57" s="3153">
        <v>20890</v>
      </c>
      <c r="F57" s="3159">
        <v>4910</v>
      </c>
      <c r="G57" s="3159">
        <v>14510</v>
      </c>
      <c r="I57" s="970"/>
      <c r="O57" s="3162" t="s">
        <v>2865</v>
      </c>
    </row>
    <row r="58" spans="1:18" ht="14.25" customHeight="1">
      <c r="A58" s="3153" t="s">
        <v>853</v>
      </c>
      <c r="B58" s="3153" t="s">
        <v>994</v>
      </c>
      <c r="C58" s="3153">
        <v>21460</v>
      </c>
      <c r="D58" s="3153">
        <v>20920</v>
      </c>
      <c r="E58" s="3153">
        <v>23410</v>
      </c>
      <c r="F58" s="3159">
        <v>5100</v>
      </c>
      <c r="G58" s="3159">
        <v>14200</v>
      </c>
      <c r="I58" s="970"/>
      <c r="O58" s="3162" t="s">
        <v>2866</v>
      </c>
    </row>
    <row r="59" spans="1:18" ht="14.25" customHeight="1">
      <c r="A59" s="3153" t="s">
        <v>853</v>
      </c>
      <c r="B59" s="3153" t="s">
        <v>1004</v>
      </c>
      <c r="C59" s="3153">
        <v>21000</v>
      </c>
      <c r="D59" s="3153">
        <v>21550</v>
      </c>
      <c r="E59" s="3153">
        <v>21150</v>
      </c>
      <c r="F59" s="3159">
        <v>5250</v>
      </c>
      <c r="G59" s="3159">
        <v>14630</v>
      </c>
      <c r="I59" s="970"/>
      <c r="O59" s="3162" t="s">
        <v>2867</v>
      </c>
    </row>
    <row r="60" spans="1:18" ht="14.25" customHeight="1">
      <c r="A60" s="3153" t="s">
        <v>853</v>
      </c>
      <c r="B60" s="3153" t="s">
        <v>1011</v>
      </c>
      <c r="C60" s="3153">
        <v>21640</v>
      </c>
      <c r="D60" s="3153">
        <v>21260</v>
      </c>
      <c r="E60" s="3153">
        <v>24040</v>
      </c>
      <c r="F60" s="3159">
        <v>4470</v>
      </c>
      <c r="G60" s="3159">
        <v>14430</v>
      </c>
      <c r="I60" s="970"/>
      <c r="O60" s="3162" t="s">
        <v>2868</v>
      </c>
    </row>
    <row r="61" spans="1:18" ht="14.25" customHeight="1">
      <c r="A61" s="3153" t="s">
        <v>853</v>
      </c>
      <c r="B61" s="3153" t="s">
        <v>1017</v>
      </c>
      <c r="C61" s="3153">
        <v>21330</v>
      </c>
      <c r="D61" s="3153">
        <v>18640</v>
      </c>
      <c r="E61" s="3153">
        <v>21190</v>
      </c>
      <c r="F61" s="3159">
        <v>4180</v>
      </c>
      <c r="G61" s="3161">
        <v>12650</v>
      </c>
      <c r="I61" s="970"/>
      <c r="O61" s="3162" t="s">
        <v>2869</v>
      </c>
    </row>
    <row r="62" spans="1:18" ht="14.25" customHeight="1">
      <c r="A62" s="3153" t="s">
        <v>853</v>
      </c>
      <c r="B62" s="3153" t="s">
        <v>1024</v>
      </c>
      <c r="C62" s="3153">
        <v>18710</v>
      </c>
      <c r="D62" s="3153">
        <v>19400</v>
      </c>
      <c r="E62" s="3153">
        <v>23750</v>
      </c>
      <c r="F62" s="3159">
        <v>4860</v>
      </c>
      <c r="G62" s="3161">
        <v>13170</v>
      </c>
      <c r="I62" s="970"/>
      <c r="O62" s="3162" t="s">
        <v>2870</v>
      </c>
    </row>
    <row r="63" spans="1:18" ht="14.25" customHeight="1">
      <c r="A63" s="3153" t="s">
        <v>853</v>
      </c>
      <c r="B63" s="3153" t="s">
        <v>1034</v>
      </c>
      <c r="C63" s="3153">
        <v>19480</v>
      </c>
      <c r="D63" s="3153">
        <v>16830</v>
      </c>
      <c r="E63" s="3153">
        <v>21590</v>
      </c>
      <c r="F63" s="3159">
        <v>4560</v>
      </c>
      <c r="G63" s="3161">
        <v>11420</v>
      </c>
      <c r="I63" s="970"/>
      <c r="O63" s="3162" t="s">
        <v>2871</v>
      </c>
    </row>
    <row r="64" spans="1:18" ht="14.25" customHeight="1">
      <c r="A64" s="3153" t="s">
        <v>853</v>
      </c>
      <c r="B64" s="3153" t="s">
        <v>1043</v>
      </c>
      <c r="C64" s="3153">
        <v>16920</v>
      </c>
      <c r="D64" s="3153">
        <v>19190</v>
      </c>
      <c r="E64" s="3153">
        <v>22200</v>
      </c>
      <c r="F64" s="3159">
        <v>4390</v>
      </c>
      <c r="G64" s="3161">
        <v>13030</v>
      </c>
      <c r="I64" s="970"/>
      <c r="O64" s="3162" t="s">
        <v>2872</v>
      </c>
    </row>
    <row r="65" spans="1:21" s="959" customFormat="1" ht="14.25" customHeight="1">
      <c r="A65" s="3153" t="s">
        <v>853</v>
      </c>
      <c r="B65" s="3153" t="s">
        <v>1050</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853</v>
      </c>
      <c r="B66" s="3153" t="s">
        <v>1057</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853</v>
      </c>
      <c r="B67" s="3153" t="s">
        <v>1064</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853</v>
      </c>
      <c r="B68" s="3153" t="s">
        <v>1072</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853</v>
      </c>
      <c r="B69" s="3153" t="s">
        <v>1080</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853</v>
      </c>
      <c r="B70" s="3153" t="s">
        <v>1085</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853</v>
      </c>
      <c r="B71" s="3153" t="s">
        <v>1094</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853</v>
      </c>
      <c r="B72" s="3153" t="s">
        <v>1101</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853</v>
      </c>
      <c r="B73" s="3153" t="s">
        <v>1109</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853</v>
      </c>
      <c r="B74" s="3153" t="s">
        <v>1116</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853</v>
      </c>
      <c r="B75" s="3153" t="s">
        <v>1120</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853</v>
      </c>
      <c r="B76" s="1214" t="s">
        <v>1127</v>
      </c>
      <c r="C76" s="1214">
        <v>17610</v>
      </c>
      <c r="D76" s="1214">
        <v>20800</v>
      </c>
      <c r="E76" s="1214">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853</v>
      </c>
      <c r="B77" s="3153" t="s">
        <v>1130</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853</v>
      </c>
      <c r="B78" s="3153" t="s">
        <v>2812</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853</v>
      </c>
      <c r="B79" s="3153" t="s">
        <v>2813</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853</v>
      </c>
      <c r="B80" s="3153" t="s">
        <v>2814</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853</v>
      </c>
      <c r="B81" s="3153" t="s">
        <v>2815</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853</v>
      </c>
      <c r="B82" s="3153" t="s">
        <v>2816</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853</v>
      </c>
      <c r="B83" s="3153" t="s">
        <v>2817</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853</v>
      </c>
      <c r="B84" s="3153" t="s">
        <v>2818</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853</v>
      </c>
      <c r="B85" s="1212" t="s">
        <v>2819</v>
      </c>
      <c r="C85" s="1212"/>
      <c r="D85" s="1212"/>
      <c r="E85" s="1212"/>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853</v>
      </c>
      <c r="B86" s="3156" t="s">
        <v>2820</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1152</v>
      </c>
      <c r="B87" s="1214" t="s">
        <v>2821</v>
      </c>
      <c r="C87" s="1214">
        <v>15240</v>
      </c>
      <c r="D87" s="1214">
        <v>15170</v>
      </c>
      <c r="E87" s="1214">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1152</v>
      </c>
      <c r="B88" s="3153" t="s">
        <v>976</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1152</v>
      </c>
      <c r="B89" s="3153" t="s">
        <v>986</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1152</v>
      </c>
      <c r="B90" s="3153" t="s">
        <v>995</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1152</v>
      </c>
      <c r="B91" s="3153" t="s">
        <v>1005</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1152</v>
      </c>
      <c r="B92" s="3153" t="s">
        <v>1012</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1152</v>
      </c>
      <c r="B93" s="3153" t="s">
        <v>1018</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1152</v>
      </c>
      <c r="B94" s="3153" t="s">
        <v>1025</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1152</v>
      </c>
      <c r="B95" s="3153" t="s">
        <v>1035</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1152</v>
      </c>
      <c r="B96" s="3153" t="s">
        <v>1044</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1152</v>
      </c>
      <c r="B97" s="3153" t="s">
        <v>1051</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1152</v>
      </c>
      <c r="B98" s="3153" t="s">
        <v>1058</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1152</v>
      </c>
      <c r="B99" s="3153" t="s">
        <v>1065</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1152</v>
      </c>
      <c r="B100" s="3153" t="s">
        <v>1073</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1152</v>
      </c>
      <c r="B101" s="3153" t="s">
        <v>1081</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1152</v>
      </c>
      <c r="B102" s="3153" t="s">
        <v>1086</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1152</v>
      </c>
      <c r="B103" s="3153" t="s">
        <v>1095</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1152</v>
      </c>
      <c r="B104" s="3153" t="s">
        <v>1102</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1152</v>
      </c>
      <c r="B105" s="3153" t="s">
        <v>1110</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1152</v>
      </c>
      <c r="B106" s="3153" t="s">
        <v>1117</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1152</v>
      </c>
      <c r="B107" s="3153" t="s">
        <v>1121</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1152</v>
      </c>
      <c r="B108" s="3153" t="s">
        <v>1128</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1152</v>
      </c>
      <c r="B109" s="3153" t="s">
        <v>1131</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1152</v>
      </c>
      <c r="B110" s="1214" t="s">
        <v>1133</v>
      </c>
      <c r="C110" s="1214">
        <v>13560</v>
      </c>
      <c r="D110" s="1214">
        <v>13490</v>
      </c>
      <c r="E110" s="1214">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1152</v>
      </c>
      <c r="B111" s="3153" t="s">
        <v>1136</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1152</v>
      </c>
      <c r="B112" s="3153" t="s">
        <v>1140</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1152</v>
      </c>
      <c r="B113" s="3153" t="s">
        <v>2822</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1152</v>
      </c>
      <c r="B114" s="3153" t="s">
        <v>2823</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1152</v>
      </c>
      <c r="B115" s="3153" t="s">
        <v>2824</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1152</v>
      </c>
      <c r="B116" s="3153" t="s">
        <v>2825</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1152</v>
      </c>
      <c r="B117" s="3153" t="s">
        <v>2826</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1152</v>
      </c>
      <c r="B118" s="3153" t="s">
        <v>2827</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1152</v>
      </c>
      <c r="B119" s="3153" t="s">
        <v>2828</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1152</v>
      </c>
      <c r="B120" s="3153" t="s">
        <v>2829</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1152</v>
      </c>
      <c r="B121" s="3153" t="s">
        <v>2830</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1152</v>
      </c>
      <c r="B122" s="3153" t="s">
        <v>2831</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1152</v>
      </c>
      <c r="B123" s="3153" t="s">
        <v>2832</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1152</v>
      </c>
      <c r="B124" s="3153" t="s">
        <v>2833</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1152</v>
      </c>
      <c r="B125" s="1212" t="s">
        <v>2834</v>
      </c>
      <c r="C125" s="1212">
        <v>12860</v>
      </c>
      <c r="D125" s="1212">
        <v>12790</v>
      </c>
      <c r="E125" s="1212">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1152</v>
      </c>
      <c r="B126" s="3156" t="s">
        <v>2835</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1153</v>
      </c>
      <c r="B127" s="1214" t="s">
        <v>2836</v>
      </c>
      <c r="C127" s="1214">
        <v>12280</v>
      </c>
      <c r="D127" s="1214">
        <v>12250</v>
      </c>
      <c r="E127" s="1214">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1153</v>
      </c>
      <c r="B128" s="3153" t="s">
        <v>977</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1153</v>
      </c>
      <c r="B129" s="3153" t="s">
        <v>987</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1153</v>
      </c>
      <c r="B130" s="3153" t="s">
        <v>996</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1153</v>
      </c>
      <c r="B131" s="3153" t="s">
        <v>1006</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1153</v>
      </c>
      <c r="B132" s="3153" t="s">
        <v>1013</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1153</v>
      </c>
      <c r="B133" s="3153" t="s">
        <v>1019</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1153</v>
      </c>
      <c r="B134" s="3153" t="s">
        <v>1026</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1153</v>
      </c>
      <c r="B135" s="3153" t="s">
        <v>1036</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1153</v>
      </c>
      <c r="B136" s="3153" t="s">
        <v>1045</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1153</v>
      </c>
      <c r="B137" s="3153" t="s">
        <v>1052</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1153</v>
      </c>
      <c r="B138" s="3153" t="s">
        <v>1059</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1153</v>
      </c>
      <c r="B139" s="3153" t="s">
        <v>1066</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1153</v>
      </c>
      <c r="B140" s="3153" t="s">
        <v>1074</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1153</v>
      </c>
      <c r="B141" s="3153" t="s">
        <v>1082</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1153</v>
      </c>
      <c r="B142" s="3153" t="s">
        <v>1087</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1153</v>
      </c>
      <c r="B143" s="3153" t="s">
        <v>1096</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1153</v>
      </c>
      <c r="B144" s="3153" t="s">
        <v>1103</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1153</v>
      </c>
      <c r="B145" s="3153" t="s">
        <v>1111</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1153</v>
      </c>
      <c r="B146" s="3153" t="s">
        <v>1118</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1153</v>
      </c>
      <c r="B147" s="3153" t="s">
        <v>1122</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1153</v>
      </c>
      <c r="B148" s="3153" t="s">
        <v>2837</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1153</v>
      </c>
      <c r="B149" s="3153" t="s">
        <v>2838</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1153</v>
      </c>
      <c r="B150" s="3153" t="s">
        <v>1141</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1153</v>
      </c>
      <c r="B151" s="3153" t="s">
        <v>1143</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1153</v>
      </c>
      <c r="B152" s="3153" t="s">
        <v>1146</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1153</v>
      </c>
      <c r="B153" s="3153" t="s">
        <v>2839</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1153</v>
      </c>
      <c r="B154" s="3153" t="s">
        <v>2840</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1153</v>
      </c>
      <c r="B155" s="3153" t="s">
        <v>2841</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1153</v>
      </c>
      <c r="B156" s="3153" t="s">
        <v>2842</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1153</v>
      </c>
      <c r="B157" s="3153" t="s">
        <v>1149</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4" t="s">
        <v>1153</v>
      </c>
      <c r="B158" s="1214" t="s">
        <v>1150</v>
      </c>
      <c r="C158" s="1214">
        <v>9590</v>
      </c>
      <c r="D158" s="1214">
        <v>9540</v>
      </c>
      <c r="E158" s="1214">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1153</v>
      </c>
      <c r="B159" s="3153" t="s">
        <v>1151</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1153</v>
      </c>
      <c r="B160" s="3153" t="s">
        <v>2843</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1153</v>
      </c>
      <c r="B161" s="3153" t="s">
        <v>2844</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1153</v>
      </c>
      <c r="B162" s="3153" t="s">
        <v>2845</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1153</v>
      </c>
      <c r="B163" s="3153" t="s">
        <v>2846</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1153</v>
      </c>
      <c r="B164" s="3153" t="s">
        <v>2847</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1153</v>
      </c>
      <c r="B165" s="3153" t="s">
        <v>2848</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1153</v>
      </c>
      <c r="B166" s="3153" t="s">
        <v>2849</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1153</v>
      </c>
      <c r="B167" s="3153" t="s">
        <v>2850</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1153</v>
      </c>
      <c r="B168" s="3153" t="s">
        <v>2851</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1153</v>
      </c>
      <c r="B169" s="3153" t="s">
        <v>2852</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1153</v>
      </c>
      <c r="B170" s="3153" t="s">
        <v>2853</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1153</v>
      </c>
      <c r="B171" s="3153" t="s">
        <v>2854</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1153</v>
      </c>
      <c r="B172" s="3153" t="s">
        <v>2855</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1153</v>
      </c>
      <c r="B173" s="3153" t="s">
        <v>2856</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1153</v>
      </c>
      <c r="B174" s="3153" t="s">
        <v>2857</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1153</v>
      </c>
      <c r="B175" s="3153" t="s">
        <v>2858</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1153</v>
      </c>
      <c r="B176" s="3153" t="s">
        <v>2859</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1153</v>
      </c>
      <c r="B177" s="3153" t="s">
        <v>2860</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1153</v>
      </c>
      <c r="B178" s="3153" t="s">
        <v>2861</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1153</v>
      </c>
      <c r="B179" s="3153" t="s">
        <v>2862</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1153</v>
      </c>
      <c r="B180" s="3153" t="s">
        <v>2863</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1153</v>
      </c>
      <c r="B181" s="3153" t="s">
        <v>2864</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1153</v>
      </c>
      <c r="B182" s="3153" t="s">
        <v>2865</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1153</v>
      </c>
      <c r="B183" s="3153" t="s">
        <v>2866</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1153</v>
      </c>
      <c r="B184" s="3153" t="s">
        <v>2867</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1153</v>
      </c>
      <c r="B185" s="3153" t="s">
        <v>2868</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1153</v>
      </c>
      <c r="B186" s="3153" t="s">
        <v>2869</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1153</v>
      </c>
      <c r="B187" s="3153" t="s">
        <v>2870</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1153</v>
      </c>
      <c r="B188" s="3153" t="s">
        <v>2871</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1153</v>
      </c>
      <c r="B189" s="3156" t="s">
        <v>2872</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1154</v>
      </c>
      <c r="B190" s="1214" t="s">
        <v>2873</v>
      </c>
      <c r="C190" s="1214">
        <v>8830</v>
      </c>
      <c r="D190" s="1214">
        <v>8790</v>
      </c>
      <c r="E190" s="1214">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1154</v>
      </c>
      <c r="B191" s="3153" t="s">
        <v>978</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1154</v>
      </c>
      <c r="B192" s="3153" t="s">
        <v>988</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1154</v>
      </c>
      <c r="B193" s="3153" t="s">
        <v>997</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1154</v>
      </c>
      <c r="B194" s="3153" t="s">
        <v>1007</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1154</v>
      </c>
      <c r="B195" s="3153" t="s">
        <v>1014</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1154</v>
      </c>
      <c r="B196" s="3153" t="s">
        <v>1020</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1154</v>
      </c>
      <c r="B197" s="3153" t="s">
        <v>1027</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1154</v>
      </c>
      <c r="B198" s="3153" t="s">
        <v>1037</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1154</v>
      </c>
      <c r="B199" s="3153" t="s">
        <v>2874</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1154</v>
      </c>
      <c r="B200" s="3153" t="s">
        <v>2875</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1154</v>
      </c>
      <c r="B201" s="3153" t="s">
        <v>2876</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1154</v>
      </c>
      <c r="B202" s="3153" t="s">
        <v>1088</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1154</v>
      </c>
      <c r="B203" s="3153" t="s">
        <v>2877</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1154</v>
      </c>
      <c r="B204" s="3153" t="s">
        <v>2878</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1154</v>
      </c>
      <c r="B205" s="3153" t="s">
        <v>2879</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4" t="s">
        <v>1154</v>
      </c>
      <c r="B206" s="1214" t="s">
        <v>2880</v>
      </c>
      <c r="C206" s="1214">
        <v>7000</v>
      </c>
      <c r="D206" s="1214">
        <v>6950</v>
      </c>
      <c r="E206" s="1214">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1154</v>
      </c>
      <c r="B207" s="3153" t="s">
        <v>2881</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1154</v>
      </c>
      <c r="B208" s="3153" t="s">
        <v>2882</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1154</v>
      </c>
      <c r="B209" s="3153" t="s">
        <v>1112</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1154</v>
      </c>
      <c r="B210" s="3153" t="s">
        <v>2883</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1154</v>
      </c>
      <c r="B211" s="3153" t="s">
        <v>2884</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1154</v>
      </c>
      <c r="B212" s="3153" t="s">
        <v>1134</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1154</v>
      </c>
      <c r="B213" s="3153" t="s">
        <v>1137</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1154</v>
      </c>
      <c r="B214" s="3153" t="s">
        <v>2885</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1154</v>
      </c>
      <c r="B215" s="3153" t="s">
        <v>1123</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1154</v>
      </c>
      <c r="B216" s="3153" t="s">
        <v>2886</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1154</v>
      </c>
      <c r="B217" s="3153" t="s">
        <v>2887</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1154</v>
      </c>
      <c r="B218" s="3153" t="s">
        <v>2888</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1154</v>
      </c>
      <c r="B219" s="3153" t="s">
        <v>2889</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1154</v>
      </c>
      <c r="B220" s="3153" t="s">
        <v>2890</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1154</v>
      </c>
      <c r="B221" s="3153" t="s">
        <v>2891</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1154</v>
      </c>
      <c r="B222" s="3153" t="s">
        <v>2892</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1154</v>
      </c>
      <c r="B223" s="3153" t="s">
        <v>2893</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1154</v>
      </c>
      <c r="B224" s="3153" t="s">
        <v>2894</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1154</v>
      </c>
      <c r="B225" s="3153" t="s">
        <v>2895</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1154</v>
      </c>
      <c r="B226" s="3153" t="s">
        <v>2896</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1154</v>
      </c>
      <c r="B227" s="3153" t="s">
        <v>2897</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1154</v>
      </c>
      <c r="B228" s="3153" t="s">
        <v>2898</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1154</v>
      </c>
      <c r="B229" s="3153" t="s">
        <v>2899</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1154</v>
      </c>
      <c r="B230" s="3153" t="s">
        <v>2900</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1154</v>
      </c>
      <c r="B231" s="3153" t="s">
        <v>2901</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1154</v>
      </c>
      <c r="B232" s="3153" t="s">
        <v>2902</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1154</v>
      </c>
      <c r="B233" s="3156" t="s">
        <v>2903</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1155</v>
      </c>
      <c r="B234" s="1214" t="s">
        <v>2904</v>
      </c>
      <c r="C234" s="1214">
        <v>6980</v>
      </c>
      <c r="D234" s="1214">
        <v>6970</v>
      </c>
      <c r="E234" s="1214">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1155</v>
      </c>
      <c r="B235" s="3153" t="s">
        <v>979</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1155</v>
      </c>
      <c r="B236" s="3153" t="s">
        <v>989</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1155</v>
      </c>
      <c r="B237" s="3153" t="s">
        <v>998</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1155</v>
      </c>
      <c r="B238" s="3153" t="s">
        <v>2905</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1155</v>
      </c>
      <c r="B239" s="3153" t="s">
        <v>2906</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1155</v>
      </c>
      <c r="B240" s="3153" t="s">
        <v>2907</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1155</v>
      </c>
      <c r="B241" s="3153" t="s">
        <v>2908</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1155</v>
      </c>
      <c r="B242" s="3153" t="s">
        <v>1028</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1155</v>
      </c>
      <c r="B243" s="3153" t="s">
        <v>1038</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1155</v>
      </c>
      <c r="B244" s="3153" t="s">
        <v>2909</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4" t="s">
        <v>1155</v>
      </c>
      <c r="B245" s="1214" t="s">
        <v>1053</v>
      </c>
      <c r="C245" s="1214">
        <v>6040</v>
      </c>
      <c r="D245" s="1214">
        <v>6000</v>
      </c>
      <c r="E245" s="1214">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1155</v>
      </c>
      <c r="B246" s="3153" t="s">
        <v>1060</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1155</v>
      </c>
      <c r="B247" s="3153" t="s">
        <v>2910</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1155</v>
      </c>
      <c r="B248" s="3153" t="s">
        <v>1075</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1155</v>
      </c>
      <c r="B249" s="3153" t="s">
        <v>2911</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1155</v>
      </c>
      <c r="B250" s="3153" t="s">
        <v>1089</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1155</v>
      </c>
      <c r="B251" s="3153" t="s">
        <v>1097</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1155</v>
      </c>
      <c r="B252" s="3153" t="s">
        <v>2912</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1155</v>
      </c>
      <c r="B253" s="3153" t="s">
        <v>1132</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1155</v>
      </c>
      <c r="B254" s="3153" t="s">
        <v>1135</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1155</v>
      </c>
      <c r="B255" s="3153" t="s">
        <v>1138</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1155</v>
      </c>
      <c r="B256" s="3153" t="s">
        <v>2913</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1155</v>
      </c>
      <c r="B257" s="3153" t="s">
        <v>1124</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1155</v>
      </c>
      <c r="B258" s="3153" t="s">
        <v>2914</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1155</v>
      </c>
      <c r="B259" s="3153" t="s">
        <v>2915</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1155</v>
      </c>
      <c r="B260" s="3153" t="s">
        <v>2916</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1155</v>
      </c>
      <c r="B261" s="3153" t="s">
        <v>2917</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1155</v>
      </c>
      <c r="B262" s="3153" t="s">
        <v>2918</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1155</v>
      </c>
      <c r="B263" s="3153" t="s">
        <v>2919</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1155</v>
      </c>
      <c r="B264" s="3153" t="s">
        <v>1148</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1155</v>
      </c>
      <c r="B265" s="3153" t="s">
        <v>2920</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1155</v>
      </c>
      <c r="B266" s="3153" t="s">
        <v>2921</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1155</v>
      </c>
      <c r="B267" s="3153" t="s">
        <v>2922</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1155</v>
      </c>
      <c r="B268" s="3153" t="s">
        <v>2923</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1155</v>
      </c>
      <c r="B269" s="3153" t="s">
        <v>2924</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1155</v>
      </c>
      <c r="B270" s="3153" t="s">
        <v>2925</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1155</v>
      </c>
      <c r="B271" s="3153" t="s">
        <v>2926</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1155</v>
      </c>
      <c r="B272" s="3153" t="s">
        <v>2927</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1155</v>
      </c>
      <c r="B273" s="3153" t="s">
        <v>2928</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1155</v>
      </c>
      <c r="B274" s="3153" t="s">
        <v>2929</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1155</v>
      </c>
      <c r="B275" s="3153" t="s">
        <v>2930</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1155</v>
      </c>
      <c r="B276" s="3156" t="s">
        <v>2931</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1156</v>
      </c>
      <c r="B277" s="1214" t="s">
        <v>2932</v>
      </c>
      <c r="C277" s="1214">
        <v>5790</v>
      </c>
      <c r="D277" s="1214">
        <v>5740</v>
      </c>
      <c r="E277" s="1214">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1156</v>
      </c>
      <c r="B278" s="3153" t="s">
        <v>980</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1156</v>
      </c>
      <c r="B279" s="3153" t="s">
        <v>2933</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1156</v>
      </c>
      <c r="B280" s="3153" t="s">
        <v>2934</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1156</v>
      </c>
      <c r="B281" s="3153" t="s">
        <v>2935</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1156</v>
      </c>
      <c r="B282" s="3153" t="s">
        <v>2936</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1156</v>
      </c>
      <c r="B283" s="3153" t="s">
        <v>1021</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1156</v>
      </c>
      <c r="B284" s="3153" t="s">
        <v>1029</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1156</v>
      </c>
      <c r="B285" s="3153" t="s">
        <v>1039</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1156</v>
      </c>
      <c r="B286" s="3153" t="s">
        <v>1046</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1156</v>
      </c>
      <c r="B287" s="3153" t="s">
        <v>2937</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1156</v>
      </c>
      <c r="B288" s="3153" t="s">
        <v>1067</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1156</v>
      </c>
      <c r="B289" s="3153" t="s">
        <v>2938</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4" t="s">
        <v>1156</v>
      </c>
      <c r="B290" s="1214" t="s">
        <v>1090</v>
      </c>
      <c r="C290" s="1214">
        <v>5550</v>
      </c>
      <c r="D290" s="1214">
        <v>5500</v>
      </c>
      <c r="E290" s="1214">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1156</v>
      </c>
      <c r="B291" s="3153" t="s">
        <v>1098</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1156</v>
      </c>
      <c r="B292" s="3153" t="s">
        <v>1104</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1156</v>
      </c>
      <c r="B293" s="3153" t="s">
        <v>2939</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1156</v>
      </c>
      <c r="B294" s="3153" t="s">
        <v>2940</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1156</v>
      </c>
      <c r="B295" s="3153" t="s">
        <v>1139</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1156</v>
      </c>
      <c r="B296" s="3153" t="s">
        <v>1142</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1156</v>
      </c>
      <c r="B297" s="3153" t="s">
        <v>1144</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1156</v>
      </c>
      <c r="B298" s="3153" t="s">
        <v>1147</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1156</v>
      </c>
      <c r="B299" s="3153" t="s">
        <v>2941</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1156</v>
      </c>
      <c r="B300" s="3153" t="s">
        <v>1119</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1156</v>
      </c>
      <c r="B301" s="3153" t="s">
        <v>1125</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1156</v>
      </c>
      <c r="B302" s="3153" t="s">
        <v>2942</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1156</v>
      </c>
      <c r="B303" s="3153" t="s">
        <v>2943</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1156</v>
      </c>
      <c r="B304" s="3153" t="s">
        <v>2944</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1156</v>
      </c>
      <c r="B305" s="3153" t="s">
        <v>2945</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1156</v>
      </c>
      <c r="B306" s="3153" t="s">
        <v>2946</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1156</v>
      </c>
      <c r="B307" s="3153" t="s">
        <v>2947</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1156</v>
      </c>
      <c r="B308" s="3153" t="s">
        <v>2948</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1156</v>
      </c>
      <c r="B309" s="3153" t="s">
        <v>2949</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1156</v>
      </c>
      <c r="B310" s="3153" t="s">
        <v>2950</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1156</v>
      </c>
      <c r="B311" s="3153" t="s">
        <v>2951</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1156</v>
      </c>
      <c r="B312" s="3153" t="s">
        <v>2952</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1156</v>
      </c>
      <c r="B313" s="3153" t="s">
        <v>2953</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1156</v>
      </c>
      <c r="B314" s="3153" t="s">
        <v>2954</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1156</v>
      </c>
      <c r="B315" s="3153" t="s">
        <v>2955</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1156</v>
      </c>
      <c r="B316" s="3153" t="s">
        <v>2956</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4" t="s">
        <v>1156</v>
      </c>
      <c r="B317" s="1214" t="s">
        <v>2957</v>
      </c>
      <c r="C317" s="1214"/>
      <c r="D317" s="1214"/>
      <c r="E317" s="1214"/>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1156</v>
      </c>
      <c r="B318" s="3153" t="s">
        <v>2958</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1156</v>
      </c>
      <c r="B319" s="3153" t="s">
        <v>2959</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1156</v>
      </c>
      <c r="B320" s="3153" t="s">
        <v>2960</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1156</v>
      </c>
      <c r="B321" s="3153" t="s">
        <v>2961</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1156</v>
      </c>
      <c r="B322" s="3153" t="s">
        <v>2962</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1156</v>
      </c>
      <c r="B323" s="3153" t="s">
        <v>2963</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1156</v>
      </c>
      <c r="B324" s="3153" t="s">
        <v>2964</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1156</v>
      </c>
      <c r="B325" s="3153" t="s">
        <v>2965</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1156</v>
      </c>
      <c r="B326" s="3156" t="s">
        <v>2966</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1157</v>
      </c>
      <c r="B327" s="2403" t="s">
        <v>2967</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1157</v>
      </c>
      <c r="B328" s="3153" t="s">
        <v>981</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1157</v>
      </c>
      <c r="B329" s="3153" t="s">
        <v>2968</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1157</v>
      </c>
      <c r="B330" s="3153" t="s">
        <v>2969</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1157</v>
      </c>
      <c r="B331" s="3153" t="s">
        <v>1008</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1157</v>
      </c>
      <c r="B332" s="3153" t="s">
        <v>2970</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1157</v>
      </c>
      <c r="B333" s="3153" t="s">
        <v>2971</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1157</v>
      </c>
      <c r="B334" s="3153" t="s">
        <v>1030</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1157</v>
      </c>
      <c r="B335" s="3153" t="s">
        <v>1040</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1157</v>
      </c>
      <c r="B336" s="3153" t="s">
        <v>2972</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1157</v>
      </c>
      <c r="B337" s="3153" t="s">
        <v>2973</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1157</v>
      </c>
      <c r="B338" s="3153" t="s">
        <v>1068</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1157</v>
      </c>
      <c r="B339" s="3153" t="s">
        <v>1076</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1157</v>
      </c>
      <c r="B340" s="3153" t="s">
        <v>2974</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1157</v>
      </c>
      <c r="B341" s="3153" t="s">
        <v>1054</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1157</v>
      </c>
      <c r="B342" s="3153" t="s">
        <v>2975</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1157</v>
      </c>
      <c r="B343" s="3153" t="s">
        <v>1105</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1157</v>
      </c>
      <c r="B344" s="3153" t="s">
        <v>1113</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1157</v>
      </c>
      <c r="B345" s="3162" t="s">
        <v>2976</v>
      </c>
      <c r="C345" s="3162">
        <v>3190</v>
      </c>
      <c r="D345" s="3162">
        <v>3140</v>
      </c>
      <c r="E345" s="3162">
        <v>3450</v>
      </c>
      <c r="F345" s="3162">
        <v>720</v>
      </c>
      <c r="G345" s="3162">
        <v>1880</v>
      </c>
      <c r="H345" s="956"/>
    </row>
    <row r="346" spans="1:21">
      <c r="A346" s="3162" t="s">
        <v>1157</v>
      </c>
      <c r="B346" s="3162" t="s">
        <v>2977</v>
      </c>
      <c r="C346" s="3162">
        <v>3630</v>
      </c>
      <c r="D346" s="3162">
        <v>3590</v>
      </c>
      <c r="E346" s="3162">
        <v>3940</v>
      </c>
      <c r="F346" s="3162">
        <v>730</v>
      </c>
      <c r="G346" s="3162">
        <v>2150</v>
      </c>
      <c r="H346" s="956"/>
    </row>
    <row r="347" spans="1:21">
      <c r="A347" s="3162" t="s">
        <v>1157</v>
      </c>
      <c r="B347" s="3162" t="s">
        <v>1091</v>
      </c>
      <c r="C347" s="3162">
        <v>3860</v>
      </c>
      <c r="D347" s="3162">
        <v>3820</v>
      </c>
      <c r="E347" s="3162">
        <v>4220</v>
      </c>
      <c r="F347" s="3162">
        <v>750</v>
      </c>
      <c r="G347" s="3162">
        <v>2280</v>
      </c>
      <c r="H347" s="956"/>
    </row>
    <row r="348" spans="1:21">
      <c r="A348" s="3162" t="s">
        <v>1157</v>
      </c>
      <c r="B348" s="3162" t="s">
        <v>2978</v>
      </c>
      <c r="C348" s="3162">
        <v>4000</v>
      </c>
      <c r="D348" s="3162">
        <v>3950</v>
      </c>
      <c r="E348" s="3162">
        <v>4430</v>
      </c>
      <c r="F348" s="3162">
        <v>760</v>
      </c>
      <c r="G348" s="3162">
        <v>2360</v>
      </c>
      <c r="H348" s="956"/>
    </row>
    <row r="349" spans="1:21">
      <c r="A349" s="3162" t="s">
        <v>1157</v>
      </c>
      <c r="B349" s="3162" t="s">
        <v>2979</v>
      </c>
      <c r="C349" s="3162">
        <v>3820</v>
      </c>
      <c r="D349" s="3162">
        <v>3780</v>
      </c>
      <c r="E349" s="3162">
        <v>4170</v>
      </c>
      <c r="F349" s="3162">
        <v>710</v>
      </c>
      <c r="G349" s="3162">
        <v>2260</v>
      </c>
      <c r="H349" s="956"/>
    </row>
    <row r="350" spans="1:21">
      <c r="A350" s="3162" t="s">
        <v>1157</v>
      </c>
      <c r="B350" s="3162" t="s">
        <v>2980</v>
      </c>
      <c r="C350" s="3162">
        <v>3760</v>
      </c>
      <c r="D350" s="3162">
        <v>3730</v>
      </c>
      <c r="E350" s="3162">
        <v>4100</v>
      </c>
      <c r="F350" s="3162">
        <v>800</v>
      </c>
      <c r="G350" s="3162">
        <v>2230</v>
      </c>
      <c r="H350" s="956"/>
    </row>
    <row r="351" spans="1:21">
      <c r="A351" s="3162" t="s">
        <v>1157</v>
      </c>
      <c r="B351" s="3162" t="s">
        <v>2981</v>
      </c>
      <c r="C351" s="3162">
        <v>3610</v>
      </c>
      <c r="D351" s="3162">
        <v>3580</v>
      </c>
      <c r="E351" s="3162">
        <v>3930</v>
      </c>
      <c r="F351" s="3162">
        <v>700</v>
      </c>
      <c r="G351" s="3162">
        <v>2140</v>
      </c>
      <c r="H351" s="956"/>
    </row>
    <row r="352" spans="1:21">
      <c r="A352" s="3162" t="s">
        <v>1157</v>
      </c>
      <c r="B352" s="3162" t="s">
        <v>2982</v>
      </c>
      <c r="C352" s="3162">
        <v>3670</v>
      </c>
      <c r="D352" s="3162">
        <v>3630</v>
      </c>
      <c r="E352" s="3162">
        <v>4000</v>
      </c>
      <c r="F352" s="3162">
        <v>750</v>
      </c>
      <c r="G352" s="3162">
        <v>2180</v>
      </c>
      <c r="H352" s="956"/>
    </row>
    <row r="353" spans="1:8">
      <c r="A353" s="3162" t="s">
        <v>1157</v>
      </c>
      <c r="B353" s="3162" t="s">
        <v>2983</v>
      </c>
      <c r="C353" s="3162">
        <v>3190</v>
      </c>
      <c r="D353" s="3162">
        <v>3150</v>
      </c>
      <c r="E353" s="3162">
        <v>3640</v>
      </c>
      <c r="F353" s="3162">
        <v>630</v>
      </c>
      <c r="G353" s="3162">
        <v>1890</v>
      </c>
      <c r="H353" s="956"/>
    </row>
    <row r="354" spans="1:8">
      <c r="A354" s="3162" t="s">
        <v>1157</v>
      </c>
      <c r="B354" s="3162" t="s">
        <v>1129</v>
      </c>
      <c r="C354" s="3162">
        <v>3450</v>
      </c>
      <c r="D354" s="3162">
        <v>3420</v>
      </c>
      <c r="E354" s="3162">
        <v>3960</v>
      </c>
      <c r="F354" s="3162">
        <v>660</v>
      </c>
      <c r="G354" s="3162">
        <v>2050</v>
      </c>
      <c r="H354" s="956"/>
    </row>
    <row r="355" spans="1:8">
      <c r="A355" s="3162" t="s">
        <v>1157</v>
      </c>
      <c r="B355" s="3162" t="s">
        <v>2984</v>
      </c>
      <c r="C355" s="3162">
        <v>3650</v>
      </c>
      <c r="D355" s="3162">
        <v>3610</v>
      </c>
      <c r="E355" s="3162">
        <v>4200</v>
      </c>
      <c r="F355" s="3162">
        <v>640</v>
      </c>
      <c r="G355" s="3162">
        <v>2160</v>
      </c>
      <c r="H355" s="956"/>
    </row>
    <row r="356" spans="1:8">
      <c r="A356" s="3162" t="s">
        <v>1157</v>
      </c>
      <c r="B356" s="3162" t="s">
        <v>2985</v>
      </c>
      <c r="C356" s="3162">
        <v>3260</v>
      </c>
      <c r="D356" s="3162">
        <v>3230</v>
      </c>
      <c r="E356" s="3162">
        <v>3740</v>
      </c>
      <c r="F356" s="3162">
        <v>600</v>
      </c>
      <c r="G356" s="3162">
        <v>1930</v>
      </c>
      <c r="H356" s="956"/>
    </row>
    <row r="357" spans="1:8" ht="14.25" thickBot="1">
      <c r="A357" s="3177" t="s">
        <v>1157</v>
      </c>
      <c r="B357" s="3177" t="s">
        <v>2986</v>
      </c>
      <c r="C357" s="3177">
        <v>3690</v>
      </c>
      <c r="D357" s="3177">
        <v>3650</v>
      </c>
      <c r="E357" s="3177">
        <v>4020</v>
      </c>
      <c r="F357" s="3177">
        <v>700</v>
      </c>
      <c r="G357" s="3177">
        <v>2190</v>
      </c>
      <c r="H357" s="956"/>
    </row>
    <row r="358" spans="1:8">
      <c r="A358" s="3178" t="s">
        <v>2744</v>
      </c>
      <c r="B358" s="3179" t="s">
        <v>2987</v>
      </c>
      <c r="C358" s="3179">
        <v>2080</v>
      </c>
      <c r="D358" s="3179">
        <v>2040</v>
      </c>
      <c r="E358" s="3179">
        <v>2010</v>
      </c>
      <c r="F358" s="3179">
        <v>530</v>
      </c>
      <c r="G358" s="3180">
        <v>1230</v>
      </c>
      <c r="H358" s="956"/>
    </row>
    <row r="359" spans="1:8">
      <c r="A359" s="3181" t="s">
        <v>2744</v>
      </c>
      <c r="B359" s="3162" t="s">
        <v>2988</v>
      </c>
      <c r="C359" s="3162">
        <v>1850</v>
      </c>
      <c r="D359" s="3162">
        <v>1820</v>
      </c>
      <c r="E359" s="3162">
        <v>1780</v>
      </c>
      <c r="F359" s="3162">
        <v>520</v>
      </c>
      <c r="G359" s="3174">
        <v>1100</v>
      </c>
      <c r="H359" s="956"/>
    </row>
    <row r="360" spans="1:8">
      <c r="A360" s="3181" t="s">
        <v>2744</v>
      </c>
      <c r="B360" s="3162" t="s">
        <v>2989</v>
      </c>
      <c r="C360" s="3162">
        <v>2020</v>
      </c>
      <c r="D360" s="3162">
        <v>1990</v>
      </c>
      <c r="E360" s="3162">
        <v>1950</v>
      </c>
      <c r="F360" s="3162">
        <v>500</v>
      </c>
      <c r="G360" s="3174">
        <v>1200</v>
      </c>
      <c r="H360" s="956"/>
    </row>
    <row r="361" spans="1:8">
      <c r="A361" s="3181" t="s">
        <v>2744</v>
      </c>
      <c r="B361" s="3162" t="s">
        <v>999</v>
      </c>
      <c r="C361" s="3162">
        <v>2260</v>
      </c>
      <c r="D361" s="3162">
        <v>2220</v>
      </c>
      <c r="E361" s="3162">
        <v>2180</v>
      </c>
      <c r="F361" s="3162">
        <v>580</v>
      </c>
      <c r="G361" s="3174">
        <v>1340</v>
      </c>
      <c r="H361" s="956"/>
    </row>
    <row r="362" spans="1:8">
      <c r="A362" s="3181" t="s">
        <v>2744</v>
      </c>
      <c r="B362" s="3162" t="s">
        <v>2990</v>
      </c>
      <c r="C362" s="3162">
        <v>2650</v>
      </c>
      <c r="D362" s="3162">
        <v>2610</v>
      </c>
      <c r="E362" s="3162">
        <v>2570</v>
      </c>
      <c r="F362" s="3162">
        <v>630</v>
      </c>
      <c r="G362" s="3174">
        <v>1570</v>
      </c>
      <c r="H362" s="956"/>
    </row>
    <row r="363" spans="1:8">
      <c r="A363" s="3181" t="s">
        <v>2744</v>
      </c>
      <c r="B363" s="3162" t="s">
        <v>2991</v>
      </c>
      <c r="C363" s="3162">
        <v>2390</v>
      </c>
      <c r="D363" s="3162">
        <v>2360</v>
      </c>
      <c r="E363" s="3162">
        <v>2320</v>
      </c>
      <c r="F363" s="3162">
        <v>600</v>
      </c>
      <c r="G363" s="3174">
        <v>1420</v>
      </c>
      <c r="H363" s="956"/>
    </row>
    <row r="364" spans="1:8">
      <c r="A364" s="3181" t="s">
        <v>2744</v>
      </c>
      <c r="B364" s="3162" t="s">
        <v>2992</v>
      </c>
      <c r="C364" s="3162">
        <v>2050</v>
      </c>
      <c r="D364" s="3162">
        <v>2030</v>
      </c>
      <c r="E364" s="3162">
        <v>1990</v>
      </c>
      <c r="F364" s="3162">
        <v>550</v>
      </c>
      <c r="G364" s="3174">
        <v>1220</v>
      </c>
      <c r="H364" s="956"/>
    </row>
    <row r="365" spans="1:8">
      <c r="A365" s="3181" t="s">
        <v>2744</v>
      </c>
      <c r="B365" s="3162" t="s">
        <v>1047</v>
      </c>
      <c r="C365" s="3162">
        <v>2140</v>
      </c>
      <c r="D365" s="3162">
        <v>2100</v>
      </c>
      <c r="E365" s="3162">
        <v>2060</v>
      </c>
      <c r="F365" s="3162">
        <v>540</v>
      </c>
      <c r="G365" s="3174">
        <v>1270</v>
      </c>
      <c r="H365" s="956"/>
    </row>
    <row r="366" spans="1:8">
      <c r="A366" s="3181" t="s">
        <v>2744</v>
      </c>
      <c r="B366" s="3162" t="s">
        <v>2993</v>
      </c>
      <c r="C366" s="3162">
        <v>2410</v>
      </c>
      <c r="D366" s="3162">
        <v>2370</v>
      </c>
      <c r="E366" s="3162">
        <v>2330</v>
      </c>
      <c r="F366" s="3162">
        <v>570</v>
      </c>
      <c r="G366" s="3174">
        <v>1440</v>
      </c>
      <c r="H366" s="956"/>
    </row>
    <row r="367" spans="1:8">
      <c r="A367" s="3181" t="s">
        <v>2744</v>
      </c>
      <c r="B367" s="3162" t="s">
        <v>2994</v>
      </c>
      <c r="C367" s="3162">
        <v>2300</v>
      </c>
      <c r="D367" s="3162">
        <v>2260</v>
      </c>
      <c r="E367" s="3162">
        <v>2220</v>
      </c>
      <c r="F367" s="3162">
        <v>560</v>
      </c>
      <c r="G367" s="3174">
        <v>1370</v>
      </c>
      <c r="H367" s="956"/>
    </row>
    <row r="368" spans="1:8">
      <c r="A368" s="3181" t="s">
        <v>2744</v>
      </c>
      <c r="B368" s="3162" t="s">
        <v>2995</v>
      </c>
      <c r="C368" s="3162">
        <v>2430</v>
      </c>
      <c r="D368" s="3162">
        <v>2390</v>
      </c>
      <c r="E368" s="3162">
        <v>2350</v>
      </c>
      <c r="F368" s="3162">
        <v>570</v>
      </c>
      <c r="G368" s="3174">
        <v>1450</v>
      </c>
      <c r="H368" s="956"/>
    </row>
    <row r="369" spans="1:8">
      <c r="A369" s="3181" t="s">
        <v>2744</v>
      </c>
      <c r="B369" s="3162" t="s">
        <v>1061</v>
      </c>
      <c r="C369" s="3162">
        <v>2320</v>
      </c>
      <c r="D369" s="3162">
        <v>2290</v>
      </c>
      <c r="E369" s="3162">
        <v>2250</v>
      </c>
      <c r="F369" s="3162">
        <v>550</v>
      </c>
      <c r="G369" s="3174">
        <v>1380</v>
      </c>
      <c r="H369" s="956"/>
    </row>
    <row r="370" spans="1:8">
      <c r="A370" s="3181" t="s">
        <v>2744</v>
      </c>
      <c r="B370" s="3162" t="s">
        <v>1069</v>
      </c>
      <c r="C370" s="3162">
        <v>2190</v>
      </c>
      <c r="D370" s="3162">
        <v>2170</v>
      </c>
      <c r="E370" s="3162">
        <v>2130</v>
      </c>
      <c r="F370" s="3162">
        <v>530</v>
      </c>
      <c r="G370" s="3174">
        <v>1310</v>
      </c>
      <c r="H370" s="956"/>
    </row>
    <row r="371" spans="1:8">
      <c r="A371" s="3181" t="s">
        <v>2744</v>
      </c>
      <c r="B371" s="3162" t="s">
        <v>1077</v>
      </c>
      <c r="C371" s="3162">
        <v>2460</v>
      </c>
      <c r="D371" s="3162">
        <v>2420</v>
      </c>
      <c r="E371" s="3162">
        <v>2370</v>
      </c>
      <c r="F371" s="3162">
        <v>560</v>
      </c>
      <c r="G371" s="3174">
        <v>1470</v>
      </c>
      <c r="H371" s="956"/>
    </row>
    <row r="372" spans="1:8">
      <c r="A372" s="3181" t="s">
        <v>2744</v>
      </c>
      <c r="B372" s="3162" t="s">
        <v>2996</v>
      </c>
      <c r="C372" s="3162">
        <v>2250</v>
      </c>
      <c r="D372" s="3162">
        <v>2210</v>
      </c>
      <c r="E372" s="3162">
        <v>2180</v>
      </c>
      <c r="F372" s="3162">
        <v>550</v>
      </c>
      <c r="G372" s="3174">
        <v>1340</v>
      </c>
      <c r="H372" s="956"/>
    </row>
    <row r="373" spans="1:8">
      <c r="A373" s="3181" t="s">
        <v>2744</v>
      </c>
      <c r="B373" s="3162" t="s">
        <v>1106</v>
      </c>
      <c r="C373" s="3162">
        <v>2210</v>
      </c>
      <c r="D373" s="3162">
        <v>2190</v>
      </c>
      <c r="E373" s="3162">
        <v>2150</v>
      </c>
      <c r="F373" s="3162">
        <v>530</v>
      </c>
      <c r="G373" s="3174">
        <v>1320</v>
      </c>
      <c r="H373" s="956"/>
    </row>
    <row r="374" spans="1:8">
      <c r="A374" s="3181" t="s">
        <v>2744</v>
      </c>
      <c r="B374" s="3162" t="s">
        <v>1114</v>
      </c>
      <c r="C374" s="3162">
        <v>2320</v>
      </c>
      <c r="D374" s="3162">
        <v>2280</v>
      </c>
      <c r="E374" s="3162">
        <v>2230</v>
      </c>
      <c r="F374" s="3162">
        <v>580</v>
      </c>
      <c r="G374" s="3174">
        <v>1380</v>
      </c>
      <c r="H374" s="956"/>
    </row>
    <row r="375" spans="1:8">
      <c r="A375" s="3181" t="s">
        <v>2744</v>
      </c>
      <c r="B375" s="3162" t="s">
        <v>2997</v>
      </c>
      <c r="C375" s="3162">
        <v>2090</v>
      </c>
      <c r="D375" s="3162">
        <v>2050</v>
      </c>
      <c r="E375" s="3162">
        <v>2020</v>
      </c>
      <c r="F375" s="3162">
        <v>520</v>
      </c>
      <c r="G375" s="3174">
        <v>1240</v>
      </c>
      <c r="H375" s="956"/>
    </row>
    <row r="376" spans="1:8">
      <c r="A376" s="3181" t="s">
        <v>2744</v>
      </c>
      <c r="B376" s="3162" t="s">
        <v>1126</v>
      </c>
      <c r="C376" s="3162">
        <v>2010</v>
      </c>
      <c r="D376" s="3162">
        <v>1980</v>
      </c>
      <c r="E376" s="3162">
        <v>1940</v>
      </c>
      <c r="F376" s="3162">
        <v>540</v>
      </c>
      <c r="G376" s="3174">
        <v>1190</v>
      </c>
      <c r="H376" s="956"/>
    </row>
    <row r="377" spans="1:8" ht="14.25" thickBot="1">
      <c r="A377" s="3183" t="s">
        <v>2744</v>
      </c>
      <c r="B377" s="3177" t="s">
        <v>2998</v>
      </c>
      <c r="C377" s="3177">
        <v>1930</v>
      </c>
      <c r="D377" s="3177">
        <v>1890</v>
      </c>
      <c r="E377" s="3177">
        <v>1860</v>
      </c>
      <c r="F377" s="3177">
        <v>530</v>
      </c>
      <c r="G377" s="3184">
        <v>1150</v>
      </c>
      <c r="H377" s="956"/>
    </row>
    <row r="378" spans="1:8">
      <c r="A378" s="3178" t="s">
        <v>2745</v>
      </c>
      <c r="B378" s="3179" t="s">
        <v>2999</v>
      </c>
      <c r="C378" s="3179">
        <v>1520</v>
      </c>
      <c r="D378" s="3179">
        <v>1490</v>
      </c>
      <c r="E378" s="3179">
        <v>1460</v>
      </c>
      <c r="F378" s="3179">
        <v>460</v>
      </c>
      <c r="G378" s="3180">
        <v>940</v>
      </c>
      <c r="H378" s="956"/>
    </row>
    <row r="379" spans="1:8">
      <c r="A379" s="3181" t="s">
        <v>2745</v>
      </c>
      <c r="B379" s="3162" t="s">
        <v>3000</v>
      </c>
      <c r="C379" s="3162">
        <v>1500</v>
      </c>
      <c r="D379" s="3162">
        <v>1470</v>
      </c>
      <c r="E379" s="3162">
        <v>1430</v>
      </c>
      <c r="F379" s="3162">
        <v>460</v>
      </c>
      <c r="G379" s="3174">
        <v>920</v>
      </c>
      <c r="H379" s="956"/>
    </row>
    <row r="380" spans="1:8">
      <c r="A380" s="3181" t="s">
        <v>2745</v>
      </c>
      <c r="B380" s="3162" t="s">
        <v>3001</v>
      </c>
      <c r="C380" s="3162">
        <v>1620</v>
      </c>
      <c r="D380" s="3162">
        <v>1590</v>
      </c>
      <c r="E380" s="3162">
        <v>1560</v>
      </c>
      <c r="F380" s="3162">
        <v>480</v>
      </c>
      <c r="G380" s="3174">
        <v>1000</v>
      </c>
      <c r="H380" s="956"/>
    </row>
    <row r="381" spans="1:8">
      <c r="A381" s="3181" t="s">
        <v>2745</v>
      </c>
      <c r="B381" s="3162" t="s">
        <v>3002</v>
      </c>
      <c r="C381" s="3162">
        <v>1460</v>
      </c>
      <c r="D381" s="3162">
        <v>1430</v>
      </c>
      <c r="E381" s="3162">
        <v>1390</v>
      </c>
      <c r="F381" s="3162">
        <v>450</v>
      </c>
      <c r="G381" s="3174">
        <v>900</v>
      </c>
      <c r="H381" s="956"/>
    </row>
    <row r="382" spans="1:8">
      <c r="A382" s="3181" t="s">
        <v>2745</v>
      </c>
      <c r="B382" s="3162" t="s">
        <v>3003</v>
      </c>
      <c r="C382" s="3162">
        <v>1310</v>
      </c>
      <c r="D382" s="3162">
        <v>1280</v>
      </c>
      <c r="E382" s="3162">
        <v>1250</v>
      </c>
      <c r="F382" s="3162">
        <v>440</v>
      </c>
      <c r="G382" s="3174">
        <v>800</v>
      </c>
      <c r="H382" s="956"/>
    </row>
    <row r="383" spans="1:8">
      <c r="A383" s="3181" t="s">
        <v>2745</v>
      </c>
      <c r="B383" s="3162" t="s">
        <v>3004</v>
      </c>
      <c r="C383" s="3162">
        <v>1260</v>
      </c>
      <c r="D383" s="3162">
        <v>1230</v>
      </c>
      <c r="E383" s="3162">
        <v>1200</v>
      </c>
      <c r="F383" s="3162">
        <v>420</v>
      </c>
      <c r="G383" s="3174">
        <v>770</v>
      </c>
      <c r="H383" s="956"/>
    </row>
    <row r="384" spans="1:8" ht="14.25" thickBot="1">
      <c r="A384" s="3182" t="s">
        <v>2745</v>
      </c>
      <c r="B384" s="3176" t="s">
        <v>3005</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50" sqref="N50"/>
    </sheetView>
  </sheetViews>
  <sheetFormatPr defaultRowHeight="13.5"/>
  <sheetData>
    <row r="1" spans="1:6">
      <c r="A1" s="3756" t="s">
        <v>3168</v>
      </c>
      <c r="B1" s="3756"/>
      <c r="C1" s="3756"/>
      <c r="D1" s="3756"/>
      <c r="E1" s="3756"/>
      <c r="F1" s="3757"/>
    </row>
    <row r="2" spans="1:6">
      <c r="A2" s="3227" t="s">
        <v>3169</v>
      </c>
      <c r="B2" s="1487"/>
      <c r="C2" s="1487"/>
      <c r="D2" s="1487"/>
      <c r="E2" s="1487"/>
      <c r="F2" s="1487"/>
    </row>
    <row r="3" spans="1:6">
      <c r="A3" s="3227" t="s">
        <v>3170</v>
      </c>
      <c r="B3" s="1487"/>
      <c r="C3" s="1487"/>
      <c r="D3" s="1487"/>
      <c r="E3" s="1487"/>
      <c r="F3" s="3228" t="s">
        <v>3171</v>
      </c>
    </row>
    <row r="4" spans="1:6">
      <c r="A4" s="3229" t="s">
        <v>3166</v>
      </c>
      <c r="B4" s="3229" t="s">
        <v>2720</v>
      </c>
      <c r="C4" s="3229" t="s">
        <v>1212</v>
      </c>
      <c r="D4" s="3229" t="s">
        <v>3167</v>
      </c>
      <c r="E4" s="3229" t="s">
        <v>905</v>
      </c>
      <c r="F4" s="3229" t="s">
        <v>3172</v>
      </c>
    </row>
    <row r="5" spans="1:6">
      <c r="A5" s="3230" t="s">
        <v>2743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2744</v>
      </c>
      <c r="B16" s="3232">
        <v>2230</v>
      </c>
      <c r="C16" s="3232">
        <v>2200</v>
      </c>
      <c r="D16" s="3232">
        <v>2180</v>
      </c>
      <c r="E16" s="3232">
        <v>570</v>
      </c>
      <c r="F16" s="3232">
        <v>1330</v>
      </c>
    </row>
    <row r="17" spans="1:6">
      <c r="A17" s="3230" t="s">
        <v>2745</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0" t="s">
        <v>2757</v>
      </c>
      <c r="B1" s="919"/>
      <c r="C1" s="919"/>
      <c r="D1" s="919"/>
      <c r="E1" s="919"/>
      <c r="F1" s="919"/>
      <c r="G1" s="919"/>
      <c r="H1" s="919"/>
      <c r="I1" s="919"/>
      <c r="J1" s="919"/>
      <c r="K1" s="919"/>
      <c r="L1" s="919"/>
      <c r="M1" s="919"/>
      <c r="N1" s="919"/>
    </row>
    <row r="2" spans="1:14">
      <c r="A2" s="921" t="s">
        <v>1547</v>
      </c>
      <c r="B2" s="922" t="s">
        <v>990</v>
      </c>
      <c r="C2" s="922" t="s">
        <v>1031</v>
      </c>
      <c r="D2" s="922" t="s">
        <v>1145</v>
      </c>
      <c r="E2" s="922" t="s">
        <v>853</v>
      </c>
      <c r="F2" s="922" t="s">
        <v>1152</v>
      </c>
      <c r="G2" s="922" t="s">
        <v>1153</v>
      </c>
      <c r="H2" s="923" t="s">
        <v>1154</v>
      </c>
      <c r="I2" s="923" t="s">
        <v>1155</v>
      </c>
      <c r="J2" s="924" t="s">
        <v>1156</v>
      </c>
      <c r="K2" s="924" t="s">
        <v>1157</v>
      </c>
      <c r="L2" s="924" t="s">
        <v>2744</v>
      </c>
      <c r="M2" s="924" t="s">
        <v>2745</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0" t="s">
        <v>2758</v>
      </c>
      <c r="B93" s="930"/>
      <c r="C93" s="930"/>
      <c r="D93" s="930"/>
      <c r="E93" s="930"/>
      <c r="F93" s="930"/>
      <c r="G93" s="930"/>
      <c r="H93" s="930"/>
      <c r="I93" s="930"/>
      <c r="J93" s="930"/>
      <c r="K93" s="930"/>
      <c r="L93" s="930"/>
      <c r="M93" s="930"/>
    </row>
    <row r="94" spans="1:14">
      <c r="A94" s="937" t="s">
        <v>1547</v>
      </c>
      <c r="B94" s="930" t="s">
        <v>990</v>
      </c>
      <c r="C94" s="930" t="s">
        <v>1031</v>
      </c>
      <c r="D94" s="930" t="s">
        <v>1145</v>
      </c>
      <c r="E94" s="930" t="s">
        <v>853</v>
      </c>
      <c r="F94" s="930" t="s">
        <v>1152</v>
      </c>
      <c r="G94" s="930" t="s">
        <v>1153</v>
      </c>
      <c r="H94" s="930" t="s">
        <v>1154</v>
      </c>
      <c r="I94" s="930" t="s">
        <v>1155</v>
      </c>
      <c r="J94" s="930" t="s">
        <v>1156</v>
      </c>
      <c r="K94" s="930" t="s">
        <v>1157</v>
      </c>
      <c r="L94" s="930" t="s">
        <v>2744</v>
      </c>
      <c r="M94" s="930" t="s">
        <v>2745</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0" t="s">
        <v>2759</v>
      </c>
      <c r="B185" s="930"/>
      <c r="C185" s="930"/>
      <c r="D185" s="930"/>
      <c r="E185" s="930"/>
      <c r="F185" s="930"/>
      <c r="G185" s="930"/>
      <c r="H185" s="930"/>
      <c r="I185" s="930"/>
      <c r="J185" s="930"/>
      <c r="K185" s="930"/>
      <c r="L185" s="930"/>
      <c r="M185" s="930"/>
    </row>
    <row r="186" spans="1:13">
      <c r="A186" s="921" t="s">
        <v>1547</v>
      </c>
      <c r="B186" s="930" t="s">
        <v>990</v>
      </c>
      <c r="C186" s="930" t="s">
        <v>1031</v>
      </c>
      <c r="D186" s="930" t="s">
        <v>1145</v>
      </c>
      <c r="E186" s="930" t="s">
        <v>853</v>
      </c>
      <c r="F186" s="930" t="s">
        <v>1152</v>
      </c>
      <c r="G186" s="930" t="s">
        <v>1153</v>
      </c>
      <c r="H186" s="930" t="s">
        <v>1154</v>
      </c>
      <c r="I186" s="930" t="s">
        <v>1155</v>
      </c>
      <c r="J186" s="930" t="s">
        <v>1156</v>
      </c>
      <c r="K186" s="930" t="s">
        <v>1157</v>
      </c>
      <c r="L186" s="930" t="s">
        <v>2744</v>
      </c>
      <c r="M186" s="930" t="s">
        <v>2745</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0" t="s">
        <v>2760</v>
      </c>
      <c r="B277" s="930"/>
      <c r="C277" s="930"/>
      <c r="D277" s="930"/>
      <c r="E277" s="930"/>
      <c r="F277" s="930"/>
      <c r="G277" s="930"/>
      <c r="H277" s="930"/>
      <c r="I277" s="930"/>
      <c r="J277" s="930"/>
      <c r="K277" s="930"/>
      <c r="L277" s="930"/>
      <c r="M277" s="930"/>
    </row>
    <row r="278" spans="1:13">
      <c r="A278" s="921" t="s">
        <v>1547</v>
      </c>
      <c r="B278" s="930" t="s">
        <v>990</v>
      </c>
      <c r="C278" s="930" t="s">
        <v>1031</v>
      </c>
      <c r="D278" s="930" t="s">
        <v>1145</v>
      </c>
      <c r="E278" s="930" t="s">
        <v>853</v>
      </c>
      <c r="F278" s="930" t="s">
        <v>1152</v>
      </c>
      <c r="G278" s="930" t="s">
        <v>1153</v>
      </c>
      <c r="H278" s="930" t="s">
        <v>1154</v>
      </c>
      <c r="I278" s="930" t="s">
        <v>1155</v>
      </c>
      <c r="J278" s="930" t="s">
        <v>1156</v>
      </c>
      <c r="K278" s="930" t="s">
        <v>1157</v>
      </c>
      <c r="L278" s="930" t="s">
        <v>2744</v>
      </c>
      <c r="M278" s="930" t="s">
        <v>2745</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0" t="s">
        <v>2761</v>
      </c>
      <c r="B369" s="930"/>
      <c r="C369" s="930"/>
      <c r="D369" s="930"/>
      <c r="E369" s="930"/>
      <c r="F369" s="930"/>
      <c r="G369" s="930"/>
      <c r="H369" s="930"/>
      <c r="I369" s="930"/>
      <c r="J369" s="930"/>
      <c r="K369" s="930"/>
      <c r="L369" s="930"/>
      <c r="M369" s="930"/>
    </row>
    <row r="370" spans="1:14">
      <c r="A370" s="921" t="s">
        <v>1547</v>
      </c>
      <c r="B370" s="930" t="s">
        <v>990</v>
      </c>
      <c r="C370" s="930" t="s">
        <v>1031</v>
      </c>
      <c r="D370" s="930" t="s">
        <v>1145</v>
      </c>
      <c r="E370" s="930" t="s">
        <v>853</v>
      </c>
      <c r="F370" s="930" t="s">
        <v>1152</v>
      </c>
      <c r="G370" s="930" t="s">
        <v>1153</v>
      </c>
      <c r="H370" s="930" t="s">
        <v>1154</v>
      </c>
      <c r="I370" s="930" t="s">
        <v>1155</v>
      </c>
      <c r="J370" s="930" t="s">
        <v>1156</v>
      </c>
      <c r="K370" s="930" t="s">
        <v>1157</v>
      </c>
      <c r="L370" s="930" t="s">
        <v>2744</v>
      </c>
      <c r="M370" s="930" t="s">
        <v>2745</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7"/>
  </cols>
  <sheetData>
    <row r="1" spans="1:7">
      <c r="A1" s="3758" t="s">
        <v>3006</v>
      </c>
      <c r="B1" s="3758"/>
    </row>
    <row r="2" spans="1:7" ht="14.25" thickBot="1">
      <c r="A2" s="3193"/>
      <c r="B2" s="3193"/>
    </row>
    <row r="3" spans="1:7" ht="14.25" thickBot="1">
      <c r="A3" s="3193"/>
      <c r="B3" s="3193"/>
      <c r="C3" s="3194" t="s">
        <v>3007</v>
      </c>
      <c r="D3" s="3194" t="s">
        <v>3008</v>
      </c>
      <c r="E3" s="3194" t="s">
        <v>3009</v>
      </c>
      <c r="F3" s="3194" t="s">
        <v>3010</v>
      </c>
      <c r="G3" s="3194" t="s">
        <v>3011</v>
      </c>
    </row>
    <row r="4" spans="1:7" ht="14.25" thickBot="1">
      <c r="A4" s="3195" t="s">
        <v>3012</v>
      </c>
      <c r="B4" s="3196" t="s">
        <v>3013</v>
      </c>
      <c r="C4" s="3194"/>
      <c r="D4" s="3194"/>
      <c r="E4" s="3194"/>
      <c r="F4" s="3194"/>
      <c r="G4" s="3194"/>
    </row>
    <row r="5" spans="1:7">
      <c r="A5" s="3197" t="s">
        <v>3014</v>
      </c>
      <c r="B5" s="3198" t="s">
        <v>3015</v>
      </c>
      <c r="C5" s="3199">
        <v>9.8000000000000004E-2</v>
      </c>
      <c r="D5" s="3199">
        <v>8.6999999999999994E-2</v>
      </c>
      <c r="E5" s="3199">
        <v>8.6999999999999994E-2</v>
      </c>
      <c r="F5" s="3199">
        <v>9.8000000000000004E-2</v>
      </c>
      <c r="G5" s="3200">
        <v>9.5000000000000001E-2</v>
      </c>
    </row>
    <row r="6" spans="1:7">
      <c r="A6" s="3201" t="s">
        <v>990</v>
      </c>
      <c r="B6" s="3202" t="s">
        <v>3016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3017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3018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2804</v>
      </c>
      <c r="C29" s="3211"/>
      <c r="D29" s="3207">
        <v>5.1999999999999998E-2</v>
      </c>
      <c r="E29" s="3207">
        <v>7.0000000000000007E-2</v>
      </c>
      <c r="F29" s="3211"/>
      <c r="G29" s="3209">
        <v>7.0999999999999994E-2</v>
      </c>
    </row>
    <row r="30" spans="1:7">
      <c r="A30" s="3212" t="s">
        <v>1145</v>
      </c>
      <c r="B30" s="3198" t="s">
        <v>3019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3020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2806</v>
      </c>
      <c r="C50" s="3203">
        <v>9.8000000000000004E-2</v>
      </c>
      <c r="D50" s="3203">
        <v>7.2999999999999995E-2</v>
      </c>
      <c r="E50" s="3203">
        <v>7.0999999999999994E-2</v>
      </c>
      <c r="F50" s="3214"/>
      <c r="G50" s="3204">
        <v>7.2999999999999995E-2</v>
      </c>
    </row>
    <row r="51" spans="1:7">
      <c r="A51" s="3213" t="s">
        <v>1145</v>
      </c>
      <c r="B51" s="3202" t="s">
        <v>2807</v>
      </c>
      <c r="C51" s="3203">
        <v>9.9000000000000005E-2</v>
      </c>
      <c r="D51" s="3203">
        <v>8.5000000000000006E-2</v>
      </c>
      <c r="E51" s="3203">
        <v>6.3E-2</v>
      </c>
      <c r="F51" s="3214"/>
      <c r="G51" s="3204">
        <v>9.6000000000000002E-2</v>
      </c>
    </row>
    <row r="52" spans="1:7">
      <c r="A52" s="3213" t="s">
        <v>1145</v>
      </c>
      <c r="B52" s="3202" t="s">
        <v>2808</v>
      </c>
      <c r="C52" s="3203">
        <v>7.3999999999999996E-2</v>
      </c>
      <c r="D52" s="3203">
        <v>9.6000000000000002E-2</v>
      </c>
      <c r="E52" s="3203">
        <v>0.05</v>
      </c>
      <c r="F52" s="3214"/>
      <c r="G52" s="3204">
        <v>9.8000000000000004E-2</v>
      </c>
    </row>
    <row r="53" spans="1:7">
      <c r="A53" s="3213" t="s">
        <v>1145</v>
      </c>
      <c r="B53" s="3202" t="s">
        <v>2809</v>
      </c>
      <c r="C53" s="3203">
        <v>8.5999999999999993E-2</v>
      </c>
      <c r="D53" s="3214"/>
      <c r="E53" s="3203">
        <v>9.1999999999999998E-2</v>
      </c>
      <c r="F53" s="3214"/>
      <c r="G53" s="3215"/>
    </row>
    <row r="54" spans="1:7" ht="14.25" thickBot="1">
      <c r="A54" s="3216" t="s">
        <v>1145</v>
      </c>
      <c r="B54" s="3206" t="s">
        <v>2810</v>
      </c>
      <c r="C54" s="3207">
        <v>9.6000000000000002E-2</v>
      </c>
      <c r="D54" s="3208"/>
      <c r="E54" s="3217"/>
      <c r="F54" s="3208"/>
      <c r="G54" s="3218"/>
    </row>
    <row r="55" spans="1:7">
      <c r="A55" s="3212" t="s">
        <v>853</v>
      </c>
      <c r="B55" s="3198" t="s">
        <v>3021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2812</v>
      </c>
      <c r="C78" s="3203">
        <v>0.1</v>
      </c>
      <c r="D78" s="3203">
        <v>8.5000000000000006E-2</v>
      </c>
      <c r="E78" s="3203">
        <v>9.6000000000000002E-2</v>
      </c>
      <c r="F78" s="3214"/>
      <c r="G78" s="3204">
        <v>9.6000000000000002E-2</v>
      </c>
    </row>
    <row r="79" spans="1:7">
      <c r="A79" s="3213" t="s">
        <v>853</v>
      </c>
      <c r="B79" s="3202" t="s">
        <v>2813</v>
      </c>
      <c r="C79" s="3203">
        <v>0.05</v>
      </c>
      <c r="D79" s="3203">
        <v>9.6000000000000002E-2</v>
      </c>
      <c r="E79" s="3203">
        <v>9.5000000000000001E-2</v>
      </c>
      <c r="F79" s="3214"/>
      <c r="G79" s="3204">
        <v>9.8000000000000004E-2</v>
      </c>
    </row>
    <row r="80" spans="1:7">
      <c r="A80" s="3213" t="s">
        <v>853</v>
      </c>
      <c r="B80" s="3202" t="s">
        <v>2814</v>
      </c>
      <c r="C80" s="3203">
        <v>8.5999999999999993E-2</v>
      </c>
      <c r="D80" s="3219"/>
      <c r="E80" s="3203">
        <v>0.1</v>
      </c>
      <c r="F80" s="3214"/>
      <c r="G80" s="3215"/>
    </row>
    <row r="81" spans="1:7">
      <c r="A81" s="3213" t="s">
        <v>853</v>
      </c>
      <c r="B81" s="3202" t="s">
        <v>2815</v>
      </c>
      <c r="C81" s="3203">
        <v>9.6000000000000002E-2</v>
      </c>
      <c r="D81" s="3214"/>
      <c r="E81" s="3203">
        <v>9.8000000000000004E-2</v>
      </c>
      <c r="F81" s="3214"/>
      <c r="G81" s="3215"/>
    </row>
    <row r="82" spans="1:7">
      <c r="A82" s="3213" t="s">
        <v>853</v>
      </c>
      <c r="B82" s="3202" t="s">
        <v>2816</v>
      </c>
      <c r="C82" s="3219"/>
      <c r="D82" s="3214"/>
      <c r="E82" s="3203">
        <v>7.6999999999999999E-2</v>
      </c>
      <c r="F82" s="3214"/>
      <c r="G82" s="3215"/>
    </row>
    <row r="83" spans="1:7">
      <c r="A83" s="3213" t="s">
        <v>853</v>
      </c>
      <c r="B83" s="3202" t="s">
        <v>3022</v>
      </c>
      <c r="C83" s="3214"/>
      <c r="D83" s="3214"/>
      <c r="E83" s="3214"/>
      <c r="F83" s="3203">
        <v>0.1</v>
      </c>
      <c r="G83" s="3220"/>
    </row>
    <row r="84" spans="1:7">
      <c r="A84" s="3213" t="s">
        <v>853</v>
      </c>
      <c r="B84" s="3202" t="s">
        <v>3023</v>
      </c>
      <c r="C84" s="3214"/>
      <c r="D84" s="3214"/>
      <c r="E84" s="3214"/>
      <c r="F84" s="3203">
        <v>0.1</v>
      </c>
      <c r="G84" s="3220"/>
    </row>
    <row r="85" spans="1:7">
      <c r="A85" s="3213" t="s">
        <v>853</v>
      </c>
      <c r="B85" s="3202" t="s">
        <v>3024</v>
      </c>
      <c r="C85" s="3214"/>
      <c r="D85" s="3214"/>
      <c r="E85" s="3214"/>
      <c r="F85" s="3203">
        <v>0.1</v>
      </c>
      <c r="G85" s="3220"/>
    </row>
    <row r="86" spans="1:7" ht="14.25" thickBot="1">
      <c r="A86" s="3216" t="s">
        <v>853</v>
      </c>
      <c r="B86" s="3206" t="s">
        <v>3025</v>
      </c>
      <c r="C86" s="3207">
        <v>9.8000000000000004E-2</v>
      </c>
      <c r="D86" s="3207">
        <v>9.8000000000000004E-2</v>
      </c>
      <c r="E86" s="3207">
        <v>9.6000000000000002E-2</v>
      </c>
      <c r="F86" s="3217"/>
      <c r="G86" s="3209">
        <v>0.1</v>
      </c>
    </row>
    <row r="87" spans="1:7">
      <c r="A87" s="3212" t="s">
        <v>1152</v>
      </c>
      <c r="B87" s="3198" t="s">
        <v>3026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2822</v>
      </c>
      <c r="C113" s="3203">
        <v>0.1</v>
      </c>
      <c r="D113" s="3203">
        <v>0.1</v>
      </c>
      <c r="E113" s="3214"/>
      <c r="F113" s="3214"/>
      <c r="G113" s="3204">
        <v>0.1</v>
      </c>
    </row>
    <row r="114" spans="1:7">
      <c r="A114" s="3213" t="s">
        <v>1152</v>
      </c>
      <c r="B114" s="3202" t="s">
        <v>2823</v>
      </c>
      <c r="C114" s="3203">
        <v>9.7000000000000003E-2</v>
      </c>
      <c r="D114" s="3203">
        <v>9.7000000000000003E-2</v>
      </c>
      <c r="E114" s="3214"/>
      <c r="F114" s="3214"/>
      <c r="G114" s="3204">
        <v>9.9000000000000005E-2</v>
      </c>
    </row>
    <row r="115" spans="1:7">
      <c r="A115" s="3213" t="s">
        <v>1152</v>
      </c>
      <c r="B115" s="3202" t="s">
        <v>2824</v>
      </c>
      <c r="C115" s="3203">
        <v>0.1</v>
      </c>
      <c r="D115" s="3203">
        <v>0.1</v>
      </c>
      <c r="E115" s="3214"/>
      <c r="F115" s="3214"/>
      <c r="G115" s="3204">
        <v>0.1</v>
      </c>
    </row>
    <row r="116" spans="1:7">
      <c r="A116" s="3213" t="s">
        <v>1152</v>
      </c>
      <c r="B116" s="3202" t="s">
        <v>2825</v>
      </c>
      <c r="C116" s="3203">
        <v>0.1</v>
      </c>
      <c r="D116" s="3203">
        <v>0.1</v>
      </c>
      <c r="E116" s="3214"/>
      <c r="F116" s="3214"/>
      <c r="G116" s="3204">
        <v>0.1</v>
      </c>
    </row>
    <row r="117" spans="1:7">
      <c r="A117" s="3213" t="s">
        <v>1152</v>
      </c>
      <c r="B117" s="3202" t="s">
        <v>2826</v>
      </c>
      <c r="C117" s="3203">
        <v>9.7000000000000003E-2</v>
      </c>
      <c r="D117" s="3203">
        <v>9.7000000000000003E-2</v>
      </c>
      <c r="E117" s="3214"/>
      <c r="F117" s="3214"/>
      <c r="G117" s="3204">
        <v>9.7000000000000003E-2</v>
      </c>
    </row>
    <row r="118" spans="1:7">
      <c r="A118" s="3213" t="s">
        <v>1152</v>
      </c>
      <c r="B118" s="3202" t="s">
        <v>2827</v>
      </c>
      <c r="C118" s="3203">
        <v>0.1</v>
      </c>
      <c r="D118" s="3203">
        <v>0.1</v>
      </c>
      <c r="E118" s="3214"/>
      <c r="F118" s="3214"/>
      <c r="G118" s="3204">
        <v>0.1</v>
      </c>
    </row>
    <row r="119" spans="1:7">
      <c r="A119" s="3213" t="s">
        <v>1152</v>
      </c>
      <c r="B119" s="3202" t="s">
        <v>2828</v>
      </c>
      <c r="C119" s="3203">
        <v>5.0999999999999997E-2</v>
      </c>
      <c r="D119" s="3203">
        <v>5.1999999999999998E-2</v>
      </c>
      <c r="E119" s="3214"/>
      <c r="F119" s="3219"/>
      <c r="G119" s="3204">
        <v>0.06</v>
      </c>
    </row>
    <row r="120" spans="1:7">
      <c r="A120" s="3213" t="s">
        <v>1152</v>
      </c>
      <c r="B120" s="3202" t="s">
        <v>3027</v>
      </c>
      <c r="C120" s="3214"/>
      <c r="D120" s="3214"/>
      <c r="E120" s="3214"/>
      <c r="F120" s="3203">
        <v>0.1</v>
      </c>
      <c r="G120" s="3220"/>
    </row>
    <row r="121" spans="1:7">
      <c r="A121" s="3213" t="s">
        <v>1152</v>
      </c>
      <c r="B121" s="3202" t="s">
        <v>3028</v>
      </c>
      <c r="C121" s="3214"/>
      <c r="D121" s="3214"/>
      <c r="E121" s="3214"/>
      <c r="F121" s="3203">
        <v>0.1</v>
      </c>
      <c r="G121" s="3220"/>
    </row>
    <row r="122" spans="1:7">
      <c r="A122" s="3213" t="s">
        <v>1152</v>
      </c>
      <c r="B122" s="3202" t="s">
        <v>3029</v>
      </c>
      <c r="C122" s="3203">
        <v>0.1</v>
      </c>
      <c r="D122" s="3203">
        <v>0.1</v>
      </c>
      <c r="E122" s="3203">
        <v>9.8000000000000004E-2</v>
      </c>
      <c r="F122" s="3203">
        <v>0.1</v>
      </c>
      <c r="G122" s="3204">
        <v>0.1</v>
      </c>
    </row>
    <row r="123" spans="1:7">
      <c r="A123" s="3213" t="s">
        <v>1152</v>
      </c>
      <c r="B123" s="3202" t="s">
        <v>2832</v>
      </c>
      <c r="C123" s="3203">
        <v>0.1</v>
      </c>
      <c r="D123" s="3203">
        <v>0.1</v>
      </c>
      <c r="E123" s="3203">
        <v>9.8000000000000004E-2</v>
      </c>
      <c r="F123" s="3203">
        <v>0.1</v>
      </c>
      <c r="G123" s="3204">
        <v>0.1</v>
      </c>
    </row>
    <row r="124" spans="1:7">
      <c r="A124" s="3213" t="s">
        <v>1152</v>
      </c>
      <c r="B124" s="3202" t="s">
        <v>2833</v>
      </c>
      <c r="C124" s="3203">
        <v>0.1</v>
      </c>
      <c r="D124" s="3203">
        <v>0.1</v>
      </c>
      <c r="E124" s="3203">
        <v>9.8000000000000004E-2</v>
      </c>
      <c r="F124" s="3219"/>
      <c r="G124" s="3204">
        <v>0.1</v>
      </c>
    </row>
    <row r="125" spans="1:7">
      <c r="A125" s="3213" t="s">
        <v>1152</v>
      </c>
      <c r="B125" s="3202" t="s">
        <v>2834</v>
      </c>
      <c r="C125" s="3203">
        <v>9.8000000000000004E-2</v>
      </c>
      <c r="D125" s="3203">
        <v>9.8000000000000004E-2</v>
      </c>
      <c r="E125" s="3203">
        <v>9.6000000000000002E-2</v>
      </c>
      <c r="F125" s="3219"/>
      <c r="G125" s="3204">
        <v>0.1</v>
      </c>
    </row>
    <row r="126" spans="1:7" ht="14.25" thickBot="1">
      <c r="A126" s="3216" t="s">
        <v>1152</v>
      </c>
      <c r="B126" s="3206" t="s">
        <v>3030</v>
      </c>
      <c r="C126" s="3207">
        <v>0.1</v>
      </c>
      <c r="D126" s="3207">
        <v>0.1</v>
      </c>
      <c r="E126" s="3207">
        <v>9.8000000000000004E-2</v>
      </c>
      <c r="F126" s="3207">
        <v>0.1</v>
      </c>
      <c r="G126" s="3209">
        <v>0.1</v>
      </c>
    </row>
    <row r="127" spans="1:7">
      <c r="A127" s="3212" t="s">
        <v>1153</v>
      </c>
      <c r="B127" s="3198" t="s">
        <v>3031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3032</v>
      </c>
      <c r="C148" s="3203">
        <v>0.13</v>
      </c>
      <c r="D148" s="3203">
        <v>0.13</v>
      </c>
      <c r="E148" s="3203">
        <v>0.13</v>
      </c>
      <c r="F148" s="3214"/>
      <c r="G148" s="3204">
        <v>0.13</v>
      </c>
    </row>
    <row r="149" spans="1:7">
      <c r="A149" s="3213" t="s">
        <v>1153</v>
      </c>
      <c r="B149" s="3202" t="s">
        <v>3033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2839</v>
      </c>
      <c r="C153" s="3203">
        <v>0.13</v>
      </c>
      <c r="D153" s="3203">
        <v>0.13</v>
      </c>
      <c r="E153" s="3203">
        <v>0.13</v>
      </c>
      <c r="F153" s="3203">
        <v>0.13</v>
      </c>
      <c r="G153" s="3204">
        <v>0.13</v>
      </c>
    </row>
    <row r="154" spans="1:7">
      <c r="A154" s="3213" t="s">
        <v>1153</v>
      </c>
      <c r="B154" s="3202" t="s">
        <v>3034</v>
      </c>
      <c r="C154" s="3203">
        <v>0.121</v>
      </c>
      <c r="D154" s="3203">
        <v>0.121</v>
      </c>
      <c r="E154" s="3203">
        <v>0.105</v>
      </c>
      <c r="F154" s="3203">
        <v>0.121</v>
      </c>
      <c r="G154" s="3204">
        <v>0.123</v>
      </c>
    </row>
    <row r="155" spans="1:7">
      <c r="A155" s="3213" t="s">
        <v>1153</v>
      </c>
      <c r="B155" s="3202" t="s">
        <v>2841</v>
      </c>
      <c r="C155" s="3203">
        <v>0.1</v>
      </c>
      <c r="D155" s="3203">
        <v>0.1</v>
      </c>
      <c r="E155" s="3203">
        <v>0.1</v>
      </c>
      <c r="F155" s="3203">
        <v>0.1</v>
      </c>
      <c r="G155" s="3204">
        <v>0.1</v>
      </c>
    </row>
    <row r="156" spans="1:7">
      <c r="A156" s="3213" t="s">
        <v>1153</v>
      </c>
      <c r="B156" s="3202" t="s">
        <v>3035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3036</v>
      </c>
      <c r="C160" s="3203">
        <v>0.13</v>
      </c>
      <c r="D160" s="3203">
        <v>0.13</v>
      </c>
      <c r="E160" s="3203">
        <v>0.124</v>
      </c>
      <c r="F160" s="3203">
        <v>0.126</v>
      </c>
      <c r="G160" s="3204">
        <v>0.13</v>
      </c>
    </row>
    <row r="161" spans="1:7">
      <c r="A161" s="3213" t="s">
        <v>1153</v>
      </c>
      <c r="B161" s="3202" t="s">
        <v>2844</v>
      </c>
      <c r="C161" s="3203">
        <v>0.13</v>
      </c>
      <c r="D161" s="3203">
        <v>0.13</v>
      </c>
      <c r="E161" s="3203">
        <v>0.124</v>
      </c>
      <c r="F161" s="3203">
        <v>0.127</v>
      </c>
      <c r="G161" s="3204">
        <v>0.13</v>
      </c>
    </row>
    <row r="162" spans="1:7">
      <c r="A162" s="3213" t="s">
        <v>1153</v>
      </c>
      <c r="B162" s="3202" t="s">
        <v>2845</v>
      </c>
      <c r="C162" s="3203">
        <v>0.1</v>
      </c>
      <c r="D162" s="3203">
        <v>0.1</v>
      </c>
      <c r="E162" s="3203">
        <v>0.1</v>
      </c>
      <c r="F162" s="3203">
        <v>0.121</v>
      </c>
      <c r="G162" s="3204">
        <v>0.105</v>
      </c>
    </row>
    <row r="163" spans="1:7">
      <c r="A163" s="3213" t="s">
        <v>1153</v>
      </c>
      <c r="B163" s="3202" t="s">
        <v>2846</v>
      </c>
      <c r="C163" s="3203">
        <v>0.1</v>
      </c>
      <c r="D163" s="3203">
        <v>0.1</v>
      </c>
      <c r="E163" s="3203">
        <v>0.1</v>
      </c>
      <c r="F163" s="3203">
        <v>0.1</v>
      </c>
      <c r="G163" s="3204">
        <v>0.1</v>
      </c>
    </row>
    <row r="164" spans="1:7">
      <c r="A164" s="3213" t="s">
        <v>1153</v>
      </c>
      <c r="B164" s="3202" t="s">
        <v>2847</v>
      </c>
      <c r="C164" s="3219"/>
      <c r="D164" s="3219"/>
      <c r="E164" s="3219"/>
      <c r="F164" s="3203">
        <v>0.1</v>
      </c>
      <c r="G164" s="3215"/>
    </row>
    <row r="165" spans="1:7">
      <c r="A165" s="3213" t="s">
        <v>1153</v>
      </c>
      <c r="B165" s="3202" t="s">
        <v>3037</v>
      </c>
      <c r="C165" s="3203">
        <v>0.126</v>
      </c>
      <c r="D165" s="3203">
        <v>0.126</v>
      </c>
      <c r="E165" s="3203">
        <v>0.11899999999999999</v>
      </c>
      <c r="F165" s="3203">
        <v>0.13</v>
      </c>
      <c r="G165" s="3204">
        <v>0.128</v>
      </c>
    </row>
    <row r="166" spans="1:7">
      <c r="A166" s="3213" t="s">
        <v>1153</v>
      </c>
      <c r="B166" s="3202" t="s">
        <v>2849</v>
      </c>
      <c r="C166" s="3203">
        <v>0.129</v>
      </c>
      <c r="D166" s="3203">
        <v>0.129</v>
      </c>
      <c r="E166" s="3203">
        <v>0.123</v>
      </c>
      <c r="F166" s="3203">
        <v>0.128</v>
      </c>
      <c r="G166" s="3204">
        <v>0.13</v>
      </c>
    </row>
    <row r="167" spans="1:7">
      <c r="A167" s="3213" t="s">
        <v>1153</v>
      </c>
      <c r="B167" s="3202" t="s">
        <v>2850</v>
      </c>
      <c r="C167" s="3203">
        <v>0.125</v>
      </c>
      <c r="D167" s="3203">
        <v>0.125</v>
      </c>
      <c r="E167" s="3203">
        <v>0.11700000000000001</v>
      </c>
      <c r="F167" s="3203">
        <v>0.13</v>
      </c>
      <c r="G167" s="3204">
        <v>0.126</v>
      </c>
    </row>
    <row r="168" spans="1:7">
      <c r="A168" s="3213" t="s">
        <v>1153</v>
      </c>
      <c r="B168" s="3202" t="s">
        <v>2851</v>
      </c>
      <c r="C168" s="3203">
        <v>0.128</v>
      </c>
      <c r="D168" s="3203">
        <v>0.128</v>
      </c>
      <c r="E168" s="3203">
        <v>0.123</v>
      </c>
      <c r="F168" s="3214"/>
      <c r="G168" s="3204">
        <v>0.13</v>
      </c>
    </row>
    <row r="169" spans="1:7">
      <c r="A169" s="3213" t="s">
        <v>1153</v>
      </c>
      <c r="B169" s="3202" t="s">
        <v>3038</v>
      </c>
      <c r="C169" s="3219"/>
      <c r="D169" s="3219"/>
      <c r="E169" s="3219"/>
      <c r="F169" s="3203">
        <v>0.05</v>
      </c>
      <c r="G169" s="3215"/>
    </row>
    <row r="170" spans="1:7">
      <c r="A170" s="3213" t="s">
        <v>1153</v>
      </c>
      <c r="B170" s="3202" t="s">
        <v>3039</v>
      </c>
      <c r="C170" s="3219"/>
      <c r="D170" s="3219"/>
      <c r="E170" s="3219"/>
      <c r="F170" s="3203">
        <v>0.05</v>
      </c>
      <c r="G170" s="3215"/>
    </row>
    <row r="171" spans="1:7">
      <c r="A171" s="3213" t="s">
        <v>1153</v>
      </c>
      <c r="B171" s="3202" t="s">
        <v>3040</v>
      </c>
      <c r="C171" s="3219"/>
      <c r="D171" s="3219"/>
      <c r="E171" s="3219"/>
      <c r="F171" s="3203">
        <v>0.05</v>
      </c>
      <c r="G171" s="3220"/>
    </row>
    <row r="172" spans="1:7">
      <c r="A172" s="3213" t="s">
        <v>1153</v>
      </c>
      <c r="B172" s="3202" t="s">
        <v>3041</v>
      </c>
      <c r="C172" s="3219"/>
      <c r="D172" s="3219"/>
      <c r="E172" s="3219"/>
      <c r="F172" s="3203">
        <v>0.05</v>
      </c>
      <c r="G172" s="3220"/>
    </row>
    <row r="173" spans="1:7">
      <c r="A173" s="3213" t="s">
        <v>1153</v>
      </c>
      <c r="B173" s="3202" t="s">
        <v>3042</v>
      </c>
      <c r="C173" s="3219"/>
      <c r="D173" s="3219"/>
      <c r="E173" s="3219"/>
      <c r="F173" s="3203">
        <v>0.05</v>
      </c>
      <c r="G173" s="3215"/>
    </row>
    <row r="174" spans="1:7">
      <c r="A174" s="3213" t="s">
        <v>1153</v>
      </c>
      <c r="B174" s="3202" t="s">
        <v>3043</v>
      </c>
      <c r="C174" s="3219"/>
      <c r="D174" s="3219"/>
      <c r="E174" s="3219"/>
      <c r="F174" s="3203">
        <v>0.05</v>
      </c>
      <c r="G174" s="3215"/>
    </row>
    <row r="175" spans="1:7">
      <c r="A175" s="3213" t="s">
        <v>1153</v>
      </c>
      <c r="B175" s="3202" t="s">
        <v>3044</v>
      </c>
      <c r="C175" s="3219"/>
      <c r="D175" s="3219"/>
      <c r="E175" s="3219"/>
      <c r="F175" s="3203">
        <v>0.05</v>
      </c>
      <c r="G175" s="3215"/>
    </row>
    <row r="176" spans="1:7">
      <c r="A176" s="3213" t="s">
        <v>1153</v>
      </c>
      <c r="B176" s="3202" t="s">
        <v>3045</v>
      </c>
      <c r="C176" s="3219"/>
      <c r="D176" s="3219"/>
      <c r="E176" s="3219"/>
      <c r="F176" s="3203">
        <v>0.05</v>
      </c>
      <c r="G176" s="3215"/>
    </row>
    <row r="177" spans="1:7">
      <c r="A177" s="3213" t="s">
        <v>1153</v>
      </c>
      <c r="B177" s="3202" t="s">
        <v>3046</v>
      </c>
      <c r="C177" s="3214"/>
      <c r="D177" s="3214"/>
      <c r="E177" s="3214"/>
      <c r="F177" s="3203">
        <v>0.05</v>
      </c>
      <c r="G177" s="3220"/>
    </row>
    <row r="178" spans="1:7">
      <c r="A178" s="3213" t="s">
        <v>1153</v>
      </c>
      <c r="B178" s="3202" t="s">
        <v>3047</v>
      </c>
      <c r="C178" s="3214"/>
      <c r="D178" s="3214"/>
      <c r="E178" s="3214"/>
      <c r="F178" s="3203">
        <v>0.05</v>
      </c>
      <c r="G178" s="3220"/>
    </row>
    <row r="179" spans="1:7">
      <c r="A179" s="3213" t="s">
        <v>1153</v>
      </c>
      <c r="B179" s="3202" t="s">
        <v>3048</v>
      </c>
      <c r="C179" s="3214"/>
      <c r="D179" s="3214"/>
      <c r="E179" s="3214"/>
      <c r="F179" s="3203">
        <v>0.05</v>
      </c>
      <c r="G179" s="3220"/>
    </row>
    <row r="180" spans="1:7">
      <c r="A180" s="3213" t="s">
        <v>1153</v>
      </c>
      <c r="B180" s="3202" t="s">
        <v>3049</v>
      </c>
      <c r="C180" s="3214"/>
      <c r="D180" s="3214"/>
      <c r="E180" s="3214"/>
      <c r="F180" s="3203">
        <v>0.05</v>
      </c>
      <c r="G180" s="3220"/>
    </row>
    <row r="181" spans="1:7">
      <c r="A181" s="3213" t="s">
        <v>1153</v>
      </c>
      <c r="B181" s="3202" t="s">
        <v>3050</v>
      </c>
      <c r="C181" s="3214"/>
      <c r="D181" s="3214"/>
      <c r="E181" s="3214"/>
      <c r="F181" s="3203">
        <v>0.05</v>
      </c>
      <c r="G181" s="3220"/>
    </row>
    <row r="182" spans="1:7">
      <c r="A182" s="3213" t="s">
        <v>1153</v>
      </c>
      <c r="B182" s="3202" t="s">
        <v>3051</v>
      </c>
      <c r="C182" s="3214"/>
      <c r="D182" s="3214"/>
      <c r="E182" s="3214"/>
      <c r="F182" s="3203">
        <v>0.05</v>
      </c>
      <c r="G182" s="3220"/>
    </row>
    <row r="183" spans="1:7">
      <c r="A183" s="3213" t="s">
        <v>1153</v>
      </c>
      <c r="B183" s="3202" t="s">
        <v>3052</v>
      </c>
      <c r="C183" s="3214"/>
      <c r="D183" s="3214"/>
      <c r="E183" s="3214"/>
      <c r="F183" s="3203">
        <v>0.05</v>
      </c>
      <c r="G183" s="3220"/>
    </row>
    <row r="184" spans="1:7">
      <c r="A184" s="3213" t="s">
        <v>1153</v>
      </c>
      <c r="B184" s="3202" t="s">
        <v>3053</v>
      </c>
      <c r="C184" s="3214"/>
      <c r="D184" s="3214"/>
      <c r="E184" s="3214"/>
      <c r="F184" s="3203">
        <v>0.05</v>
      </c>
      <c r="G184" s="3220"/>
    </row>
    <row r="185" spans="1:7">
      <c r="A185" s="3213" t="s">
        <v>1153</v>
      </c>
      <c r="B185" s="3202" t="s">
        <v>3054</v>
      </c>
      <c r="C185" s="3214"/>
      <c r="D185" s="3214"/>
      <c r="E185" s="3214"/>
      <c r="F185" s="3203">
        <v>0.05</v>
      </c>
      <c r="G185" s="3220"/>
    </row>
    <row r="186" spans="1:7">
      <c r="A186" s="3213" t="s">
        <v>1153</v>
      </c>
      <c r="B186" s="3202" t="s">
        <v>3055</v>
      </c>
      <c r="C186" s="3214"/>
      <c r="D186" s="3214"/>
      <c r="E186" s="3214"/>
      <c r="F186" s="3203">
        <v>0.05</v>
      </c>
      <c r="G186" s="3220"/>
    </row>
    <row r="187" spans="1:7">
      <c r="A187" s="3213" t="s">
        <v>1153</v>
      </c>
      <c r="B187" s="3202" t="s">
        <v>3056</v>
      </c>
      <c r="C187" s="3214"/>
      <c r="D187" s="3214"/>
      <c r="E187" s="3214"/>
      <c r="F187" s="3203">
        <v>0.05</v>
      </c>
      <c r="G187" s="3220"/>
    </row>
    <row r="188" spans="1:7">
      <c r="A188" s="3213" t="s">
        <v>1153</v>
      </c>
      <c r="B188" s="3202" t="s">
        <v>3057</v>
      </c>
      <c r="C188" s="3214"/>
      <c r="D188" s="3214"/>
      <c r="E188" s="3214"/>
      <c r="F188" s="3203">
        <v>0.05</v>
      </c>
      <c r="G188" s="3220"/>
    </row>
    <row r="189" spans="1:7" ht="14.25" thickBot="1">
      <c r="A189" s="3216" t="s">
        <v>1153</v>
      </c>
      <c r="B189" s="3206" t="s">
        <v>3058</v>
      </c>
      <c r="C189" s="3208"/>
      <c r="D189" s="3208"/>
      <c r="E189" s="3208"/>
      <c r="F189" s="3207">
        <v>0.05</v>
      </c>
      <c r="G189" s="3221"/>
    </row>
    <row r="190" spans="1:7">
      <c r="A190" s="3212" t="s">
        <v>1154</v>
      </c>
      <c r="B190" s="3198" t="s">
        <v>3059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3060</v>
      </c>
      <c r="C199" s="3203">
        <v>0.13</v>
      </c>
      <c r="D199" s="3203">
        <v>0.13</v>
      </c>
      <c r="E199" s="3203">
        <v>0.13</v>
      </c>
      <c r="F199" s="3203">
        <v>0.13</v>
      </c>
      <c r="G199" s="3204">
        <v>0.13</v>
      </c>
    </row>
    <row r="200" spans="1:7">
      <c r="A200" s="3213" t="s">
        <v>1154</v>
      </c>
      <c r="B200" s="3202" t="s">
        <v>2875</v>
      </c>
      <c r="C200" s="3219"/>
      <c r="D200" s="3219"/>
      <c r="E200" s="3219"/>
      <c r="F200" s="3203">
        <v>0.13</v>
      </c>
      <c r="G200" s="3215"/>
    </row>
    <row r="201" spans="1:7">
      <c r="A201" s="3213" t="s">
        <v>1154</v>
      </c>
      <c r="B201" s="3202" t="s">
        <v>3061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3062</v>
      </c>
      <c r="C203" s="3203">
        <v>0.129</v>
      </c>
      <c r="D203" s="3203">
        <v>0.129</v>
      </c>
      <c r="E203" s="3203">
        <v>0.13</v>
      </c>
      <c r="F203" s="3203">
        <v>0.13</v>
      </c>
      <c r="G203" s="3204">
        <v>0.13</v>
      </c>
    </row>
    <row r="204" spans="1:7">
      <c r="A204" s="3213" t="s">
        <v>1154</v>
      </c>
      <c r="B204" s="3202" t="s">
        <v>2878</v>
      </c>
      <c r="C204" s="3203">
        <v>0.129</v>
      </c>
      <c r="D204" s="3203">
        <v>0.129</v>
      </c>
      <c r="E204" s="3203">
        <v>0.123</v>
      </c>
      <c r="F204" s="3203">
        <v>0.13</v>
      </c>
      <c r="G204" s="3204">
        <v>0.13</v>
      </c>
    </row>
    <row r="205" spans="1:7">
      <c r="A205" s="3213" t="s">
        <v>1154</v>
      </c>
      <c r="B205" s="3202" t="s">
        <v>2879</v>
      </c>
      <c r="C205" s="3203">
        <v>0.13</v>
      </c>
      <c r="D205" s="3203">
        <v>0.13</v>
      </c>
      <c r="E205" s="3203">
        <v>0.13</v>
      </c>
      <c r="F205" s="3203">
        <v>0.13</v>
      </c>
      <c r="G205" s="3204">
        <v>0.13</v>
      </c>
    </row>
    <row r="206" spans="1:7">
      <c r="A206" s="3213" t="s">
        <v>1154</v>
      </c>
      <c r="B206" s="3202" t="s">
        <v>2880</v>
      </c>
      <c r="C206" s="3203">
        <v>0.13</v>
      </c>
      <c r="D206" s="3203">
        <v>0.13</v>
      </c>
      <c r="E206" s="3203">
        <v>0.13</v>
      </c>
      <c r="F206" s="3203">
        <v>0.128</v>
      </c>
      <c r="G206" s="3204">
        <v>0.13</v>
      </c>
    </row>
    <row r="207" spans="1:7">
      <c r="A207" s="3213" t="s">
        <v>1154</v>
      </c>
      <c r="B207" s="3202" t="s">
        <v>2881</v>
      </c>
      <c r="C207" s="3203">
        <v>0.13</v>
      </c>
      <c r="D207" s="3203">
        <v>0.13</v>
      </c>
      <c r="E207" s="3203">
        <v>0.13</v>
      </c>
      <c r="F207" s="3203">
        <v>0.13</v>
      </c>
      <c r="G207" s="3204">
        <v>0.13</v>
      </c>
    </row>
    <row r="208" spans="1:7">
      <c r="A208" s="3213" t="s">
        <v>1154</v>
      </c>
      <c r="B208" s="3202" t="s">
        <v>3063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2883</v>
      </c>
      <c r="C210" s="3203">
        <v>0.121</v>
      </c>
      <c r="D210" s="3203">
        <v>0.121</v>
      </c>
      <c r="E210" s="3203">
        <v>0.125</v>
      </c>
      <c r="F210" s="3203">
        <v>0.13</v>
      </c>
      <c r="G210" s="3204">
        <v>0.123</v>
      </c>
    </row>
    <row r="211" spans="1:7">
      <c r="A211" s="3213" t="s">
        <v>1154</v>
      </c>
      <c r="B211" s="3202" t="s">
        <v>3064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3065</v>
      </c>
      <c r="C214" s="3203">
        <v>0.128</v>
      </c>
      <c r="D214" s="3203">
        <v>0.128</v>
      </c>
      <c r="E214" s="3203">
        <v>0.13</v>
      </c>
      <c r="F214" s="3203">
        <v>0.13</v>
      </c>
      <c r="G214" s="3204">
        <v>0.13</v>
      </c>
    </row>
    <row r="215" spans="1:7">
      <c r="A215" s="3213" t="s">
        <v>1154</v>
      </c>
      <c r="B215" s="3202" t="s">
        <v>3066</v>
      </c>
      <c r="C215" s="3203">
        <v>0.13</v>
      </c>
      <c r="D215" s="3203">
        <v>0.13</v>
      </c>
      <c r="E215" s="3203">
        <v>0.13</v>
      </c>
      <c r="F215" s="3203">
        <v>0.129</v>
      </c>
      <c r="G215" s="3204">
        <v>0.13</v>
      </c>
    </row>
    <row r="216" spans="1:7">
      <c r="A216" s="3213" t="s">
        <v>1154</v>
      </c>
      <c r="B216" s="3202" t="s">
        <v>3067</v>
      </c>
      <c r="C216" s="3203">
        <v>0.13</v>
      </c>
      <c r="D216" s="3203">
        <v>0.13</v>
      </c>
      <c r="E216" s="3203">
        <v>0.13</v>
      </c>
      <c r="F216" s="3203">
        <v>0.13</v>
      </c>
      <c r="G216" s="3204">
        <v>0.13</v>
      </c>
    </row>
    <row r="217" spans="1:7">
      <c r="A217" s="3213" t="s">
        <v>1154</v>
      </c>
      <c r="B217" s="3202" t="s">
        <v>2887</v>
      </c>
      <c r="C217" s="3203">
        <v>0.129</v>
      </c>
      <c r="D217" s="3203">
        <v>0.129</v>
      </c>
      <c r="E217" s="3203">
        <v>0.13</v>
      </c>
      <c r="F217" s="3203">
        <v>0.13</v>
      </c>
      <c r="G217" s="3204">
        <v>0.13</v>
      </c>
    </row>
    <row r="218" spans="1:7">
      <c r="A218" s="3213" t="s">
        <v>1154</v>
      </c>
      <c r="B218" s="3202" t="s">
        <v>3068</v>
      </c>
      <c r="C218" s="3214"/>
      <c r="D218" s="3214"/>
      <c r="E218" s="3214"/>
      <c r="F218" s="3203">
        <v>0.05</v>
      </c>
      <c r="G218" s="3220"/>
    </row>
    <row r="219" spans="1:7">
      <c r="A219" s="3213" t="s">
        <v>1154</v>
      </c>
      <c r="B219" s="3202" t="s">
        <v>3069</v>
      </c>
      <c r="C219" s="3214"/>
      <c r="D219" s="3214"/>
      <c r="E219" s="3214"/>
      <c r="F219" s="3203">
        <v>0.05</v>
      </c>
      <c r="G219" s="3220"/>
    </row>
    <row r="220" spans="1:7">
      <c r="A220" s="3213" t="s">
        <v>1154</v>
      </c>
      <c r="B220" s="3202" t="s">
        <v>3070</v>
      </c>
      <c r="C220" s="3214"/>
      <c r="D220" s="3214"/>
      <c r="E220" s="3214"/>
      <c r="F220" s="3203">
        <v>0.05</v>
      </c>
      <c r="G220" s="3220"/>
    </row>
    <row r="221" spans="1:7">
      <c r="A221" s="3213" t="s">
        <v>1154</v>
      </c>
      <c r="B221" s="3202" t="s">
        <v>3071</v>
      </c>
      <c r="C221" s="3214"/>
      <c r="D221" s="3214"/>
      <c r="E221" s="3214"/>
      <c r="F221" s="3203">
        <v>0.05</v>
      </c>
      <c r="G221" s="3220"/>
    </row>
    <row r="222" spans="1:7">
      <c r="A222" s="3213" t="s">
        <v>1154</v>
      </c>
      <c r="B222" s="3202" t="s">
        <v>3072</v>
      </c>
      <c r="C222" s="3214"/>
      <c r="D222" s="3214"/>
      <c r="E222" s="3214"/>
      <c r="F222" s="3203">
        <v>0.05</v>
      </c>
      <c r="G222" s="3220"/>
    </row>
    <row r="223" spans="1:7">
      <c r="A223" s="3213" t="s">
        <v>1154</v>
      </c>
      <c r="B223" s="3202" t="s">
        <v>3073</v>
      </c>
      <c r="C223" s="3214"/>
      <c r="D223" s="3214"/>
      <c r="E223" s="3214"/>
      <c r="F223" s="3203">
        <v>0.05</v>
      </c>
      <c r="G223" s="3220"/>
    </row>
    <row r="224" spans="1:7">
      <c r="A224" s="3213" t="s">
        <v>1154</v>
      </c>
      <c r="B224" s="3202" t="s">
        <v>3074</v>
      </c>
      <c r="C224" s="3214"/>
      <c r="D224" s="3214"/>
      <c r="E224" s="3214"/>
      <c r="F224" s="3203">
        <v>0.05</v>
      </c>
      <c r="G224" s="3220"/>
    </row>
    <row r="225" spans="1:7">
      <c r="A225" s="3213" t="s">
        <v>1154</v>
      </c>
      <c r="B225" s="3202" t="s">
        <v>3075</v>
      </c>
      <c r="C225" s="3214"/>
      <c r="D225" s="3214"/>
      <c r="E225" s="3214"/>
      <c r="F225" s="3203">
        <v>0.05</v>
      </c>
      <c r="G225" s="3220"/>
    </row>
    <row r="226" spans="1:7">
      <c r="A226" s="3213" t="s">
        <v>1154</v>
      </c>
      <c r="B226" s="3202" t="s">
        <v>3076</v>
      </c>
      <c r="C226" s="3214"/>
      <c r="D226" s="3214"/>
      <c r="E226" s="3214"/>
      <c r="F226" s="3203">
        <v>0.05</v>
      </c>
      <c r="G226" s="3220"/>
    </row>
    <row r="227" spans="1:7">
      <c r="A227" s="3213" t="s">
        <v>1154</v>
      </c>
      <c r="B227" s="3202" t="s">
        <v>3077</v>
      </c>
      <c r="C227" s="3214"/>
      <c r="D227" s="3214"/>
      <c r="E227" s="3214"/>
      <c r="F227" s="3203">
        <v>0.05</v>
      </c>
      <c r="G227" s="3220"/>
    </row>
    <row r="228" spans="1:7">
      <c r="A228" s="3213" t="s">
        <v>1154</v>
      </c>
      <c r="B228" s="3202" t="s">
        <v>3078</v>
      </c>
      <c r="C228" s="3214"/>
      <c r="D228" s="3214"/>
      <c r="E228" s="3214"/>
      <c r="F228" s="3203">
        <v>0.05</v>
      </c>
      <c r="G228" s="3220"/>
    </row>
    <row r="229" spans="1:7">
      <c r="A229" s="3213" t="s">
        <v>1154</v>
      </c>
      <c r="B229" s="3202" t="s">
        <v>3079</v>
      </c>
      <c r="C229" s="3214"/>
      <c r="D229" s="3214"/>
      <c r="E229" s="3214"/>
      <c r="F229" s="3203">
        <v>0.05</v>
      </c>
      <c r="G229" s="3220"/>
    </row>
    <row r="230" spans="1:7">
      <c r="A230" s="3213" t="s">
        <v>1154</v>
      </c>
      <c r="B230" s="3202" t="s">
        <v>3080</v>
      </c>
      <c r="C230" s="3214"/>
      <c r="D230" s="3214"/>
      <c r="E230" s="3214"/>
      <c r="F230" s="3203">
        <v>0.05</v>
      </c>
      <c r="G230" s="3220"/>
    </row>
    <row r="231" spans="1:7">
      <c r="A231" s="3213" t="s">
        <v>1154</v>
      </c>
      <c r="B231" s="3202" t="s">
        <v>3081</v>
      </c>
      <c r="C231" s="3214"/>
      <c r="D231" s="3214"/>
      <c r="E231" s="3214"/>
      <c r="F231" s="3203">
        <v>0.05</v>
      </c>
      <c r="G231" s="3220"/>
    </row>
    <row r="232" spans="1:7">
      <c r="A232" s="3213" t="s">
        <v>1154</v>
      </c>
      <c r="B232" s="3202" t="s">
        <v>3082</v>
      </c>
      <c r="C232" s="3214"/>
      <c r="D232" s="3214"/>
      <c r="E232" s="3214"/>
      <c r="F232" s="3203">
        <v>0.05</v>
      </c>
      <c r="G232" s="3220"/>
    </row>
    <row r="233" spans="1:7" ht="14.25" thickBot="1">
      <c r="A233" s="3216" t="s">
        <v>1154</v>
      </c>
      <c r="B233" s="3206" t="s">
        <v>3083</v>
      </c>
      <c r="C233" s="3208"/>
      <c r="D233" s="3208"/>
      <c r="E233" s="3208"/>
      <c r="F233" s="3207">
        <v>0.05</v>
      </c>
      <c r="G233" s="3221"/>
    </row>
    <row r="234" spans="1:7">
      <c r="A234" s="3212" t="s">
        <v>1155</v>
      </c>
      <c r="B234" s="3198" t="s">
        <v>3084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2905</v>
      </c>
      <c r="C238" s="3203">
        <v>0.14899999999999999</v>
      </c>
      <c r="D238" s="3203">
        <v>0.14899999999999999</v>
      </c>
      <c r="E238" s="3203">
        <v>0.15</v>
      </c>
      <c r="F238" s="3203">
        <v>0.15</v>
      </c>
      <c r="G238" s="3204">
        <v>0.15</v>
      </c>
    </row>
    <row r="239" spans="1:7">
      <c r="A239" s="3213" t="s">
        <v>1155</v>
      </c>
      <c r="B239" s="3202" t="s">
        <v>3085</v>
      </c>
      <c r="C239" s="3203">
        <v>0.15</v>
      </c>
      <c r="D239" s="3203">
        <v>0.15</v>
      </c>
      <c r="E239" s="3203">
        <v>0.15</v>
      </c>
      <c r="F239" s="3203">
        <v>0.15</v>
      </c>
      <c r="G239" s="3204">
        <v>0.15</v>
      </c>
    </row>
    <row r="240" spans="1:7">
      <c r="A240" s="3213" t="s">
        <v>1155</v>
      </c>
      <c r="B240" s="3202" t="s">
        <v>3086</v>
      </c>
      <c r="C240" s="3203">
        <v>0.15</v>
      </c>
      <c r="D240" s="3203">
        <v>0.15</v>
      </c>
      <c r="E240" s="3203">
        <v>0.15</v>
      </c>
      <c r="F240" s="3203">
        <v>0.15</v>
      </c>
      <c r="G240" s="3204">
        <v>0.15</v>
      </c>
    </row>
    <row r="241" spans="1:7">
      <c r="A241" s="3213" t="s">
        <v>1155</v>
      </c>
      <c r="B241" s="3202" t="s">
        <v>3087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3088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3089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3090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3091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3092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2914</v>
      </c>
      <c r="C258" s="3203">
        <v>0.14299999999999999</v>
      </c>
      <c r="D258" s="3203">
        <v>0.14299999999999999</v>
      </c>
      <c r="E258" s="3203">
        <v>0.15</v>
      </c>
      <c r="F258" s="3203">
        <v>0.14799999999999999</v>
      </c>
      <c r="G258" s="3204">
        <v>0.14599999999999999</v>
      </c>
    </row>
    <row r="259" spans="1:7">
      <c r="A259" s="3213" t="s">
        <v>1155</v>
      </c>
      <c r="B259" s="3202" t="s">
        <v>3093</v>
      </c>
      <c r="C259" s="3203">
        <v>0.14399999999999999</v>
      </c>
      <c r="D259" s="3203">
        <v>0.14399999999999999</v>
      </c>
      <c r="E259" s="3203">
        <v>0.14899999999999999</v>
      </c>
      <c r="F259" s="3203">
        <v>0.14699999999999999</v>
      </c>
      <c r="G259" s="3204">
        <v>0.14599999999999999</v>
      </c>
    </row>
    <row r="260" spans="1:7">
      <c r="A260" s="3213" t="s">
        <v>1155</v>
      </c>
      <c r="B260" s="3202" t="s">
        <v>3094</v>
      </c>
      <c r="C260" s="3203">
        <v>0.109</v>
      </c>
      <c r="D260" s="3203">
        <v>0.111</v>
      </c>
      <c r="E260" s="3203">
        <v>0.13100000000000001</v>
      </c>
      <c r="F260" s="3203">
        <v>0.126</v>
      </c>
      <c r="G260" s="3204">
        <v>0.11899999999999999</v>
      </c>
    </row>
    <row r="261" spans="1:7">
      <c r="A261" s="3213" t="s">
        <v>1155</v>
      </c>
      <c r="B261" s="3202" t="s">
        <v>3095</v>
      </c>
      <c r="C261" s="3203">
        <v>0.1</v>
      </c>
      <c r="D261" s="3203">
        <v>0.1</v>
      </c>
      <c r="E261" s="3203">
        <v>0.11799999999999999</v>
      </c>
      <c r="F261" s="3203">
        <v>0.108</v>
      </c>
      <c r="G261" s="3204">
        <v>0.107</v>
      </c>
    </row>
    <row r="262" spans="1:7">
      <c r="A262" s="3213" t="s">
        <v>1155</v>
      </c>
      <c r="B262" s="3202" t="s">
        <v>3096</v>
      </c>
      <c r="C262" s="3203">
        <v>0.1</v>
      </c>
      <c r="D262" s="3203">
        <v>0.1</v>
      </c>
      <c r="E262" s="3203">
        <v>0.1</v>
      </c>
      <c r="F262" s="3203">
        <v>0.14099999999999999</v>
      </c>
      <c r="G262" s="3204">
        <v>0.1</v>
      </c>
    </row>
    <row r="263" spans="1:7">
      <c r="A263" s="3213" t="s">
        <v>1155</v>
      </c>
      <c r="B263" s="3202" t="s">
        <v>3097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3098</v>
      </c>
      <c r="C265" s="3214"/>
      <c r="D265" s="3214"/>
      <c r="E265" s="3214"/>
      <c r="F265" s="3203">
        <v>0.05</v>
      </c>
      <c r="G265" s="3220"/>
    </row>
    <row r="266" spans="1:7">
      <c r="A266" s="3213" t="s">
        <v>1155</v>
      </c>
      <c r="B266" s="3202" t="s">
        <v>3099</v>
      </c>
      <c r="C266" s="3214"/>
      <c r="D266" s="3214"/>
      <c r="E266" s="3214"/>
      <c r="F266" s="3203">
        <v>0.05</v>
      </c>
      <c r="G266" s="3220"/>
    </row>
    <row r="267" spans="1:7">
      <c r="A267" s="3213" t="s">
        <v>1155</v>
      </c>
      <c r="B267" s="3202" t="s">
        <v>3100</v>
      </c>
      <c r="C267" s="3214"/>
      <c r="D267" s="3214"/>
      <c r="E267" s="3214"/>
      <c r="F267" s="3203">
        <v>0.05</v>
      </c>
      <c r="G267" s="3220"/>
    </row>
    <row r="268" spans="1:7">
      <c r="A268" s="3213" t="s">
        <v>1155</v>
      </c>
      <c r="B268" s="3202" t="s">
        <v>3101</v>
      </c>
      <c r="C268" s="3214"/>
      <c r="D268" s="3214"/>
      <c r="E268" s="3214"/>
      <c r="F268" s="3203">
        <v>0.05</v>
      </c>
      <c r="G268" s="3220"/>
    </row>
    <row r="269" spans="1:7">
      <c r="A269" s="3213" t="s">
        <v>1155</v>
      </c>
      <c r="B269" s="3202" t="s">
        <v>3102</v>
      </c>
      <c r="C269" s="3214"/>
      <c r="D269" s="3214"/>
      <c r="E269" s="3214"/>
      <c r="F269" s="3203">
        <v>0.05</v>
      </c>
      <c r="G269" s="3220"/>
    </row>
    <row r="270" spans="1:7">
      <c r="A270" s="3213" t="s">
        <v>1155</v>
      </c>
      <c r="B270" s="3202" t="s">
        <v>3103</v>
      </c>
      <c r="C270" s="3214"/>
      <c r="D270" s="3214"/>
      <c r="E270" s="3214"/>
      <c r="F270" s="3203">
        <v>0.05</v>
      </c>
      <c r="G270" s="3220"/>
    </row>
    <row r="271" spans="1:7">
      <c r="A271" s="3213" t="s">
        <v>1155</v>
      </c>
      <c r="B271" s="3202" t="s">
        <v>3104</v>
      </c>
      <c r="C271" s="3214"/>
      <c r="D271" s="3214"/>
      <c r="E271" s="3214"/>
      <c r="F271" s="3203">
        <v>0.05</v>
      </c>
      <c r="G271" s="3220"/>
    </row>
    <row r="272" spans="1:7">
      <c r="A272" s="3213" t="s">
        <v>1155</v>
      </c>
      <c r="B272" s="3202" t="s">
        <v>3105</v>
      </c>
      <c r="C272" s="3214"/>
      <c r="D272" s="3214"/>
      <c r="E272" s="3214"/>
      <c r="F272" s="3203">
        <v>0.05</v>
      </c>
      <c r="G272" s="3220"/>
    </row>
    <row r="273" spans="1:7">
      <c r="A273" s="3213" t="s">
        <v>1155</v>
      </c>
      <c r="B273" s="3202" t="s">
        <v>3106</v>
      </c>
      <c r="C273" s="3214"/>
      <c r="D273" s="3214"/>
      <c r="E273" s="3214"/>
      <c r="F273" s="3203">
        <v>0.05</v>
      </c>
      <c r="G273" s="3220"/>
    </row>
    <row r="274" spans="1:7">
      <c r="A274" s="3213" t="s">
        <v>1155</v>
      </c>
      <c r="B274" s="3202" t="s">
        <v>3107</v>
      </c>
      <c r="C274" s="3214"/>
      <c r="D274" s="3214"/>
      <c r="E274" s="3214"/>
      <c r="F274" s="3203">
        <v>0.05</v>
      </c>
      <c r="G274" s="3220"/>
    </row>
    <row r="275" spans="1:7">
      <c r="A275" s="3213" t="s">
        <v>1155</v>
      </c>
      <c r="B275" s="3202" t="s">
        <v>3108</v>
      </c>
      <c r="C275" s="3214"/>
      <c r="D275" s="3214"/>
      <c r="E275" s="3214"/>
      <c r="F275" s="3203">
        <v>0.05</v>
      </c>
      <c r="G275" s="3220"/>
    </row>
    <row r="276" spans="1:7" ht="14.25" thickBot="1">
      <c r="A276" s="3216" t="s">
        <v>1155</v>
      </c>
      <c r="B276" s="3206" t="s">
        <v>3109</v>
      </c>
      <c r="C276" s="3208"/>
      <c r="D276" s="3208"/>
      <c r="E276" s="3208"/>
      <c r="F276" s="3207">
        <v>0.05</v>
      </c>
      <c r="G276" s="3221"/>
    </row>
    <row r="277" spans="1:7">
      <c r="A277" s="3212" t="s">
        <v>1156</v>
      </c>
      <c r="B277" s="3198" t="s">
        <v>3110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3111</v>
      </c>
      <c r="C279" s="3203">
        <v>0.15</v>
      </c>
      <c r="D279" s="3203">
        <v>0.15</v>
      </c>
      <c r="E279" s="3203">
        <v>0.15</v>
      </c>
      <c r="F279" s="3203">
        <v>0.15</v>
      </c>
      <c r="G279" s="3204">
        <v>0.15</v>
      </c>
    </row>
    <row r="280" spans="1:7">
      <c r="A280" s="3213" t="s">
        <v>1156</v>
      </c>
      <c r="B280" s="3202" t="s">
        <v>3112</v>
      </c>
      <c r="C280" s="3203">
        <v>0.15</v>
      </c>
      <c r="D280" s="3203">
        <v>0.15</v>
      </c>
      <c r="E280" s="3203">
        <v>0.15</v>
      </c>
      <c r="F280" s="3203">
        <v>0.15</v>
      </c>
      <c r="G280" s="3204">
        <v>0.15</v>
      </c>
    </row>
    <row r="281" spans="1:7">
      <c r="A281" s="3213" t="s">
        <v>1156</v>
      </c>
      <c r="B281" s="3202" t="s">
        <v>3113</v>
      </c>
      <c r="C281" s="3203">
        <v>0.15</v>
      </c>
      <c r="D281" s="3203">
        <v>0.15</v>
      </c>
      <c r="E281" s="3203">
        <v>0.15</v>
      </c>
      <c r="F281" s="3203">
        <v>0.15</v>
      </c>
      <c r="G281" s="3204">
        <v>0.15</v>
      </c>
    </row>
    <row r="282" spans="1:7">
      <c r="A282" s="3213" t="s">
        <v>1156</v>
      </c>
      <c r="B282" s="3202" t="s">
        <v>3114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3115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3116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2939</v>
      </c>
      <c r="C293" s="3203">
        <v>0.15</v>
      </c>
      <c r="D293" s="3203">
        <v>0.15</v>
      </c>
      <c r="E293" s="3203">
        <v>0.15</v>
      </c>
      <c r="F293" s="3203">
        <v>0.14499999999999999</v>
      </c>
      <c r="G293" s="3204">
        <v>0.15</v>
      </c>
    </row>
    <row r="294" spans="1:7">
      <c r="A294" s="3213" t="s">
        <v>1156</v>
      </c>
      <c r="B294" s="3202" t="s">
        <v>3117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2941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3118</v>
      </c>
      <c r="C302" s="3203">
        <v>0.15</v>
      </c>
      <c r="D302" s="3203">
        <v>0.15</v>
      </c>
      <c r="E302" s="3203">
        <v>0.15</v>
      </c>
      <c r="F302" s="3203">
        <v>0.14699999999999999</v>
      </c>
      <c r="G302" s="3204">
        <v>0.15</v>
      </c>
    </row>
    <row r="303" spans="1:7">
      <c r="A303" s="3213" t="s">
        <v>1156</v>
      </c>
      <c r="B303" s="3202" t="s">
        <v>2943</v>
      </c>
      <c r="C303" s="3203">
        <v>0.15</v>
      </c>
      <c r="D303" s="3203">
        <v>0.15</v>
      </c>
      <c r="E303" s="3203">
        <v>0.15</v>
      </c>
      <c r="F303" s="3203">
        <v>0.14199999999999999</v>
      </c>
      <c r="G303" s="3204">
        <v>0.15</v>
      </c>
    </row>
    <row r="304" spans="1:7">
      <c r="A304" s="3213" t="s">
        <v>1156</v>
      </c>
      <c r="B304" s="3202" t="s">
        <v>2944</v>
      </c>
      <c r="C304" s="3203">
        <v>0.15</v>
      </c>
      <c r="D304" s="3203">
        <v>0.15</v>
      </c>
      <c r="E304" s="3203">
        <v>0.15</v>
      </c>
      <c r="F304" s="3203">
        <v>0.14499999999999999</v>
      </c>
      <c r="G304" s="3204">
        <v>0.15</v>
      </c>
    </row>
    <row r="305" spans="1:7">
      <c r="A305" s="3213" t="s">
        <v>1156</v>
      </c>
      <c r="B305" s="3202" t="s">
        <v>2945</v>
      </c>
      <c r="C305" s="3203">
        <v>0.15</v>
      </c>
      <c r="D305" s="3203">
        <v>0.15</v>
      </c>
      <c r="E305" s="3203">
        <v>0.15</v>
      </c>
      <c r="F305" s="3203">
        <v>0.111</v>
      </c>
      <c r="G305" s="3204">
        <v>0.15</v>
      </c>
    </row>
    <row r="306" spans="1:7">
      <c r="A306" s="3213" t="s">
        <v>1156</v>
      </c>
      <c r="B306" s="3202" t="s">
        <v>3119</v>
      </c>
      <c r="C306" s="3203">
        <v>0.15</v>
      </c>
      <c r="D306" s="3203">
        <v>0.15</v>
      </c>
      <c r="E306" s="3203">
        <v>0.15</v>
      </c>
      <c r="F306" s="3203">
        <v>0.126</v>
      </c>
      <c r="G306" s="3204">
        <v>0.15</v>
      </c>
    </row>
    <row r="307" spans="1:7">
      <c r="A307" s="3213" t="s">
        <v>1156</v>
      </c>
      <c r="B307" s="3202" t="s">
        <v>2947</v>
      </c>
      <c r="C307" s="3203">
        <v>0.15</v>
      </c>
      <c r="D307" s="3203">
        <v>0.15</v>
      </c>
      <c r="E307" s="3203">
        <v>0.15</v>
      </c>
      <c r="F307" s="3203">
        <v>0.12</v>
      </c>
      <c r="G307" s="3204">
        <v>0.15</v>
      </c>
    </row>
    <row r="308" spans="1:7">
      <c r="A308" s="3213" t="s">
        <v>1156</v>
      </c>
      <c r="B308" s="3202" t="s">
        <v>3120</v>
      </c>
      <c r="C308" s="3203">
        <v>0.15</v>
      </c>
      <c r="D308" s="3203">
        <v>0.15</v>
      </c>
      <c r="E308" s="3203">
        <v>0.15</v>
      </c>
      <c r="F308" s="3203">
        <v>0.13</v>
      </c>
      <c r="G308" s="3204">
        <v>0.15</v>
      </c>
    </row>
    <row r="309" spans="1:7">
      <c r="A309" s="3213" t="s">
        <v>1156</v>
      </c>
      <c r="B309" s="3202" t="s">
        <v>3121</v>
      </c>
      <c r="C309" s="3203">
        <v>0.15</v>
      </c>
      <c r="D309" s="3203">
        <v>0.15</v>
      </c>
      <c r="E309" s="3203">
        <v>0.15</v>
      </c>
      <c r="F309" s="3203">
        <v>0.14099999999999999</v>
      </c>
      <c r="G309" s="3204">
        <v>0.15</v>
      </c>
    </row>
    <row r="310" spans="1:7">
      <c r="A310" s="3213" t="s">
        <v>1156</v>
      </c>
      <c r="B310" s="3202" t="s">
        <v>2950</v>
      </c>
      <c r="C310" s="3203">
        <v>0.15</v>
      </c>
      <c r="D310" s="3203">
        <v>0.15</v>
      </c>
      <c r="E310" s="3203">
        <v>0.15</v>
      </c>
      <c r="F310" s="3203">
        <v>0.15</v>
      </c>
      <c r="G310" s="3204">
        <v>0.15</v>
      </c>
    </row>
    <row r="311" spans="1:7">
      <c r="A311" s="3213" t="s">
        <v>1156</v>
      </c>
      <c r="B311" s="3202" t="s">
        <v>3122</v>
      </c>
      <c r="C311" s="3203">
        <v>0.13200000000000001</v>
      </c>
      <c r="D311" s="3203">
        <v>0.13300000000000001</v>
      </c>
      <c r="E311" s="3203">
        <v>0.14499999999999999</v>
      </c>
      <c r="F311" s="3203">
        <v>0.14199999999999999</v>
      </c>
      <c r="G311" s="3204">
        <v>0.14000000000000001</v>
      </c>
    </row>
    <row r="312" spans="1:7">
      <c r="A312" s="3213" t="s">
        <v>1156</v>
      </c>
      <c r="B312" s="3202" t="s">
        <v>2952</v>
      </c>
      <c r="C312" s="3203">
        <v>0.13800000000000001</v>
      </c>
      <c r="D312" s="3203">
        <v>0.14000000000000001</v>
      </c>
      <c r="E312" s="3203">
        <v>0.14599999999999999</v>
      </c>
      <c r="F312" s="3203">
        <v>0.14899999999999999</v>
      </c>
      <c r="G312" s="3204">
        <v>0.14199999999999999</v>
      </c>
    </row>
    <row r="313" spans="1:7">
      <c r="A313" s="3213" t="s">
        <v>1156</v>
      </c>
      <c r="B313" s="3202" t="s">
        <v>2953</v>
      </c>
      <c r="C313" s="3203">
        <v>0.125</v>
      </c>
      <c r="D313" s="3203">
        <v>0.127</v>
      </c>
      <c r="E313" s="3203">
        <v>0.14399999999999999</v>
      </c>
      <c r="F313" s="3203">
        <v>0.115</v>
      </c>
      <c r="G313" s="3204">
        <v>0.13600000000000001</v>
      </c>
    </row>
    <row r="314" spans="1:7">
      <c r="A314" s="3213" t="s">
        <v>1156</v>
      </c>
      <c r="B314" s="3202" t="s">
        <v>3123</v>
      </c>
      <c r="C314" s="3219"/>
      <c r="D314" s="3219"/>
      <c r="E314" s="3219"/>
      <c r="F314" s="3203">
        <v>0.05</v>
      </c>
      <c r="G314" s="3220"/>
    </row>
    <row r="315" spans="1:7">
      <c r="A315" s="3213" t="s">
        <v>1156</v>
      </c>
      <c r="B315" s="3202" t="s">
        <v>3124</v>
      </c>
      <c r="C315" s="3219"/>
      <c r="D315" s="3219"/>
      <c r="E315" s="3219"/>
      <c r="F315" s="3203">
        <v>0.05</v>
      </c>
      <c r="G315" s="3220"/>
    </row>
    <row r="316" spans="1:7">
      <c r="A316" s="3213" t="s">
        <v>1156</v>
      </c>
      <c r="B316" s="3202" t="s">
        <v>3125</v>
      </c>
      <c r="C316" s="3214"/>
      <c r="D316" s="3214"/>
      <c r="E316" s="3214"/>
      <c r="F316" s="3203">
        <v>0.05</v>
      </c>
      <c r="G316" s="3220"/>
    </row>
    <row r="317" spans="1:7">
      <c r="A317" s="3213" t="s">
        <v>1156</v>
      </c>
      <c r="B317" s="3202" t="s">
        <v>3126</v>
      </c>
      <c r="C317" s="3214"/>
      <c r="D317" s="3214"/>
      <c r="E317" s="3214"/>
      <c r="F317" s="3203">
        <v>0.05</v>
      </c>
      <c r="G317" s="3220"/>
    </row>
    <row r="318" spans="1:7">
      <c r="A318" s="3213" t="s">
        <v>1156</v>
      </c>
      <c r="B318" s="3202" t="s">
        <v>3127</v>
      </c>
      <c r="C318" s="3214"/>
      <c r="D318" s="3214"/>
      <c r="E318" s="3214"/>
      <c r="F318" s="3203">
        <v>0.05</v>
      </c>
      <c r="G318" s="3220"/>
    </row>
    <row r="319" spans="1:7">
      <c r="A319" s="3213" t="s">
        <v>1156</v>
      </c>
      <c r="B319" s="3202" t="s">
        <v>3128</v>
      </c>
      <c r="C319" s="3214"/>
      <c r="D319" s="3214"/>
      <c r="E319" s="3214"/>
      <c r="F319" s="3203">
        <v>0.05</v>
      </c>
      <c r="G319" s="3220"/>
    </row>
    <row r="320" spans="1:7">
      <c r="A320" s="3213" t="s">
        <v>1156</v>
      </c>
      <c r="B320" s="3202" t="s">
        <v>3129</v>
      </c>
      <c r="C320" s="3214"/>
      <c r="D320" s="3214"/>
      <c r="E320" s="3214"/>
      <c r="F320" s="3203">
        <v>0.05</v>
      </c>
      <c r="G320" s="3220"/>
    </row>
    <row r="321" spans="1:7">
      <c r="A321" s="3213" t="s">
        <v>1156</v>
      </c>
      <c r="B321" s="3202" t="s">
        <v>3130</v>
      </c>
      <c r="C321" s="3214"/>
      <c r="D321" s="3214"/>
      <c r="E321" s="3214"/>
      <c r="F321" s="3203">
        <v>0.05</v>
      </c>
      <c r="G321" s="3220"/>
    </row>
    <row r="322" spans="1:7">
      <c r="A322" s="3213" t="s">
        <v>1156</v>
      </c>
      <c r="B322" s="3202" t="s">
        <v>3131</v>
      </c>
      <c r="C322" s="3214"/>
      <c r="D322" s="3214"/>
      <c r="E322" s="3214"/>
      <c r="F322" s="3203">
        <v>0.05</v>
      </c>
      <c r="G322" s="3220"/>
    </row>
    <row r="323" spans="1:7">
      <c r="A323" s="3213" t="s">
        <v>1156</v>
      </c>
      <c r="B323" s="3202" t="s">
        <v>3132</v>
      </c>
      <c r="C323" s="3214"/>
      <c r="D323" s="3214"/>
      <c r="E323" s="3214"/>
      <c r="F323" s="3203">
        <v>0.05</v>
      </c>
      <c r="G323" s="3220"/>
    </row>
    <row r="324" spans="1:7">
      <c r="A324" s="3213" t="s">
        <v>1156</v>
      </c>
      <c r="B324" s="3202" t="s">
        <v>3133</v>
      </c>
      <c r="C324" s="3214"/>
      <c r="D324" s="3214"/>
      <c r="E324" s="3214"/>
      <c r="F324" s="3203">
        <v>0.05</v>
      </c>
      <c r="G324" s="3220"/>
    </row>
    <row r="325" spans="1:7">
      <c r="A325" s="3213" t="s">
        <v>1156</v>
      </c>
      <c r="B325" s="3202" t="s">
        <v>3134</v>
      </c>
      <c r="C325" s="3214"/>
      <c r="D325" s="3214"/>
      <c r="E325" s="3214"/>
      <c r="F325" s="3203">
        <v>0.05</v>
      </c>
      <c r="G325" s="3220"/>
    </row>
    <row r="326" spans="1:7" ht="14.25" thickBot="1">
      <c r="A326" s="3216" t="s">
        <v>1156</v>
      </c>
      <c r="B326" s="3206" t="s">
        <v>3135</v>
      </c>
      <c r="C326" s="3208"/>
      <c r="D326" s="3208"/>
      <c r="E326" s="3208"/>
      <c r="F326" s="3207">
        <v>0.05</v>
      </c>
      <c r="G326" s="3221"/>
    </row>
    <row r="327" spans="1:7">
      <c r="A327" s="3212" t="s">
        <v>1157</v>
      </c>
      <c r="B327" s="3198" t="s">
        <v>3136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3137</v>
      </c>
      <c r="C329" s="3203">
        <v>0.15</v>
      </c>
      <c r="D329" s="3203">
        <v>0.15</v>
      </c>
      <c r="E329" s="3203">
        <v>0.15</v>
      </c>
      <c r="F329" s="3203">
        <v>0.15</v>
      </c>
      <c r="G329" s="3204">
        <v>0.15</v>
      </c>
    </row>
    <row r="330" spans="1:7">
      <c r="A330" s="3213" t="s">
        <v>1157</v>
      </c>
      <c r="B330" s="3202" t="s">
        <v>3138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2970</v>
      </c>
      <c r="C332" s="3203">
        <v>0.15</v>
      </c>
      <c r="D332" s="3203">
        <v>0.15</v>
      </c>
      <c r="E332" s="3203">
        <v>0.15</v>
      </c>
      <c r="F332" s="3203">
        <v>0.15</v>
      </c>
      <c r="G332" s="3204">
        <v>0.15</v>
      </c>
    </row>
    <row r="333" spans="1:7">
      <c r="A333" s="3213" t="s">
        <v>1157</v>
      </c>
      <c r="B333" s="3202" t="s">
        <v>3139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2972</v>
      </c>
      <c r="C336" s="3203">
        <v>0.15</v>
      </c>
      <c r="D336" s="3203">
        <v>0.15</v>
      </c>
      <c r="E336" s="3203">
        <v>0.15</v>
      </c>
      <c r="F336" s="3203">
        <v>0.14199999999999999</v>
      </c>
      <c r="G336" s="3204">
        <v>0.15</v>
      </c>
    </row>
    <row r="337" spans="1:7">
      <c r="A337" s="3213" t="s">
        <v>1157</v>
      </c>
      <c r="B337" s="3202" t="s">
        <v>3140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3141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3142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2976</v>
      </c>
      <c r="C345" s="3203">
        <v>0.15</v>
      </c>
      <c r="D345" s="3203">
        <v>0.15</v>
      </c>
      <c r="E345" s="3203">
        <v>0.15</v>
      </c>
      <c r="F345" s="3203">
        <v>0.13800000000000001</v>
      </c>
      <c r="G345" s="3204">
        <v>0.15</v>
      </c>
    </row>
    <row r="346" spans="1:7">
      <c r="A346" s="3213" t="s">
        <v>1157</v>
      </c>
      <c r="B346" s="3202" t="s">
        <v>3143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2978</v>
      </c>
      <c r="C348" s="3203">
        <v>0.15</v>
      </c>
      <c r="D348" s="3203">
        <v>0.15</v>
      </c>
      <c r="E348" s="3203">
        <v>0.15</v>
      </c>
      <c r="F348" s="3203">
        <v>0.14399999999999999</v>
      </c>
      <c r="G348" s="3204">
        <v>0.15</v>
      </c>
    </row>
    <row r="349" spans="1:7">
      <c r="A349" s="3213" t="s">
        <v>1157</v>
      </c>
      <c r="B349" s="3202" t="s">
        <v>2979</v>
      </c>
      <c r="C349" s="3203">
        <v>0.15</v>
      </c>
      <c r="D349" s="3203">
        <v>0.15</v>
      </c>
      <c r="E349" s="3203">
        <v>0.15</v>
      </c>
      <c r="F349" s="3203">
        <v>0.15</v>
      </c>
      <c r="G349" s="3204">
        <v>0.15</v>
      </c>
    </row>
    <row r="350" spans="1:7">
      <c r="A350" s="3213" t="s">
        <v>1157</v>
      </c>
      <c r="B350" s="3202" t="s">
        <v>3144</v>
      </c>
      <c r="C350" s="3203">
        <v>0.15</v>
      </c>
      <c r="D350" s="3203">
        <v>0.15</v>
      </c>
      <c r="E350" s="3203">
        <v>0.15</v>
      </c>
      <c r="F350" s="3203">
        <v>0.14699999999999999</v>
      </c>
      <c r="G350" s="3204">
        <v>0.15</v>
      </c>
    </row>
    <row r="351" spans="1:7">
      <c r="A351" s="3213" t="s">
        <v>1157</v>
      </c>
      <c r="B351" s="3202" t="s">
        <v>2981</v>
      </c>
      <c r="C351" s="3203">
        <v>0.15</v>
      </c>
      <c r="D351" s="3203">
        <v>0.15</v>
      </c>
      <c r="E351" s="3203">
        <v>0.15</v>
      </c>
      <c r="F351" s="3203">
        <v>0.13</v>
      </c>
      <c r="G351" s="3204">
        <v>0.15</v>
      </c>
    </row>
    <row r="352" spans="1:7">
      <c r="A352" s="3213" t="s">
        <v>1157</v>
      </c>
      <c r="B352" s="3202" t="s">
        <v>2982</v>
      </c>
      <c r="C352" s="3203">
        <v>0.15</v>
      </c>
      <c r="D352" s="3203">
        <v>0.15</v>
      </c>
      <c r="E352" s="3203">
        <v>0.15</v>
      </c>
      <c r="F352" s="3203">
        <v>0.14599999999999999</v>
      </c>
      <c r="G352" s="3204">
        <v>0.15</v>
      </c>
    </row>
    <row r="353" spans="1:7">
      <c r="A353" s="3213" t="s">
        <v>1157</v>
      </c>
      <c r="B353" s="3202" t="s">
        <v>3145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2984</v>
      </c>
      <c r="C355" s="3203">
        <v>0.15</v>
      </c>
      <c r="D355" s="3203">
        <v>0.15</v>
      </c>
      <c r="E355" s="3203">
        <v>0.15</v>
      </c>
      <c r="F355" s="3203">
        <v>0.15</v>
      </c>
      <c r="G355" s="3204">
        <v>0.15</v>
      </c>
    </row>
    <row r="356" spans="1:7">
      <c r="A356" s="3213" t="s">
        <v>1157</v>
      </c>
      <c r="B356" s="3202" t="s">
        <v>2985</v>
      </c>
      <c r="C356" s="3203">
        <v>0.15</v>
      </c>
      <c r="D356" s="3203">
        <v>0.15</v>
      </c>
      <c r="E356" s="3203">
        <v>0.15</v>
      </c>
      <c r="F356" s="3203">
        <v>0.15</v>
      </c>
      <c r="G356" s="3204">
        <v>0.15</v>
      </c>
    </row>
    <row r="357" spans="1:7" ht="14.25" thickBot="1">
      <c r="A357" s="3216" t="s">
        <v>1157</v>
      </c>
      <c r="B357" s="3206" t="s">
        <v>3146</v>
      </c>
      <c r="C357" s="3207">
        <v>0.126</v>
      </c>
      <c r="D357" s="3207">
        <v>0.127</v>
      </c>
      <c r="E357" s="3207">
        <v>0.14299999999999999</v>
      </c>
      <c r="F357" s="3207">
        <v>0.125</v>
      </c>
      <c r="G357" s="3209">
        <v>0.129</v>
      </c>
    </row>
    <row r="358" spans="1:7">
      <c r="A358" s="3212" t="s">
        <v>3147</v>
      </c>
      <c r="B358" s="3198" t="s">
        <v>3148</v>
      </c>
      <c r="C358" s="3199">
        <v>0.15</v>
      </c>
      <c r="D358" s="3199">
        <v>0.15</v>
      </c>
      <c r="E358" s="3199">
        <v>0.15</v>
      </c>
      <c r="F358" s="3199">
        <v>0.15</v>
      </c>
      <c r="G358" s="3200">
        <v>0.15</v>
      </c>
    </row>
    <row r="359" spans="1:7">
      <c r="A359" s="3213" t="s">
        <v>3147</v>
      </c>
      <c r="B359" s="3202" t="s">
        <v>3149</v>
      </c>
      <c r="C359" s="3203">
        <v>0.1</v>
      </c>
      <c r="D359" s="3203">
        <v>0.1</v>
      </c>
      <c r="E359" s="3203">
        <v>0.1</v>
      </c>
      <c r="F359" s="3203">
        <v>0.1</v>
      </c>
      <c r="G359" s="3204">
        <v>0.1</v>
      </c>
    </row>
    <row r="360" spans="1:7">
      <c r="A360" s="3213" t="s">
        <v>3147</v>
      </c>
      <c r="B360" s="3202" t="s">
        <v>3150</v>
      </c>
      <c r="C360" s="3203">
        <v>0.15</v>
      </c>
      <c r="D360" s="3203">
        <v>0.15</v>
      </c>
      <c r="E360" s="3203">
        <v>0.15</v>
      </c>
      <c r="F360" s="3203">
        <v>0.14899999999999999</v>
      </c>
      <c r="G360" s="3204">
        <v>0.15</v>
      </c>
    </row>
    <row r="361" spans="1:7">
      <c r="A361" s="3213" t="s">
        <v>3147</v>
      </c>
      <c r="B361" s="3202" t="s">
        <v>999</v>
      </c>
      <c r="C361" s="3203">
        <v>0.15</v>
      </c>
      <c r="D361" s="3203">
        <v>0.15</v>
      </c>
      <c r="E361" s="3203">
        <v>0.15</v>
      </c>
      <c r="F361" s="3203">
        <v>0.115</v>
      </c>
      <c r="G361" s="3204">
        <v>0.15</v>
      </c>
    </row>
    <row r="362" spans="1:7">
      <c r="A362" s="3213" t="s">
        <v>3147</v>
      </c>
      <c r="B362" s="3202" t="s">
        <v>3151</v>
      </c>
      <c r="C362" s="3203">
        <v>0.15</v>
      </c>
      <c r="D362" s="3203">
        <v>0.15</v>
      </c>
      <c r="E362" s="3203">
        <v>0.15</v>
      </c>
      <c r="F362" s="3203">
        <v>0.106</v>
      </c>
      <c r="G362" s="3204">
        <v>0.15</v>
      </c>
    </row>
    <row r="363" spans="1:7">
      <c r="A363" s="3213" t="s">
        <v>3147</v>
      </c>
      <c r="B363" s="3202" t="s">
        <v>2991</v>
      </c>
      <c r="C363" s="3203">
        <v>0.15</v>
      </c>
      <c r="D363" s="3203">
        <v>0.15</v>
      </c>
      <c r="E363" s="3203">
        <v>0.15</v>
      </c>
      <c r="F363" s="3203">
        <v>0.14699999999999999</v>
      </c>
      <c r="G363" s="3204">
        <v>0.15</v>
      </c>
    </row>
    <row r="364" spans="1:7">
      <c r="A364" s="3213" t="s">
        <v>3147</v>
      </c>
      <c r="B364" s="3202" t="s">
        <v>3152</v>
      </c>
      <c r="C364" s="3203">
        <v>0.15</v>
      </c>
      <c r="D364" s="3203">
        <v>0.15</v>
      </c>
      <c r="E364" s="3203">
        <v>0.15</v>
      </c>
      <c r="F364" s="3203">
        <v>0.14799999999999999</v>
      </c>
      <c r="G364" s="3204">
        <v>0.15</v>
      </c>
    </row>
    <row r="365" spans="1:7">
      <c r="A365" s="3213" t="s">
        <v>3147</v>
      </c>
      <c r="B365" s="3202" t="s">
        <v>1047</v>
      </c>
      <c r="C365" s="3203">
        <v>0.15</v>
      </c>
      <c r="D365" s="3203">
        <v>0.15</v>
      </c>
      <c r="E365" s="3203">
        <v>0.15</v>
      </c>
      <c r="F365" s="3203">
        <v>0.15</v>
      </c>
      <c r="G365" s="3204">
        <v>0.15</v>
      </c>
    </row>
    <row r="366" spans="1:7">
      <c r="A366" s="3213" t="s">
        <v>3147</v>
      </c>
      <c r="B366" s="3202" t="s">
        <v>2993</v>
      </c>
      <c r="C366" s="3203">
        <v>0.15</v>
      </c>
      <c r="D366" s="3203">
        <v>0.15</v>
      </c>
      <c r="E366" s="3203">
        <v>0.15</v>
      </c>
      <c r="F366" s="3203">
        <v>0.15</v>
      </c>
      <c r="G366" s="3204">
        <v>0.15</v>
      </c>
    </row>
    <row r="367" spans="1:7">
      <c r="A367" s="3213" t="s">
        <v>3147</v>
      </c>
      <c r="B367" s="3202" t="s">
        <v>3153</v>
      </c>
      <c r="C367" s="3203">
        <v>0.15</v>
      </c>
      <c r="D367" s="3203">
        <v>0.15</v>
      </c>
      <c r="E367" s="3203">
        <v>0.15</v>
      </c>
      <c r="F367" s="3203">
        <v>0.14699999999999999</v>
      </c>
      <c r="G367" s="3204">
        <v>0.15</v>
      </c>
    </row>
    <row r="368" spans="1:7">
      <c r="A368" s="3213" t="s">
        <v>3147</v>
      </c>
      <c r="B368" s="3202" t="s">
        <v>3154</v>
      </c>
      <c r="C368" s="3203">
        <v>0.15</v>
      </c>
      <c r="D368" s="3203">
        <v>0.15</v>
      </c>
      <c r="E368" s="3203">
        <v>0.15</v>
      </c>
      <c r="F368" s="3203">
        <v>0.13600000000000001</v>
      </c>
      <c r="G368" s="3204">
        <v>0.15</v>
      </c>
    </row>
    <row r="369" spans="1:7">
      <c r="A369" s="3213" t="s">
        <v>3147</v>
      </c>
      <c r="B369" s="3202" t="s">
        <v>1061</v>
      </c>
      <c r="C369" s="3203">
        <v>0.15</v>
      </c>
      <c r="D369" s="3203">
        <v>0.15</v>
      </c>
      <c r="E369" s="3203">
        <v>0.15</v>
      </c>
      <c r="F369" s="3203">
        <v>0.14399999999999999</v>
      </c>
      <c r="G369" s="3204">
        <v>0.15</v>
      </c>
    </row>
    <row r="370" spans="1:7">
      <c r="A370" s="3213" t="s">
        <v>3147</v>
      </c>
      <c r="B370" s="3202" t="s">
        <v>1069</v>
      </c>
      <c r="C370" s="3203">
        <v>0.15</v>
      </c>
      <c r="D370" s="3203">
        <v>0.15</v>
      </c>
      <c r="E370" s="3203">
        <v>0.15</v>
      </c>
      <c r="F370" s="3203">
        <v>0.14599999999999999</v>
      </c>
      <c r="G370" s="3204">
        <v>0.15</v>
      </c>
    </row>
    <row r="371" spans="1:7">
      <c r="A371" s="3213" t="s">
        <v>3147</v>
      </c>
      <c r="B371" s="3202" t="s">
        <v>1077</v>
      </c>
      <c r="C371" s="3203">
        <v>0.15</v>
      </c>
      <c r="D371" s="3203">
        <v>0.15</v>
      </c>
      <c r="E371" s="3203">
        <v>0.15</v>
      </c>
      <c r="F371" s="3203">
        <v>0.12</v>
      </c>
      <c r="G371" s="3204">
        <v>0.15</v>
      </c>
    </row>
    <row r="372" spans="1:7">
      <c r="A372" s="3213" t="s">
        <v>3147</v>
      </c>
      <c r="B372" s="3202" t="s">
        <v>3155</v>
      </c>
      <c r="C372" s="3203">
        <v>0.15</v>
      </c>
      <c r="D372" s="3203">
        <v>0.15</v>
      </c>
      <c r="E372" s="3203">
        <v>0.15</v>
      </c>
      <c r="F372" s="3203">
        <v>0.14299999999999999</v>
      </c>
      <c r="G372" s="3204">
        <v>0.15</v>
      </c>
    </row>
    <row r="373" spans="1:7">
      <c r="A373" s="3213" t="s">
        <v>3147</v>
      </c>
      <c r="B373" s="3202" t="s">
        <v>1106</v>
      </c>
      <c r="C373" s="3203">
        <v>0.15</v>
      </c>
      <c r="D373" s="3203">
        <v>0.15</v>
      </c>
      <c r="E373" s="3203">
        <v>0.15</v>
      </c>
      <c r="F373" s="3203">
        <v>0.14599999999999999</v>
      </c>
      <c r="G373" s="3204">
        <v>0.15</v>
      </c>
    </row>
    <row r="374" spans="1:7">
      <c r="A374" s="3213" t="s">
        <v>3147</v>
      </c>
      <c r="B374" s="3202" t="s">
        <v>1114</v>
      </c>
      <c r="C374" s="3203">
        <v>0.15</v>
      </c>
      <c r="D374" s="3203">
        <v>0.15</v>
      </c>
      <c r="E374" s="3203">
        <v>0.15</v>
      </c>
      <c r="F374" s="3203">
        <v>0.14399999999999999</v>
      </c>
      <c r="G374" s="3204">
        <v>0.15</v>
      </c>
    </row>
    <row r="375" spans="1:7">
      <c r="A375" s="3213" t="s">
        <v>3147</v>
      </c>
      <c r="B375" s="3202" t="s">
        <v>3156</v>
      </c>
      <c r="C375" s="3203">
        <v>0.15</v>
      </c>
      <c r="D375" s="3203">
        <v>0.15</v>
      </c>
      <c r="E375" s="3203">
        <v>0.15</v>
      </c>
      <c r="F375" s="3203">
        <v>0.13</v>
      </c>
      <c r="G375" s="3204">
        <v>0.15</v>
      </c>
    </row>
    <row r="376" spans="1:7">
      <c r="A376" s="3213" t="s">
        <v>3147</v>
      </c>
      <c r="B376" s="3202" t="s">
        <v>1126</v>
      </c>
      <c r="C376" s="3203">
        <v>0.15</v>
      </c>
      <c r="D376" s="3203">
        <v>0.15</v>
      </c>
      <c r="E376" s="3203">
        <v>0.15</v>
      </c>
      <c r="F376" s="3203">
        <v>0.14199999999999999</v>
      </c>
      <c r="G376" s="3204">
        <v>0.15</v>
      </c>
    </row>
    <row r="377" spans="1:7" ht="14.25" thickBot="1">
      <c r="A377" s="3216" t="s">
        <v>3147</v>
      </c>
      <c r="B377" s="3206" t="s">
        <v>2998</v>
      </c>
      <c r="C377" s="3207">
        <v>0.15</v>
      </c>
      <c r="D377" s="3207">
        <v>0.15</v>
      </c>
      <c r="E377" s="3207">
        <v>0.15</v>
      </c>
      <c r="F377" s="3207">
        <v>0.14000000000000001</v>
      </c>
      <c r="G377" s="3209">
        <v>0.15</v>
      </c>
    </row>
    <row r="378" spans="1:7">
      <c r="A378" s="3212" t="s">
        <v>3157</v>
      </c>
      <c r="B378" s="3198" t="s">
        <v>3158</v>
      </c>
      <c r="C378" s="3199">
        <v>0.15</v>
      </c>
      <c r="D378" s="3199">
        <v>0.15</v>
      </c>
      <c r="E378" s="3199">
        <v>0.15</v>
      </c>
      <c r="F378" s="3199">
        <v>0.107</v>
      </c>
      <c r="G378" s="3200">
        <v>0.15</v>
      </c>
    </row>
    <row r="379" spans="1:7">
      <c r="A379" s="3213" t="s">
        <v>3157</v>
      </c>
      <c r="B379" s="3202" t="s">
        <v>3159</v>
      </c>
      <c r="C379" s="3203">
        <v>0.15</v>
      </c>
      <c r="D379" s="3203">
        <v>0.15</v>
      </c>
      <c r="E379" s="3203">
        <v>0.15</v>
      </c>
      <c r="F379" s="3203">
        <v>0.115</v>
      </c>
      <c r="G379" s="3204">
        <v>0.14899999999999999</v>
      </c>
    </row>
    <row r="380" spans="1:7">
      <c r="A380" s="3213" t="s">
        <v>3160</v>
      </c>
      <c r="B380" s="3202" t="s">
        <v>3161</v>
      </c>
      <c r="C380" s="3203">
        <v>0.15</v>
      </c>
      <c r="D380" s="3203">
        <v>0.15</v>
      </c>
      <c r="E380" s="3203">
        <v>0.15</v>
      </c>
      <c r="F380" s="3203">
        <v>0.1</v>
      </c>
      <c r="G380" s="3204">
        <v>0.14799999999999999</v>
      </c>
    </row>
    <row r="381" spans="1:7">
      <c r="A381" s="3213" t="s">
        <v>3160</v>
      </c>
      <c r="B381" s="3202" t="s">
        <v>3162</v>
      </c>
      <c r="C381" s="3203">
        <v>0.15</v>
      </c>
      <c r="D381" s="3203">
        <v>0.15</v>
      </c>
      <c r="E381" s="3203">
        <v>0.15</v>
      </c>
      <c r="F381" s="3203">
        <v>0.126</v>
      </c>
      <c r="G381" s="3204">
        <v>0.15</v>
      </c>
    </row>
    <row r="382" spans="1:7">
      <c r="A382" s="3213" t="s">
        <v>3160</v>
      </c>
      <c r="B382" s="3202" t="s">
        <v>3163</v>
      </c>
      <c r="C382" s="3203">
        <v>0.15</v>
      </c>
      <c r="D382" s="3203">
        <v>0.15</v>
      </c>
      <c r="E382" s="3203">
        <v>0.15</v>
      </c>
      <c r="F382" s="3203">
        <v>0.15</v>
      </c>
      <c r="G382" s="3204">
        <v>0.15</v>
      </c>
    </row>
    <row r="383" spans="1:7">
      <c r="A383" s="3213" t="s">
        <v>3160</v>
      </c>
      <c r="B383" s="3202" t="s">
        <v>3164</v>
      </c>
      <c r="C383" s="3203">
        <v>0.15</v>
      </c>
      <c r="D383" s="3203">
        <v>0.15</v>
      </c>
      <c r="E383" s="3203">
        <v>0.15</v>
      </c>
      <c r="F383" s="3203">
        <v>0.14699999999999999</v>
      </c>
      <c r="G383" s="3204">
        <v>0.15</v>
      </c>
    </row>
    <row r="384" spans="1:7" ht="14.25" thickBot="1">
      <c r="A384" s="3223" t="s">
        <v>3160</v>
      </c>
      <c r="B384" s="3224" t="s">
        <v>3165</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761" t="s">
        <v>1853</v>
      </c>
      <c r="C1" s="3761"/>
      <c r="D1" s="3761"/>
      <c r="E1" s="3761"/>
      <c r="F1" s="3761"/>
      <c r="G1" s="3760" t="s">
        <v>1854</v>
      </c>
      <c r="H1" s="3760"/>
      <c r="I1" s="3760"/>
      <c r="J1" s="3760"/>
      <c r="K1" s="3760"/>
      <c r="L1" s="3760"/>
      <c r="N1" s="3760" t="s">
        <v>1855</v>
      </c>
      <c r="O1" s="3760"/>
      <c r="P1" s="3760"/>
      <c r="Q1" s="3760"/>
      <c r="S1" s="3760" t="s">
        <v>1856</v>
      </c>
      <c r="T1" s="3760"/>
      <c r="U1" s="3760"/>
      <c r="V1" s="3760"/>
      <c r="X1" s="3759" t="s">
        <v>1916</v>
      </c>
      <c r="Y1" s="3760"/>
      <c r="Z1" s="3760"/>
      <c r="AA1" s="3760"/>
      <c r="AB1" s="3760"/>
      <c r="AD1" s="3759" t="s">
        <v>1920</v>
      </c>
      <c r="AE1" s="3760"/>
      <c r="AF1" s="3760"/>
      <c r="AG1" s="3760"/>
      <c r="AH1" s="3760"/>
    </row>
    <row r="2" spans="1:34" s="2420" customFormat="1" ht="14.25" thickBot="1">
      <c r="B2" s="2421" t="s">
        <v>1857</v>
      </c>
      <c r="C2" s="2421" t="s">
        <v>1918</v>
      </c>
      <c r="D2" s="2422" t="s">
        <v>1179</v>
      </c>
      <c r="E2" s="2422" t="s">
        <v>1469</v>
      </c>
      <c r="F2" s="2421" t="s">
        <v>1919</v>
      </c>
      <c r="G2" s="2423"/>
      <c r="I2" s="2421" t="s">
        <v>2199</v>
      </c>
      <c r="J2" s="2422" t="s">
        <v>2201</v>
      </c>
      <c r="K2" s="2422" t="s">
        <v>2202</v>
      </c>
      <c r="L2" s="2421" t="s">
        <v>2203</v>
      </c>
      <c r="N2" s="2421" t="s">
        <v>1857</v>
      </c>
      <c r="O2" s="2422" t="s">
        <v>2200</v>
      </c>
      <c r="P2" s="2422" t="s">
        <v>1469</v>
      </c>
      <c r="Q2" s="2421" t="s">
        <v>1919</v>
      </c>
      <c r="S2" s="2421" t="s">
        <v>1857</v>
      </c>
      <c r="T2" s="2422" t="s">
        <v>2200</v>
      </c>
      <c r="U2" s="2422" t="s">
        <v>1469</v>
      </c>
      <c r="V2" s="2421" t="s">
        <v>1919</v>
      </c>
      <c r="X2" s="2421" t="s">
        <v>1857</v>
      </c>
      <c r="Y2" s="2421" t="s">
        <v>1918</v>
      </c>
      <c r="Z2" s="2422" t="s">
        <v>1179</v>
      </c>
      <c r="AA2" s="2422" t="s">
        <v>1469</v>
      </c>
      <c r="AB2" s="2421" t="s">
        <v>1919</v>
      </c>
      <c r="AD2" s="2421" t="s">
        <v>1857</v>
      </c>
      <c r="AE2" s="2421" t="s">
        <v>1918</v>
      </c>
      <c r="AF2" s="2422" t="s">
        <v>1179</v>
      </c>
      <c r="AG2" s="2422" t="s">
        <v>1469</v>
      </c>
      <c r="AH2" s="2421" t="s">
        <v>1919</v>
      </c>
    </row>
    <row r="3" spans="1:34" s="2428" customFormat="1" ht="14.25">
      <c r="A3" s="2424" t="s">
        <v>2210</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2428</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2427</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2426</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2425</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2424</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2273</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2272</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2271</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2270</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2267</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2266</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t="e">
        <f>ROUND(IF(项目基本情况!B7="出让",SUMPRODUCT(PRODUCT(1+N15:N$41)),SUMPRODUCT(PRODUCT(1+N15:N$40))),4)</f>
        <v>#REF!</v>
      </c>
      <c r="Y15" s="2438" t="e">
        <f>ROUND(IF(项目基本情况!B7="出让",SUMPRODUCT(PRODUCT(1+O15:O$41)),SUMPRODUCT(PRODUCT(1+O15:O$40))),4)</f>
        <v>#REF!</v>
      </c>
      <c r="Z15" s="2438" t="e">
        <f t="shared" si="9"/>
        <v>#REF!</v>
      </c>
      <c r="AA15" s="2438" t="e">
        <f>ROUND(IF(项目基本情况!B7="出让",SUMPRODUCT(PRODUCT(1+P15:P$41)),SUMPRODUCT(PRODUCT(1+P15:P$40))),4)</f>
        <v>#REF!</v>
      </c>
      <c r="AB15" s="2438" t="e">
        <f>ROUND(IF(项目基本情况!B7="出让",SUMPRODUCT(PRODUCT(1+Q15:Q$41)),SUMPRODUCT(PRODUCT(1+Q15:Q$40))),4)</f>
        <v>#REF!</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2235</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2233</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2231</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2230</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2228</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2227</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2226</v>
      </c>
      <c r="B22" s="2451">
        <f t="shared" si="11"/>
        <v>464.37293017158942</v>
      </c>
      <c r="C22" s="2451">
        <f t="shared" si="12"/>
        <v>344.73679941385956</v>
      </c>
      <c r="D22" s="2451">
        <f t="shared" si="2"/>
        <v>344.73679941385956</v>
      </c>
      <c r="E22" s="2451">
        <f t="shared" si="3"/>
        <v>663.2377795103107</v>
      </c>
      <c r="F22" s="2452">
        <f t="shared" si="4"/>
        <v>304.75936311478398</v>
      </c>
      <c r="G22" s="3763">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2219</v>
      </c>
      <c r="B23" s="2441">
        <f t="shared" si="11"/>
        <v>459.95733971036987</v>
      </c>
      <c r="C23" s="2441">
        <f t="shared" si="12"/>
        <v>341.22221064422405</v>
      </c>
      <c r="D23" s="2441">
        <f t="shared" si="2"/>
        <v>341.22221064422405</v>
      </c>
      <c r="E23" s="2441">
        <f t="shared" si="3"/>
        <v>657.19161663724799</v>
      </c>
      <c r="F23" s="2441">
        <f t="shared" si="4"/>
        <v>300.87803644464805</v>
      </c>
      <c r="G23" s="3763"/>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2220</v>
      </c>
      <c r="B24" s="2441">
        <f t="shared" si="11"/>
        <v>453.11529869999993</v>
      </c>
      <c r="C24" s="2441">
        <f t="shared" si="12"/>
        <v>336.47787264000004</v>
      </c>
      <c r="D24" s="2441">
        <f t="shared" si="2"/>
        <v>336.47787264000004</v>
      </c>
      <c r="E24" s="2441">
        <f t="shared" si="3"/>
        <v>647.35186823999993</v>
      </c>
      <c r="F24" s="2441">
        <f t="shared" si="4"/>
        <v>295.73229452000004</v>
      </c>
      <c r="G24" s="3763"/>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2216</v>
      </c>
      <c r="B25" s="2441">
        <f t="shared" si="11"/>
        <v>446.46299999999997</v>
      </c>
      <c r="C25" s="2441">
        <f t="shared" si="12"/>
        <v>333.27840000000003</v>
      </c>
      <c r="D25" s="2441">
        <f t="shared" ref="D25:D30" si="13">C25</f>
        <v>333.27840000000003</v>
      </c>
      <c r="E25" s="2441">
        <f t="shared" si="3"/>
        <v>637.28279999999995</v>
      </c>
      <c r="F25" s="2441">
        <f t="shared" si="4"/>
        <v>288.68830000000003</v>
      </c>
      <c r="G25" s="3769"/>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2209</v>
      </c>
      <c r="B26" s="2451">
        <v>439</v>
      </c>
      <c r="C26" s="2451">
        <v>327</v>
      </c>
      <c r="D26" s="2451">
        <f t="shared" si="13"/>
        <v>327</v>
      </c>
      <c r="E26" s="2451">
        <v>627</v>
      </c>
      <c r="F26" s="2452">
        <v>283</v>
      </c>
      <c r="G26" s="3768">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2211</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763"/>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1858</v>
      </c>
      <c r="B28" s="2441">
        <f t="shared" si="16"/>
        <v>419.31181600000002</v>
      </c>
      <c r="C28" s="2441">
        <f t="shared" si="16"/>
        <v>313.95436800000004</v>
      </c>
      <c r="D28" s="2441">
        <f t="shared" si="13"/>
        <v>313.95436800000004</v>
      </c>
      <c r="E28" s="2441">
        <f t="shared" si="17"/>
        <v>596.63028431999999</v>
      </c>
      <c r="F28" s="2441">
        <f t="shared" si="17"/>
        <v>274.74220703999998</v>
      </c>
      <c r="G28" s="3763"/>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1859</v>
      </c>
      <c r="B29" s="2441">
        <f t="shared" si="16"/>
        <v>405.524</v>
      </c>
      <c r="C29" s="2441">
        <f t="shared" si="16"/>
        <v>307.79840000000002</v>
      </c>
      <c r="D29" s="2441">
        <f t="shared" si="13"/>
        <v>307.79840000000002</v>
      </c>
      <c r="E29" s="2441">
        <f t="shared" si="17"/>
        <v>574.67759999999998</v>
      </c>
      <c r="F29" s="2441">
        <f t="shared" si="17"/>
        <v>270.20280000000002</v>
      </c>
      <c r="G29" s="3769"/>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768">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763"/>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763"/>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764"/>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892</v>
      </c>
      <c r="B34" s="2459">
        <v>333</v>
      </c>
      <c r="C34" s="2459">
        <v>277</v>
      </c>
      <c r="D34" s="2459">
        <f t="shared" si="20"/>
        <v>277</v>
      </c>
      <c r="E34" s="2459">
        <v>459</v>
      </c>
      <c r="F34" s="2460">
        <v>249</v>
      </c>
      <c r="G34" s="3762">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763"/>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763"/>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764"/>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888</v>
      </c>
      <c r="B38" s="2466">
        <v>318</v>
      </c>
      <c r="C38" s="2466">
        <v>268</v>
      </c>
      <c r="D38" s="2466">
        <f t="shared" si="20"/>
        <v>268</v>
      </c>
      <c r="E38" s="2466">
        <v>437</v>
      </c>
      <c r="F38" s="2467">
        <v>237</v>
      </c>
      <c r="G38" s="3762">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763"/>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763"/>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764"/>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1917</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1860</v>
      </c>
      <c r="B42" s="2459">
        <v>299</v>
      </c>
      <c r="C42" s="2459">
        <v>252</v>
      </c>
      <c r="D42" s="2459">
        <f t="shared" si="20"/>
        <v>252</v>
      </c>
      <c r="E42" s="2459">
        <v>409</v>
      </c>
      <c r="F42" s="2460">
        <v>227</v>
      </c>
      <c r="G42" s="3765">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1861</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766"/>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1862</v>
      </c>
      <c r="B44" s="2441">
        <f t="shared" si="27"/>
        <v>288.2649053828776</v>
      </c>
      <c r="C44" s="2441">
        <f t="shared" si="27"/>
        <v>243.64564425013293</v>
      </c>
      <c r="D44" s="2441">
        <f t="shared" si="20"/>
        <v>243.64564425013293</v>
      </c>
      <c r="E44" s="2441">
        <f t="shared" si="28"/>
        <v>393.31080825986544</v>
      </c>
      <c r="F44" s="2441">
        <f t="shared" si="28"/>
        <v>223.07903790551154</v>
      </c>
      <c r="G44" s="3766"/>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1863</v>
      </c>
      <c r="B45" s="2441">
        <f t="shared" si="27"/>
        <v>282.50186729015837</v>
      </c>
      <c r="C45" s="2441">
        <f t="shared" si="27"/>
        <v>238.09796174155468</v>
      </c>
      <c r="D45" s="2441">
        <f t="shared" si="20"/>
        <v>238.09796174155468</v>
      </c>
      <c r="E45" s="2441">
        <f t="shared" si="28"/>
        <v>385.33438646014054</v>
      </c>
      <c r="F45" s="2441">
        <f t="shared" si="28"/>
        <v>221.55034055567739</v>
      </c>
      <c r="G45" s="3767"/>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1864</v>
      </c>
      <c r="B46" s="2485">
        <v>278</v>
      </c>
      <c r="C46" s="2485">
        <v>234</v>
      </c>
      <c r="D46" s="2485">
        <f t="shared" si="20"/>
        <v>234</v>
      </c>
      <c r="E46" s="2485">
        <v>379</v>
      </c>
      <c r="F46" s="2486">
        <v>220</v>
      </c>
      <c r="G46" s="3762">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1865</v>
      </c>
      <c r="B47" s="2441">
        <f>B46/(1+N46)</f>
        <v>275.49301357645425</v>
      </c>
      <c r="C47" s="2441">
        <f>C46/(1+O46)</f>
        <v>232.41954707985698</v>
      </c>
      <c r="D47" s="2441">
        <f t="shared" si="20"/>
        <v>232.41954707985698</v>
      </c>
      <c r="E47" s="2441">
        <f t="shared" ref="E47:F49" si="29">E46/(1+P46)</f>
        <v>375.32184591008121</v>
      </c>
      <c r="F47" s="2441">
        <f t="shared" si="29"/>
        <v>218.03766105054513</v>
      </c>
      <c r="G47" s="3763"/>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1866</v>
      </c>
      <c r="B48" s="2441">
        <f>B47/(1+N47)</f>
        <v>275.24529281292263</v>
      </c>
      <c r="C48" s="2441">
        <f>C47/(1+O47)</f>
        <v>231.74747938962707</v>
      </c>
      <c r="D48" s="2441">
        <f t="shared" si="20"/>
        <v>231.74747938962707</v>
      </c>
      <c r="E48" s="2441">
        <f t="shared" si="29"/>
        <v>375.35938184826603</v>
      </c>
      <c r="F48" s="2441">
        <f t="shared" si="29"/>
        <v>216.78033510692495</v>
      </c>
      <c r="G48" s="3763"/>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1867</v>
      </c>
      <c r="B49" s="2441">
        <f>B48/(1+N48)</f>
        <v>275.19025476197027</v>
      </c>
      <c r="C49" s="2487">
        <v>232</v>
      </c>
      <c r="D49" s="2487">
        <f t="shared" si="20"/>
        <v>232</v>
      </c>
      <c r="E49" s="2441">
        <f t="shared" si="29"/>
        <v>375.65990977608692</v>
      </c>
      <c r="F49" s="2441">
        <f t="shared" si="29"/>
        <v>214.12518283971252</v>
      </c>
      <c r="G49" s="3764"/>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1868</v>
      </c>
      <c r="B50" s="2459">
        <v>275</v>
      </c>
      <c r="C50" s="2459">
        <v>232</v>
      </c>
      <c r="D50" s="2459">
        <f t="shared" si="20"/>
        <v>232</v>
      </c>
      <c r="E50" s="2459">
        <v>376</v>
      </c>
      <c r="F50" s="2460">
        <v>213</v>
      </c>
      <c r="G50" s="3762">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1869</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763">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1870</v>
      </c>
      <c r="B52" s="2441">
        <f t="shared" si="30"/>
        <v>275.19335084830601</v>
      </c>
      <c r="C52" s="2441">
        <f t="shared" si="30"/>
        <v>230.18088050139744</v>
      </c>
      <c r="D52" s="2441">
        <f t="shared" si="20"/>
        <v>230.18088050139744</v>
      </c>
      <c r="E52" s="2441">
        <f t="shared" si="31"/>
        <v>377.58482925212331</v>
      </c>
      <c r="F52" s="2441">
        <f t="shared" si="31"/>
        <v>210.90687997847917</v>
      </c>
      <c r="G52" s="3763">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1871</v>
      </c>
      <c r="B53" s="2441">
        <f t="shared" si="30"/>
        <v>276.29854502841971</v>
      </c>
      <c r="C53" s="2441">
        <f t="shared" si="30"/>
        <v>229.79023709833027</v>
      </c>
      <c r="D53" s="2441">
        <f t="shared" si="20"/>
        <v>229.79023709833027</v>
      </c>
      <c r="E53" s="2441">
        <f t="shared" si="31"/>
        <v>379.78759731655936</v>
      </c>
      <c r="F53" s="2441">
        <f t="shared" si="31"/>
        <v>211.32953905659235</v>
      </c>
      <c r="G53" s="3764">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1872</v>
      </c>
      <c r="B54" s="2459">
        <v>269</v>
      </c>
      <c r="C54" s="2459">
        <v>221</v>
      </c>
      <c r="D54" s="2459">
        <f t="shared" si="20"/>
        <v>221</v>
      </c>
      <c r="E54" s="2459">
        <v>373</v>
      </c>
      <c r="F54" s="2460">
        <v>196</v>
      </c>
      <c r="G54" s="3762">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1873</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763">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1874</v>
      </c>
      <c r="B56" s="2441">
        <f t="shared" si="32"/>
        <v>242.95398227588385</v>
      </c>
      <c r="C56" s="2441">
        <f t="shared" si="32"/>
        <v>199.59137053614126</v>
      </c>
      <c r="D56" s="2441">
        <f t="shared" si="20"/>
        <v>199.59137053614126</v>
      </c>
      <c r="E56" s="2441">
        <f t="shared" si="33"/>
        <v>335.92189522342125</v>
      </c>
      <c r="F56" s="2441">
        <f t="shared" si="33"/>
        <v>183.10139991109489</v>
      </c>
      <c r="G56" s="3763">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1875</v>
      </c>
      <c r="B57" s="2441">
        <f t="shared" si="32"/>
        <v>232.06990378821649</v>
      </c>
      <c r="C57" s="2441">
        <f t="shared" si="32"/>
        <v>192.74878854286936</v>
      </c>
      <c r="D57" s="2441">
        <f t="shared" si="20"/>
        <v>192.74878854286936</v>
      </c>
      <c r="E57" s="2441">
        <f t="shared" si="33"/>
        <v>319.71247284992984</v>
      </c>
      <c r="F57" s="2441">
        <f t="shared" si="33"/>
        <v>175.67053622862409</v>
      </c>
      <c r="G57" s="3764">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1876</v>
      </c>
      <c r="B58" s="2459">
        <v>220</v>
      </c>
      <c r="C58" s="2459">
        <v>187</v>
      </c>
      <c r="D58" s="2459">
        <f t="shared" si="20"/>
        <v>187</v>
      </c>
      <c r="E58" s="2459">
        <v>301</v>
      </c>
      <c r="F58" s="2460">
        <v>168</v>
      </c>
      <c r="G58" s="3762">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1877</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763">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1878</v>
      </c>
      <c r="B60" s="2441">
        <f t="shared" si="34"/>
        <v>210.630522469011</v>
      </c>
      <c r="C60" s="2441">
        <f t="shared" si="34"/>
        <v>181.69567812247232</v>
      </c>
      <c r="D60" s="2441">
        <f t="shared" si="20"/>
        <v>181.69567812247232</v>
      </c>
      <c r="E60" s="2441">
        <f t="shared" si="35"/>
        <v>286.13517466736738</v>
      </c>
      <c r="F60" s="2441">
        <f t="shared" si="35"/>
        <v>165.47535084591149</v>
      </c>
      <c r="G60" s="3763">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1879</v>
      </c>
      <c r="B61" s="2441">
        <f t="shared" si="34"/>
        <v>208.83454537875372</v>
      </c>
      <c r="C61" s="2441">
        <f t="shared" si="34"/>
        <v>183.77230517090351</v>
      </c>
      <c r="D61" s="2441">
        <f t="shared" si="20"/>
        <v>183.77230517090351</v>
      </c>
      <c r="E61" s="2441">
        <f t="shared" si="35"/>
        <v>281.10342338870947</v>
      </c>
      <c r="F61" s="2441">
        <f t="shared" si="35"/>
        <v>168.97309388942256</v>
      </c>
      <c r="G61" s="3764">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1880</v>
      </c>
      <c r="B62" s="2485">
        <v>214</v>
      </c>
      <c r="C62" s="2485">
        <v>188</v>
      </c>
      <c r="D62" s="2485">
        <f t="shared" si="20"/>
        <v>188</v>
      </c>
      <c r="E62" s="2485">
        <v>289</v>
      </c>
      <c r="F62" s="2486">
        <v>166</v>
      </c>
      <c r="G62" s="3762">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1881</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763">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1882</v>
      </c>
      <c r="B64" s="2441">
        <f t="shared" si="36"/>
        <v>206.31694671589116</v>
      </c>
      <c r="C64" s="2441">
        <f t="shared" si="36"/>
        <v>183.61041121036101</v>
      </c>
      <c r="D64" s="2441">
        <f t="shared" si="20"/>
        <v>183.61041121036101</v>
      </c>
      <c r="E64" s="2441">
        <f t="shared" si="37"/>
        <v>276.66850301795557</v>
      </c>
      <c r="F64" s="2441">
        <f t="shared" si="37"/>
        <v>165.1360938278614</v>
      </c>
      <c r="G64" s="3763">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1883</v>
      </c>
      <c r="B65" s="2488">
        <f t="shared" si="36"/>
        <v>196.62341248059772</v>
      </c>
      <c r="C65" s="2488">
        <f t="shared" si="36"/>
        <v>170.99125648199012</v>
      </c>
      <c r="D65" s="2488">
        <f t="shared" si="20"/>
        <v>170.99125648199012</v>
      </c>
      <c r="E65" s="2488">
        <f t="shared" si="37"/>
        <v>266.07857570490052</v>
      </c>
      <c r="F65" s="2488">
        <f t="shared" si="37"/>
        <v>154.53499328828505</v>
      </c>
      <c r="G65" s="3764">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1884</v>
      </c>
      <c r="B66" s="2459">
        <v>188</v>
      </c>
      <c r="C66" s="2459">
        <v>165</v>
      </c>
      <c r="D66" s="2459">
        <f t="shared" si="20"/>
        <v>165</v>
      </c>
      <c r="E66" s="2459">
        <v>254</v>
      </c>
      <c r="F66" s="2460">
        <v>148</v>
      </c>
      <c r="G66" s="3762">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1885</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763">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1886</v>
      </c>
      <c r="B68" s="2441">
        <f t="shared" si="40"/>
        <v>168.82017748715555</v>
      </c>
      <c r="C68" s="2441">
        <f t="shared" si="40"/>
        <v>148.06267029972753</v>
      </c>
      <c r="D68" s="2441">
        <f t="shared" si="20"/>
        <v>148.06267029972753</v>
      </c>
      <c r="E68" s="2441">
        <f t="shared" si="41"/>
        <v>216.46288379323747</v>
      </c>
      <c r="F68" s="2441">
        <f t="shared" si="41"/>
        <v>134.23529411764704</v>
      </c>
      <c r="G68" s="3763">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1887</v>
      </c>
      <c r="B69" s="2441">
        <f t="shared" si="40"/>
        <v>163.84913591779542</v>
      </c>
      <c r="C69" s="2441">
        <f t="shared" si="40"/>
        <v>145.0283378746594</v>
      </c>
      <c r="D69" s="2441">
        <f t="shared" si="20"/>
        <v>145.0283378746594</v>
      </c>
      <c r="E69" s="2441">
        <f t="shared" si="41"/>
        <v>204.95180722891567</v>
      </c>
      <c r="F69" s="2441">
        <f t="shared" si="41"/>
        <v>125.95920303605313</v>
      </c>
      <c r="G69" s="3764">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1888</v>
      </c>
      <c r="B70" s="2466">
        <v>159</v>
      </c>
      <c r="C70" s="2466">
        <v>141</v>
      </c>
      <c r="D70" s="2466">
        <f t="shared" si="20"/>
        <v>141</v>
      </c>
      <c r="E70" s="2466">
        <v>195</v>
      </c>
      <c r="F70" s="2467">
        <v>122</v>
      </c>
      <c r="G70" s="3762">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1889</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763">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1890</v>
      </c>
      <c r="B72" s="2441">
        <f t="shared" si="44"/>
        <v>146.57412060301507</v>
      </c>
      <c r="C72" s="2441">
        <f t="shared" si="44"/>
        <v>136.46831955922866</v>
      </c>
      <c r="D72" s="2441">
        <f t="shared" si="20"/>
        <v>136.46831955922866</v>
      </c>
      <c r="E72" s="2441">
        <f t="shared" si="45"/>
        <v>166.73864894795128</v>
      </c>
      <c r="F72" s="2441">
        <f t="shared" si="45"/>
        <v>115.05882352941177</v>
      </c>
      <c r="G72" s="3763">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1891</v>
      </c>
      <c r="B73" s="2441">
        <f t="shared" si="44"/>
        <v>144.04145728643215</v>
      </c>
      <c r="C73" s="2441">
        <f t="shared" si="44"/>
        <v>136.12396694214877</v>
      </c>
      <c r="D73" s="2441">
        <f t="shared" si="20"/>
        <v>136.12396694214877</v>
      </c>
      <c r="E73" s="2441">
        <f t="shared" si="45"/>
        <v>158.32225913621264</v>
      </c>
      <c r="F73" s="2441">
        <f t="shared" si="45"/>
        <v>114.04278074866311</v>
      </c>
      <c r="G73" s="3764">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1892</v>
      </c>
      <c r="B74" s="2466">
        <v>138</v>
      </c>
      <c r="C74" s="2466">
        <v>131</v>
      </c>
      <c r="D74" s="2466">
        <f t="shared" si="20"/>
        <v>131</v>
      </c>
      <c r="E74" s="2466">
        <v>155</v>
      </c>
      <c r="F74" s="2467">
        <v>114</v>
      </c>
      <c r="G74" s="3762">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1893</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763">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1894</v>
      </c>
      <c r="B76" s="2441">
        <f t="shared" si="48"/>
        <v>124.29032258064517</v>
      </c>
      <c r="C76" s="2441">
        <f t="shared" si="48"/>
        <v>123.8968609865471</v>
      </c>
      <c r="D76" s="2441">
        <f t="shared" si="20"/>
        <v>123.8968609865471</v>
      </c>
      <c r="E76" s="2441">
        <f t="shared" si="49"/>
        <v>138.00507614213197</v>
      </c>
      <c r="F76" s="2441">
        <f t="shared" si="49"/>
        <v>107.96106557377048</v>
      </c>
      <c r="G76" s="3763">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1895</v>
      </c>
      <c r="B77" s="2441">
        <f t="shared" si="48"/>
        <v>122.57204301075269</v>
      </c>
      <c r="C77" s="2441">
        <f t="shared" si="48"/>
        <v>123.4932735426009</v>
      </c>
      <c r="D77" s="2441">
        <f t="shared" si="20"/>
        <v>123.4932735426009</v>
      </c>
      <c r="E77" s="2441">
        <f t="shared" si="49"/>
        <v>129.82233502538071</v>
      </c>
      <c r="F77" s="2441">
        <f t="shared" si="49"/>
        <v>107.39446721311475</v>
      </c>
      <c r="G77" s="3764">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1896</v>
      </c>
      <c r="B78" s="2485">
        <v>121</v>
      </c>
      <c r="C78" s="2485">
        <v>122</v>
      </c>
      <c r="D78" s="2485">
        <f t="shared" si="20"/>
        <v>122</v>
      </c>
      <c r="E78" s="2485">
        <v>124</v>
      </c>
      <c r="F78" s="2486">
        <v>107</v>
      </c>
      <c r="G78" s="3762">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1897</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763">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1898</v>
      </c>
      <c r="B80" s="2441">
        <f t="shared" si="52"/>
        <v>116.99099099099099</v>
      </c>
      <c r="C80" s="2441">
        <f t="shared" si="52"/>
        <v>118.84848484848486</v>
      </c>
      <c r="D80" s="2441">
        <f t="shared" si="20"/>
        <v>118.84848484848486</v>
      </c>
      <c r="E80" s="2441">
        <f t="shared" si="53"/>
        <v>117.60960960960961</v>
      </c>
      <c r="F80" s="2441">
        <f t="shared" si="53"/>
        <v>104</v>
      </c>
      <c r="G80" s="3763">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1899</v>
      </c>
      <c r="B81" s="2488">
        <f t="shared" si="52"/>
        <v>112.48648648648648</v>
      </c>
      <c r="C81" s="2488">
        <f t="shared" si="52"/>
        <v>115.21212121212122</v>
      </c>
      <c r="D81" s="2488">
        <f t="shared" si="20"/>
        <v>115.21212121212122</v>
      </c>
      <c r="E81" s="2488">
        <f t="shared" si="53"/>
        <v>110.4024024024024</v>
      </c>
      <c r="F81" s="2488">
        <f t="shared" si="53"/>
        <v>104</v>
      </c>
      <c r="G81" s="3764">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1900</v>
      </c>
      <c r="B82" s="2505">
        <v>111</v>
      </c>
      <c r="C82" s="2505">
        <v>114</v>
      </c>
      <c r="D82" s="2505">
        <f t="shared" si="20"/>
        <v>114</v>
      </c>
      <c r="E82" s="2505">
        <v>108</v>
      </c>
      <c r="F82" s="2506">
        <v>104</v>
      </c>
      <c r="G82" s="3762">
        <v>2003</v>
      </c>
      <c r="H82" s="2495">
        <v>4</v>
      </c>
      <c r="I82" s="2507"/>
      <c r="J82" s="2507"/>
      <c r="K82" s="2507"/>
      <c r="L82" s="2507"/>
      <c r="N82" s="2508"/>
      <c r="O82" s="2507"/>
      <c r="P82" s="2507"/>
      <c r="Q82" s="2507"/>
      <c r="S82" s="2508"/>
      <c r="T82" s="2507"/>
      <c r="U82" s="2507"/>
      <c r="V82" s="2507"/>
      <c r="X82" s="2499"/>
      <c r="Y82" s="2499"/>
      <c r="Z82" s="2499"/>
    </row>
    <row r="83" spans="1:26">
      <c r="A83" s="2440" t="s">
        <v>1901</v>
      </c>
      <c r="B83" s="2509">
        <f t="shared" ref="B83:C85" si="54">B84+(B$82-B$86)/4</f>
        <v>109.75</v>
      </c>
      <c r="C83" s="2509">
        <f t="shared" si="54"/>
        <v>112.25</v>
      </c>
      <c r="D83" s="2509">
        <f t="shared" si="20"/>
        <v>112.25</v>
      </c>
      <c r="E83" s="2509">
        <f t="shared" ref="E83:F85" si="55">E84+(E$82-E$86)/4</f>
        <v>107.25</v>
      </c>
      <c r="F83" s="2509">
        <f t="shared" si="55"/>
        <v>103.5</v>
      </c>
      <c r="G83" s="3763">
        <v>2003</v>
      </c>
      <c r="H83" s="2464">
        <v>3</v>
      </c>
      <c r="I83" s="2507"/>
      <c r="J83" s="2507"/>
      <c r="K83" s="2507"/>
      <c r="L83" s="2507"/>
      <c r="X83" s="2499"/>
      <c r="Y83" s="2499"/>
      <c r="Z83" s="2499"/>
    </row>
    <row r="84" spans="1:26">
      <c r="A84" s="2440" t="s">
        <v>1902</v>
      </c>
      <c r="B84" s="2509">
        <f t="shared" si="54"/>
        <v>108.5</v>
      </c>
      <c r="C84" s="2509">
        <f t="shared" si="54"/>
        <v>110.5</v>
      </c>
      <c r="D84" s="2509">
        <f t="shared" si="20"/>
        <v>110.5</v>
      </c>
      <c r="E84" s="2509">
        <f t="shared" si="55"/>
        <v>106.5</v>
      </c>
      <c r="F84" s="2509">
        <f t="shared" si="55"/>
        <v>103</v>
      </c>
      <c r="G84" s="3763">
        <v>2003</v>
      </c>
      <c r="H84" s="2455">
        <v>2</v>
      </c>
      <c r="I84" s="2507"/>
      <c r="J84" s="2507"/>
      <c r="K84" s="2507"/>
      <c r="L84" s="2507"/>
      <c r="X84" s="2499"/>
      <c r="Y84" s="2499"/>
      <c r="Z84" s="2499"/>
    </row>
    <row r="85" spans="1:26" ht="13.5" thickBot="1">
      <c r="A85" s="2440" t="s">
        <v>1903</v>
      </c>
      <c r="B85" s="2509">
        <f t="shared" si="54"/>
        <v>107.25</v>
      </c>
      <c r="C85" s="2509">
        <f t="shared" si="54"/>
        <v>108.75</v>
      </c>
      <c r="D85" s="2509">
        <f t="shared" si="20"/>
        <v>108.75</v>
      </c>
      <c r="E85" s="2509">
        <f t="shared" si="55"/>
        <v>105.75</v>
      </c>
      <c r="F85" s="2509">
        <f t="shared" si="55"/>
        <v>102.5</v>
      </c>
      <c r="G85" s="3764">
        <v>2003</v>
      </c>
      <c r="H85" s="2510">
        <v>1</v>
      </c>
      <c r="I85" s="2507"/>
      <c r="J85" s="2507"/>
      <c r="K85" s="2507"/>
      <c r="L85" s="2507"/>
      <c r="S85" s="2443"/>
      <c r="T85" s="2439"/>
      <c r="U85" s="2439"/>
      <c r="X85" s="2499"/>
      <c r="Y85" s="2499"/>
      <c r="Z85" s="2499"/>
    </row>
    <row r="86" spans="1:26" ht="13.5" thickBot="1">
      <c r="A86" s="2440" t="s">
        <v>1904</v>
      </c>
      <c r="B86" s="2511">
        <v>106</v>
      </c>
      <c r="C86" s="2511">
        <v>107</v>
      </c>
      <c r="D86" s="2511">
        <f t="shared" si="20"/>
        <v>107</v>
      </c>
      <c r="E86" s="2511">
        <v>105</v>
      </c>
      <c r="F86" s="2512">
        <v>102</v>
      </c>
      <c r="G86" s="3762">
        <v>2002</v>
      </c>
      <c r="H86" s="2461">
        <v>4</v>
      </c>
      <c r="I86" s="2507"/>
      <c r="J86" s="2507"/>
      <c r="K86" s="2507"/>
      <c r="L86" s="2507"/>
      <c r="N86" s="2508"/>
      <c r="O86" s="2507"/>
      <c r="P86" s="2507"/>
      <c r="Q86" s="2507"/>
      <c r="S86" s="2508"/>
      <c r="T86" s="2507"/>
      <c r="U86" s="2507"/>
      <c r="V86" s="2507"/>
      <c r="X86" s="2499"/>
      <c r="Y86" s="2499"/>
      <c r="Z86" s="2499"/>
    </row>
    <row r="87" spans="1:26">
      <c r="A87" s="2440" t="s">
        <v>1905</v>
      </c>
      <c r="B87" s="2509">
        <f t="shared" ref="B87:C89" si="56">B88+(B$86-B$90)/4</f>
        <v>105</v>
      </c>
      <c r="C87" s="2509">
        <f t="shared" si="56"/>
        <v>106</v>
      </c>
      <c r="D87" s="2509">
        <f t="shared" si="20"/>
        <v>106</v>
      </c>
      <c r="E87" s="2509">
        <f t="shared" ref="E87:F89" si="57">E88+(E$86-E$90)/4</f>
        <v>104.5</v>
      </c>
      <c r="F87" s="2509">
        <f t="shared" si="57"/>
        <v>101.5</v>
      </c>
      <c r="G87" s="3763">
        <v>2002</v>
      </c>
      <c r="H87" s="2464">
        <v>3</v>
      </c>
      <c r="I87" s="2507"/>
      <c r="J87" s="2507"/>
      <c r="K87" s="2507"/>
      <c r="L87" s="2507"/>
      <c r="X87" s="2499"/>
      <c r="Y87" s="2499"/>
      <c r="Z87" s="2499"/>
    </row>
    <row r="88" spans="1:26">
      <c r="A88" s="2440" t="s">
        <v>1906</v>
      </c>
      <c r="B88" s="2509">
        <f t="shared" si="56"/>
        <v>104</v>
      </c>
      <c r="C88" s="2509">
        <f t="shared" si="56"/>
        <v>105</v>
      </c>
      <c r="D88" s="2509">
        <f t="shared" si="20"/>
        <v>105</v>
      </c>
      <c r="E88" s="2509">
        <f t="shared" si="57"/>
        <v>104</v>
      </c>
      <c r="F88" s="2509">
        <f t="shared" si="57"/>
        <v>101</v>
      </c>
      <c r="G88" s="3763">
        <v>2002</v>
      </c>
      <c r="H88" s="2455">
        <v>2</v>
      </c>
      <c r="I88" s="2507"/>
      <c r="J88" s="2507"/>
      <c r="K88" s="2507"/>
      <c r="L88" s="2507"/>
      <c r="X88" s="2499"/>
      <c r="Y88" s="2499"/>
      <c r="Z88" s="2499"/>
    </row>
    <row r="89" spans="1:26" s="2474" customFormat="1" ht="13.5" thickBot="1">
      <c r="A89" s="2470" t="s">
        <v>1907</v>
      </c>
      <c r="B89" s="2477">
        <f t="shared" si="56"/>
        <v>103</v>
      </c>
      <c r="C89" s="2477">
        <f t="shared" si="56"/>
        <v>104</v>
      </c>
      <c r="D89" s="2477">
        <f t="shared" si="20"/>
        <v>104</v>
      </c>
      <c r="E89" s="2477">
        <f t="shared" si="57"/>
        <v>103.5</v>
      </c>
      <c r="F89" s="2477">
        <f t="shared" si="57"/>
        <v>100.5</v>
      </c>
      <c r="G89" s="3764">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1908</v>
      </c>
      <c r="G92" s="2522"/>
      <c r="N92" s="2522"/>
      <c r="S92" s="2522"/>
    </row>
    <row r="93" spans="1:26" s="2521" customFormat="1">
      <c r="A93" s="2521" t="s">
        <v>1909</v>
      </c>
      <c r="G93" s="2522"/>
      <c r="N93" s="2522"/>
      <c r="S93" s="2522"/>
    </row>
    <row r="94" spans="1:26" s="2521" customFormat="1">
      <c r="A94" s="2521" t="s">
        <v>1910</v>
      </c>
      <c r="G94" s="2522"/>
      <c r="I94" s="2523"/>
      <c r="J94" s="2523"/>
      <c r="K94" s="2523"/>
      <c r="L94" s="2523"/>
      <c r="N94" s="2524"/>
      <c r="O94" s="2523"/>
      <c r="P94" s="2523"/>
      <c r="Q94" s="2523"/>
      <c r="S94" s="2524"/>
      <c r="T94" s="2523"/>
      <c r="U94" s="2523"/>
      <c r="V94" s="2523"/>
    </row>
    <row r="95" spans="1:26" s="2521" customFormat="1">
      <c r="A95" s="2521" t="s">
        <v>1911</v>
      </c>
      <c r="G95" s="2522"/>
      <c r="N95" s="2522"/>
      <c r="S95" s="2522"/>
    </row>
    <row r="102" spans="7:22" ht="13.5" thickBot="1"/>
    <row r="103" spans="7:22">
      <c r="G103" s="2438"/>
      <c r="S103" s="2525" t="s">
        <v>1912</v>
      </c>
      <c r="T103" s="2464" t="s">
        <v>1913</v>
      </c>
      <c r="U103" s="2464" t="s">
        <v>1914</v>
      </c>
      <c r="V103" s="2464" t="s">
        <v>1915</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光大东高地：</v>
      </c>
    </row>
    <row r="4" spans="1:4" ht="37.5">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8.75">
      <c r="A5" s="1488" t="s">
        <v>1429</v>
      </c>
    </row>
    <row r="6" spans="1:4" ht="75">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6.25">
      <c r="A7" s="1489" t="s">
        <v>2024</v>
      </c>
    </row>
    <row r="8" spans="1:4" ht="18.75">
      <c r="A8" s="1488" t="s">
        <v>1430</v>
      </c>
    </row>
    <row r="9" spans="1:4" ht="18.75">
      <c r="A9" s="1485" t="e">
        <f>IF(项目基本情况!B8="抵押",IF(项目基本情况!B5=项目基本情况!B6,定义!C51,定义!B51),定义!D51)</f>
        <v>#REF!</v>
      </c>
    </row>
    <row r="10" spans="1:4" ht="18.75">
      <c r="A10" s="1490" t="s">
        <v>1541</v>
      </c>
    </row>
    <row r="11" spans="1:4" ht="18.75">
      <c r="A11" s="1474" t="str">
        <f>TEXT(项目基本情况!D3,"yyyy年m月d日;;")&amp;IF(项目基本情况!B3=项目基本情况!D3,"（评估专业人员勘察现场之日）","")</f>
        <v>2025年5月12日（评估专业人员勘察现场之日）</v>
      </c>
    </row>
    <row r="12" spans="1:4" ht="18.75">
      <c r="A12" s="1490" t="s">
        <v>1540</v>
      </c>
    </row>
    <row r="13" spans="1:4" ht="18.75">
      <c r="A13" s="1485" t="s">
        <v>2186</v>
      </c>
    </row>
    <row r="14" spans="1:4" ht="18.75">
      <c r="A14" s="1485" t="str">
        <f>"根据"&amp;项目基本情况!F12&amp;"，本次评估估价对象证载（地类）用途为"&amp;项目基本情况!B12&amp;"。"</f>
        <v>根据合同，本次评估估价对象证载（地类）用途为。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1587</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5" t="s">
        <v>1588</v>
      </c>
    </row>
    <row r="20" spans="1:1" ht="37.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8.75">
      <c r="A21" s="1485" t="s">
        <v>1589</v>
      </c>
    </row>
    <row r="22" spans="1:1" ht="56.25">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本次估价对象为出让国有建设用地使用权，合同证载土地终止日期为商业2065年2月16日车库2075年2月16日、仓储2075年2月16日公共服务2075年2月16日。截至估价期日，出让国有建设用地使用权剩余土地使用年限为。</v>
      </c>
    </row>
    <row r="23" spans="1:1" ht="18.75">
      <c r="A23" s="1485" t="str">
        <f>IF(项目基本情况!A17="出让","本次评估设定估价对象剩余土地使用年限为"&amp;项目基本情况!D20&amp;"。","")</f>
        <v>本次评估设定估价对象剩余土地使用年限为。</v>
      </c>
    </row>
    <row r="24" spans="1:1" ht="18.75">
      <c r="A24" s="1485" t="s">
        <v>1590</v>
      </c>
    </row>
    <row r="25" spans="1:1" ht="93.75">
      <c r="A25" s="1485"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37.5">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5" t="str">
        <f>IF(项目基本情况!B9="市场价格","——",IF(项目基本情况!E9="——","",定义!C57))</f>
        <v/>
      </c>
    </row>
    <row r="29" spans="1:1" ht="18.75">
      <c r="A29" s="1490" t="s">
        <v>1542</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C1" zoomScale="80" zoomScaleNormal="80" workbookViewId="0">
      <selection activeCell="AQ31" sqref="AQ31"/>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29">
        <f>基准地价!G23</f>
        <v>45789</v>
      </c>
      <c r="B1" s="3086" t="s">
        <v>3246</v>
      </c>
      <c r="C1" s="3087"/>
      <c r="D1" s="3087"/>
      <c r="E1" s="3087"/>
      <c r="F1" s="3087"/>
      <c r="G1" s="3087"/>
      <c r="H1" s="3087"/>
      <c r="I1" s="3087"/>
      <c r="J1" s="3088"/>
      <c r="K1" s="3087" t="s">
        <v>2771</v>
      </c>
      <c r="L1" s="3087"/>
      <c r="M1" s="3087"/>
      <c r="N1" s="3087"/>
      <c r="O1" s="3087"/>
      <c r="P1" s="3087"/>
      <c r="Q1" s="3088"/>
      <c r="R1" s="3770" t="s">
        <v>2779</v>
      </c>
      <c r="S1" s="3771"/>
      <c r="T1" s="3771"/>
      <c r="U1" s="3771"/>
      <c r="V1" s="3771"/>
      <c r="W1" s="3771"/>
      <c r="X1" s="3088"/>
      <c r="Y1" s="3770" t="s">
        <v>2790</v>
      </c>
      <c r="Z1" s="3771"/>
      <c r="AA1" s="3771"/>
      <c r="AB1" s="3771"/>
      <c r="AC1" s="3771"/>
      <c r="AD1" s="3771"/>
    </row>
    <row r="2" spans="1:44" ht="14.25" thickBot="1">
      <c r="A2" s="3081"/>
      <c r="B2" s="3089"/>
      <c r="C2" s="3090"/>
      <c r="D2" s="2421" t="s">
        <v>2773</v>
      </c>
      <c r="E2" s="2422" t="s">
        <v>2774</v>
      </c>
      <c r="F2" s="2422" t="s">
        <v>2775</v>
      </c>
      <c r="G2" s="2422" t="s">
        <v>2776</v>
      </c>
      <c r="H2" s="2422" t="s">
        <v>2777</v>
      </c>
      <c r="I2" s="2422" t="s">
        <v>2719</v>
      </c>
      <c r="J2" s="3091"/>
      <c r="K2" s="2421" t="s">
        <v>2773</v>
      </c>
      <c r="L2" s="2422" t="s">
        <v>2774</v>
      </c>
      <c r="M2" s="2422" t="s">
        <v>2775</v>
      </c>
      <c r="N2" s="2422" t="s">
        <v>2776</v>
      </c>
      <c r="O2" s="2422" t="s">
        <v>2777</v>
      </c>
      <c r="P2" s="2422" t="s">
        <v>2719</v>
      </c>
      <c r="Q2" s="3091"/>
      <c r="R2" s="2421" t="s">
        <v>2780</v>
      </c>
      <c r="S2" s="2422" t="s">
        <v>2781</v>
      </c>
      <c r="T2" s="2422" t="s">
        <v>2782</v>
      </c>
      <c r="U2" s="2422" t="s">
        <v>2783</v>
      </c>
      <c r="V2" s="2422" t="s">
        <v>2784</v>
      </c>
      <c r="W2" s="2422" t="s">
        <v>2785</v>
      </c>
      <c r="X2" s="3091"/>
      <c r="Y2" s="2421" t="s">
        <v>2773</v>
      </c>
      <c r="Z2" s="2422" t="s">
        <v>1470</v>
      </c>
      <c r="AA2" s="2422" t="s">
        <v>2791</v>
      </c>
      <c r="AB2" s="2422" t="s">
        <v>1469</v>
      </c>
      <c r="AC2" s="2422" t="s">
        <v>2777</v>
      </c>
      <c r="AD2" s="2422" t="s">
        <v>2436</v>
      </c>
      <c r="AF2" t="s">
        <v>3294</v>
      </c>
      <c r="AG2" t="s">
        <v>2720</v>
      </c>
      <c r="AH2" t="s">
        <v>1212</v>
      </c>
      <c r="AI2" t="s">
        <v>851</v>
      </c>
      <c r="AJ2" t="s">
        <v>905</v>
      </c>
      <c r="AK2" t="s">
        <v>2718</v>
      </c>
      <c r="AM2" t="s">
        <v>3294</v>
      </c>
      <c r="AN2" t="s">
        <v>2720</v>
      </c>
      <c r="AO2" t="s">
        <v>1212</v>
      </c>
      <c r="AP2" t="s">
        <v>851</v>
      </c>
      <c r="AQ2" t="s">
        <v>905</v>
      </c>
      <c r="AR2" t="s">
        <v>2718</v>
      </c>
    </row>
    <row r="3" spans="1:44">
      <c r="A3" s="3082" t="s">
        <v>2762</v>
      </c>
      <c r="B3" s="3092"/>
      <c r="C3" s="3093"/>
      <c r="D3" s="3093">
        <f>ROUND(AVERAGEIF(D4:D24,"&lt;&gt;0"),2)</f>
        <v>0.39</v>
      </c>
      <c r="E3" s="3093">
        <f>ROUND(AVERAGEIF(E4:E24,"&lt;&gt;0"),2)</f>
        <v>0.21</v>
      </c>
      <c r="F3" s="3093">
        <f>ROUND(AVERAGEIF(F4:F24,"&lt;&gt;0"),2)</f>
        <v>-0.06</v>
      </c>
      <c r="G3" s="3093">
        <f>ROUND(AVERAGEIF(G4:G24,"&lt;&gt;0"),2)</f>
        <v>0.46</v>
      </c>
      <c r="H3" s="3093">
        <f>ROUND(AVERAGEIF(H4:H24,"&lt;&gt;0"),2)</f>
        <v>0.51</v>
      </c>
      <c r="I3" s="3093">
        <f>F3</f>
        <v>-0.06</v>
      </c>
      <c r="J3" s="3094"/>
      <c r="K3" s="3095">
        <f>ROUND(AVERAGEIF(K4:K24,"&lt;&gt;0"),4)</f>
        <v>3.8999999999999998E-3</v>
      </c>
      <c r="L3" s="3096">
        <f>ROUND(AVERAGEIF(L4:L24,"&lt;&gt;0"),4)</f>
        <v>2.0999999999999999E-3</v>
      </c>
      <c r="M3" s="3096">
        <f>ROUND(AVERAGEIF(M4:M24,"&lt;&gt;0"),4)</f>
        <v>-5.9999999999999995E-4</v>
      </c>
      <c r="N3" s="3096">
        <f>ROUND(AVERAGEIF(N4:N24,"&lt;&gt;0"),4)</f>
        <v>4.5999999999999999E-3</v>
      </c>
      <c r="O3" s="3096">
        <f>ROUND(AVERAGEIF(O4:O24,"&lt;&gt;0"),4)</f>
        <v>5.1000000000000004E-3</v>
      </c>
      <c r="P3" s="3096">
        <f>M3</f>
        <v>-5.9999999999999995E-4</v>
      </c>
      <c r="Q3" s="3094"/>
      <c r="R3" s="3109">
        <f>ROUND(SUMPRODUCT(PRODUCT(1+K4:K24)),4)</f>
        <v>1.0674999999999999</v>
      </c>
      <c r="S3" s="3110">
        <f>ROUND(SUMPRODUCT(PRODUCT(1+L4:L24)),4)</f>
        <v>1.0355000000000001</v>
      </c>
      <c r="T3" s="3110">
        <f>ROUND(SUMPRODUCT(PRODUCT(1+M4:M24)),4)</f>
        <v>0.98880000000000001</v>
      </c>
      <c r="U3" s="3110">
        <f>ROUND(SUMPRODUCT(PRODUCT(1+N4:N24)),4)</f>
        <v>1.0798000000000001</v>
      </c>
      <c r="V3" s="3110">
        <f>ROUND(SUMPRODUCT(PRODUCT(1+O4:O24)),4)</f>
        <v>1.0911</v>
      </c>
      <c r="W3" s="3109">
        <f>T3</f>
        <v>0.98880000000000001</v>
      </c>
      <c r="X3" s="3094"/>
      <c r="Y3" s="3116">
        <f>ROUND(AVERAGEIF(Y11:Y24,"&lt;&gt;0"),4)</f>
        <v>8.0999999999999996E-3</v>
      </c>
      <c r="Z3" s="3117">
        <f>ROUND(AVERAGEIF(Z11:Z24,"&lt;&gt;0"),4)</f>
        <v>3.7000000000000002E-3</v>
      </c>
      <c r="AA3" s="3118">
        <f>ROUND(AVERAGEIF(AA11:AA24,"&lt;&gt;0"),4)</f>
        <v>1.2999999999999999E-3</v>
      </c>
      <c r="AB3" s="3116">
        <f>ROUND(AVERAGEIF(AB11:AB24,"&lt;&gt;0"),4)</f>
        <v>8.8000000000000005E-3</v>
      </c>
      <c r="AC3" s="3119">
        <f>ROUND(AVERAGEIF(AC11:AC24,"&lt;&gt;0"),4)</f>
        <v>6.1999999999999998E-3</v>
      </c>
      <c r="AD3" s="3116">
        <f>AA3</f>
        <v>1.2999999999999999E-3</v>
      </c>
    </row>
    <row r="4" spans="1:44">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44">
      <c r="A5" s="3385" t="s">
        <v>3296</v>
      </c>
      <c r="B5" s="3132">
        <v>2025</v>
      </c>
      <c r="C5" s="3133">
        <v>4</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 t="shared" ref="P5:P11" si="6">M5</f>
        <v>0</v>
      </c>
      <c r="Q5" s="3100"/>
      <c r="R5" s="3111">
        <f>ROUND(IF(项目基本情况!$B$8="出让",SUMPRODUCT(PRODUCT(1+K5:$K$24)),SUMPRODUCT(PRODUCT(1+K5:$K$23))),4)</f>
        <v>1.0571999999999999</v>
      </c>
      <c r="S5" s="3111">
        <f>ROUND(IF(项目基本情况!$B$8="出让",SUMPRODUCT(PRODUCT(1+L5:$L$24)),SUMPRODUCT(PRODUCT(1+L5:$L$23))),4)</f>
        <v>1.0339</v>
      </c>
      <c r="T5" s="3111">
        <f>ROUND(IF(项目基本情况!$B$8="出让",SUMPRODUCT(PRODUCT(1+M5:$M$24)),SUMPRODUCT(PRODUCT(1+M5:$M$23))),4)</f>
        <v>0.99129999999999996</v>
      </c>
      <c r="U5" s="3111">
        <f>ROUND(IF(项目基本情况!$B$8="出让",SUMPRODUCT(PRODUCT(1+N5:$N$24)),SUMPRODUCT(PRODUCT(1+N5:$N$23))),4)</f>
        <v>1.0679000000000001</v>
      </c>
      <c r="V5" s="3111">
        <f>ROUND(IF(项目基本情况!$B$8="出让",SUMPRODUCT(PRODUCT(1+O5:$O$24)),SUMPRODUCT(PRODUCT(1+O5:$O$23))),4)</f>
        <v>1.0871999999999999</v>
      </c>
      <c r="W5" s="3111">
        <f t="shared" ref="W5:W11" si="7">T5</f>
        <v>0.99129999999999996</v>
      </c>
      <c r="X5" s="3100"/>
      <c r="Y5" s="3102">
        <f t="shared" ref="Y5" si="8">IF(D5=0,0,ROUND(AVERAGE(D5:D18)/100,4))</f>
        <v>0</v>
      </c>
      <c r="Z5" s="3102">
        <f t="shared" ref="Z5" si="9">IF(E5=0,0,ROUND(AVERAGE(E5:E18)/100,4))</f>
        <v>0</v>
      </c>
      <c r="AA5" s="3102">
        <f t="shared" ref="AA5" si="10">IF(F5=0,0,ROUND(AVERAGE(F5:F18)/100,4))</f>
        <v>0</v>
      </c>
      <c r="AB5" s="3102">
        <f t="shared" ref="AB5" si="11">IF(G5=0,0,ROUND(AVERAGE(G5:G18)/100,4))</f>
        <v>0</v>
      </c>
      <c r="AC5" s="3102">
        <f t="shared" ref="AC5" si="12">IF(H5=0,0,ROUND(AVERAGE(H5:H18)/100,4))</f>
        <v>0</v>
      </c>
      <c r="AD5" s="3102">
        <f t="shared" ref="AD5" si="13">AA5</f>
        <v>0</v>
      </c>
      <c r="AF5" s="3397">
        <f t="shared" ref="AF5" si="14">$AF$24*R5</f>
        <v>105.72</v>
      </c>
      <c r="AG5" s="3397">
        <f t="shared" ref="AG5" si="15">$AG$24*S5</f>
        <v>103.39</v>
      </c>
      <c r="AH5" s="3397">
        <f t="shared" ref="AH5" si="16">$AH$24*T5</f>
        <v>99.13</v>
      </c>
      <c r="AI5" s="3397">
        <f t="shared" ref="AI5" si="17">$AI$24*U5</f>
        <v>106.79</v>
      </c>
      <c r="AJ5" s="3397">
        <f t="shared" ref="AJ5" si="18">$AJ$24*V5</f>
        <v>108.72</v>
      </c>
      <c r="AK5" s="3397">
        <f t="shared" ref="AK5" si="19">$AK$24*W5</f>
        <v>99.13</v>
      </c>
      <c r="AM5" s="3396">
        <v>100</v>
      </c>
      <c r="AN5" s="3396">
        <v>100</v>
      </c>
      <c r="AO5" s="3396">
        <v>100</v>
      </c>
      <c r="AP5" s="3396">
        <v>100</v>
      </c>
      <c r="AQ5" s="3396">
        <v>100</v>
      </c>
      <c r="AR5" s="3396">
        <v>100</v>
      </c>
    </row>
    <row r="6" spans="1:44">
      <c r="A6" s="3385" t="s">
        <v>3295</v>
      </c>
      <c r="B6" s="3132">
        <v>2025</v>
      </c>
      <c r="C6" s="3133">
        <v>3</v>
      </c>
      <c r="D6" s="3133">
        <v>0</v>
      </c>
      <c r="E6" s="3133">
        <v>0</v>
      </c>
      <c r="F6" s="3133">
        <v>0</v>
      </c>
      <c r="G6" s="3133">
        <v>0</v>
      </c>
      <c r="H6" s="3133">
        <v>0</v>
      </c>
      <c r="I6" s="3134">
        <f t="shared" ref="I6" si="20">F6</f>
        <v>0</v>
      </c>
      <c r="J6" s="3100"/>
      <c r="K6" s="3101">
        <f t="shared" ref="K6" si="21">D6/100</f>
        <v>0</v>
      </c>
      <c r="L6" s="3102">
        <f t="shared" ref="L6" si="22">E6/100</f>
        <v>0</v>
      </c>
      <c r="M6" s="3102">
        <f t="shared" ref="M6" si="23">F6/100</f>
        <v>0</v>
      </c>
      <c r="N6" s="3102">
        <f t="shared" ref="N6" si="24">G6/100</f>
        <v>0</v>
      </c>
      <c r="O6" s="3102">
        <f t="shared" ref="O6" si="25">H6/100</f>
        <v>0</v>
      </c>
      <c r="P6" s="3102">
        <f t="shared" si="6"/>
        <v>0</v>
      </c>
      <c r="Q6" s="3100"/>
      <c r="R6" s="3111">
        <f>ROUND(IF(项目基本情况!$B$8="出让",SUMPRODUCT(PRODUCT(1+K6:$K$24)),SUMPRODUCT(PRODUCT(1+K6:$K$23))),4)</f>
        <v>1.0571999999999999</v>
      </c>
      <c r="S6" s="3111">
        <f>ROUND(IF(项目基本情况!$B$8="出让",SUMPRODUCT(PRODUCT(1+L6:$L$24)),SUMPRODUCT(PRODUCT(1+L6:$L$23))),4)</f>
        <v>1.0339</v>
      </c>
      <c r="T6" s="3111">
        <f>ROUND(IF(项目基本情况!$B$8="出让",SUMPRODUCT(PRODUCT(1+M6:$M$24)),SUMPRODUCT(PRODUCT(1+M6:$M$23))),4)</f>
        <v>0.99129999999999996</v>
      </c>
      <c r="U6" s="3111">
        <f>ROUND(IF(项目基本情况!$B$8="出让",SUMPRODUCT(PRODUCT(1+N6:$N$24)),SUMPRODUCT(PRODUCT(1+N6:$N$23))),4)</f>
        <v>1.0679000000000001</v>
      </c>
      <c r="V6" s="3111">
        <f>ROUND(IF(项目基本情况!$B$8="出让",SUMPRODUCT(PRODUCT(1+O6:$O$24)),SUMPRODUCT(PRODUCT(1+O6:$O$23))),4)</f>
        <v>1.0871999999999999</v>
      </c>
      <c r="W6" s="3111">
        <f t="shared" si="7"/>
        <v>0.99129999999999996</v>
      </c>
      <c r="X6" s="3100"/>
      <c r="Y6" s="3102">
        <f t="shared" ref="Y6" si="26">IF(D6=0,0,ROUND(AVERAGE(D6:D19)/100,4))</f>
        <v>0</v>
      </c>
      <c r="Z6" s="3102">
        <f t="shared" ref="Z6" si="27">IF(E6=0,0,ROUND(AVERAGE(E6:E19)/100,4))</f>
        <v>0</v>
      </c>
      <c r="AA6" s="3102">
        <f t="shared" ref="AA6" si="28">IF(F6=0,0,ROUND(AVERAGE(F6:F19)/100,4))</f>
        <v>0</v>
      </c>
      <c r="AB6" s="3102">
        <f t="shared" ref="AB6" si="29">IF(G6=0,0,ROUND(AVERAGE(G6:G19)/100,4))</f>
        <v>0</v>
      </c>
      <c r="AC6" s="3102">
        <f t="shared" ref="AC6" si="30">IF(H6=0,0,ROUND(AVERAGE(H6:H19)/100,4))</f>
        <v>0</v>
      </c>
      <c r="AD6" s="3102">
        <f t="shared" ref="AD6" si="31">AA6</f>
        <v>0</v>
      </c>
      <c r="AF6" s="3397">
        <f t="shared" ref="AF6" si="32">$AF$24*R6</f>
        <v>105.72</v>
      </c>
      <c r="AG6" s="3397">
        <f t="shared" ref="AG6" si="33">$AG$24*S6</f>
        <v>103.39</v>
      </c>
      <c r="AH6" s="3397">
        <f t="shared" ref="AH6" si="34">$AH$24*T6</f>
        <v>99.13</v>
      </c>
      <c r="AI6" s="3397">
        <f t="shared" ref="AI6" si="35">$AI$24*U6</f>
        <v>106.79</v>
      </c>
      <c r="AJ6" s="3397">
        <f t="shared" ref="AJ6" si="36">$AJ$24*V6</f>
        <v>108.72</v>
      </c>
      <c r="AK6" s="3397">
        <f t="shared" ref="AK6" si="37">$AK$24*W6</f>
        <v>99.13</v>
      </c>
      <c r="AM6" s="3397">
        <f>AM5/(1+D5/100)</f>
        <v>100</v>
      </c>
      <c r="AN6" s="3397">
        <f t="shared" ref="AN6:AR6" si="38">AN5/(1+E5/100)</f>
        <v>100</v>
      </c>
      <c r="AO6" s="3397">
        <f t="shared" si="38"/>
        <v>100</v>
      </c>
      <c r="AP6" s="3397">
        <f t="shared" si="38"/>
        <v>100</v>
      </c>
      <c r="AQ6" s="3397">
        <f t="shared" si="38"/>
        <v>100</v>
      </c>
      <c r="AR6" s="3397">
        <f t="shared" si="38"/>
        <v>100</v>
      </c>
    </row>
    <row r="7" spans="1:44">
      <c r="A7" s="3084" t="s">
        <v>3297</v>
      </c>
      <c r="B7" s="3135">
        <v>2025</v>
      </c>
      <c r="C7" s="3136">
        <v>2</v>
      </c>
      <c r="D7" s="3136">
        <v>0</v>
      </c>
      <c r="E7" s="3136">
        <v>0</v>
      </c>
      <c r="F7" s="3136">
        <v>0</v>
      </c>
      <c r="G7" s="3136">
        <v>0</v>
      </c>
      <c r="H7" s="3137">
        <v>0</v>
      </c>
      <c r="I7" s="3138">
        <f t="shared" ref="I7" si="39">F7</f>
        <v>0</v>
      </c>
      <c r="J7" s="3103"/>
      <c r="K7" s="3104">
        <f t="shared" ref="K7" si="40">D7/100</f>
        <v>0</v>
      </c>
      <c r="L7" s="3105">
        <f t="shared" ref="L7" si="41">E7/100</f>
        <v>0</v>
      </c>
      <c r="M7" s="3105">
        <f t="shared" ref="M7" si="42">F7/100</f>
        <v>0</v>
      </c>
      <c r="N7" s="3105">
        <f t="shared" ref="N7" si="43">G7/100</f>
        <v>0</v>
      </c>
      <c r="O7" s="3105">
        <f t="shared" ref="O7" si="44">H7/100</f>
        <v>0</v>
      </c>
      <c r="P7" s="3105">
        <f t="shared" si="6"/>
        <v>0</v>
      </c>
      <c r="Q7" s="3103"/>
      <c r="R7" s="3103">
        <f>ROUND(IF(项目基本情况!$B$8="出让",SUMPRODUCT(PRODUCT(1+K7:$K$24)),SUMPRODUCT(PRODUCT(1+K7:$K$23))),4)</f>
        <v>1.0571999999999999</v>
      </c>
      <c r="S7" s="3103">
        <f>ROUND(IF(项目基本情况!$B$8="出让",SUMPRODUCT(PRODUCT(1+L7:$L$24)),SUMPRODUCT(PRODUCT(1+L7:$L$23))),4)</f>
        <v>1.0339</v>
      </c>
      <c r="T7" s="3103">
        <f>ROUND(IF(项目基本情况!$B$8="出让",SUMPRODUCT(PRODUCT(1+M7:$M$24)),SUMPRODUCT(PRODUCT(1+M7:$M$23))),4)</f>
        <v>0.99129999999999996</v>
      </c>
      <c r="U7" s="3103">
        <f>ROUND(IF(项目基本情况!$B$8="出让",SUMPRODUCT(PRODUCT(1+N7:$N$24)),SUMPRODUCT(PRODUCT(1+N7:$N$23))),4)</f>
        <v>1.0679000000000001</v>
      </c>
      <c r="V7" s="3103">
        <f>ROUND(IF(项目基本情况!$B$8="出让",SUMPRODUCT(PRODUCT(1+O7:$O$24)),SUMPRODUCT(PRODUCT(1+O7:$O$23))),4)</f>
        <v>1.0871999999999999</v>
      </c>
      <c r="W7" s="3103">
        <f t="shared" si="7"/>
        <v>0.99129999999999996</v>
      </c>
      <c r="X7" s="3100"/>
      <c r="Y7" s="3102">
        <f t="shared" ref="Y7" si="45">IF(D7=0,0,ROUND(AVERAGE(D7:D20)/100,4))</f>
        <v>0</v>
      </c>
      <c r="Z7" s="3102">
        <f t="shared" ref="Z7" si="46">IF(E7=0,0,ROUND(AVERAGE(E7:E20)/100,4))</f>
        <v>0</v>
      </c>
      <c r="AA7" s="3102">
        <f t="shared" ref="AA7" si="47">IF(F7=0,0,ROUND(AVERAGE(F7:F20)/100,4))</f>
        <v>0</v>
      </c>
      <c r="AB7" s="3102">
        <f t="shared" ref="AB7" si="48">IF(G7=0,0,ROUND(AVERAGE(G7:G20)/100,4))</f>
        <v>0</v>
      </c>
      <c r="AC7" s="3102">
        <f t="shared" ref="AC7" si="49">IF(H7=0,0,ROUND(AVERAGE(H7:H20)/100,4))</f>
        <v>0</v>
      </c>
      <c r="AD7" s="3102">
        <f t="shared" ref="AD7" si="50">AA7</f>
        <v>0</v>
      </c>
      <c r="AF7" s="3397">
        <f t="shared" ref="AF7" si="51">$AF$24*R7</f>
        <v>105.72</v>
      </c>
      <c r="AG7" s="3397">
        <f t="shared" ref="AG7" si="52">$AG$24*S7</f>
        <v>103.39</v>
      </c>
      <c r="AH7" s="3397">
        <f t="shared" ref="AH7" si="53">$AH$24*T7</f>
        <v>99.13</v>
      </c>
      <c r="AI7" s="3397">
        <f t="shared" ref="AI7" si="54">$AI$24*U7</f>
        <v>106.79</v>
      </c>
      <c r="AJ7" s="3397">
        <f t="shared" ref="AJ7" si="55">$AJ$24*V7</f>
        <v>108.72</v>
      </c>
      <c r="AK7" s="3397">
        <f t="shared" ref="AK7" si="56">$AK$24*W7</f>
        <v>99.13</v>
      </c>
      <c r="AM7" s="3397">
        <f t="shared" ref="AM7:AM24" si="57">AM6/(1+D6/100)</f>
        <v>100</v>
      </c>
      <c r="AN7" s="3397">
        <f t="shared" ref="AN7:AN24" si="58">AN6/(1+E6/100)</f>
        <v>100</v>
      </c>
      <c r="AO7" s="3397">
        <f t="shared" ref="AO7:AO24" si="59">AO6/(1+F6/100)</f>
        <v>100</v>
      </c>
      <c r="AP7" s="3397">
        <f t="shared" ref="AP7:AP24" si="60">AP6/(1+G6/100)</f>
        <v>100</v>
      </c>
      <c r="AQ7" s="3397">
        <f t="shared" ref="AQ7:AQ24" si="61">AQ6/(1+H6/100)</f>
        <v>100</v>
      </c>
      <c r="AR7" s="3397">
        <f t="shared" ref="AR7:AR24" si="62">AR6/(1+I6/100)</f>
        <v>100</v>
      </c>
    </row>
    <row r="8" spans="1:44">
      <c r="A8" s="3385" t="s">
        <v>3243</v>
      </c>
      <c r="B8" s="3132">
        <v>2025</v>
      </c>
      <c r="C8" s="3133">
        <v>1</v>
      </c>
      <c r="D8" s="3133">
        <v>0.56999999999999995</v>
      </c>
      <c r="E8" s="3133">
        <v>-0.56999999999999995</v>
      </c>
      <c r="F8" s="3133">
        <v>-0.9</v>
      </c>
      <c r="G8" s="3133">
        <v>1.1200000000000001</v>
      </c>
      <c r="H8" s="3133">
        <v>0.42</v>
      </c>
      <c r="I8" s="3134">
        <f t="shared" ref="I8" si="63">F8</f>
        <v>-0.9</v>
      </c>
      <c r="J8" s="3100"/>
      <c r="K8" s="3101">
        <f t="shared" ref="K8" si="64">D8/100</f>
        <v>5.6999999999999993E-3</v>
      </c>
      <c r="L8" s="3102">
        <f t="shared" ref="L8" si="65">E8/100</f>
        <v>-5.6999999999999993E-3</v>
      </c>
      <c r="M8" s="3102">
        <f t="shared" ref="M8" si="66">F8/100</f>
        <v>-9.0000000000000011E-3</v>
      </c>
      <c r="N8" s="3102">
        <f t="shared" ref="N8" si="67">G8/100</f>
        <v>1.1200000000000002E-2</v>
      </c>
      <c r="O8" s="3102">
        <f t="shared" ref="O8" si="68">H8/100</f>
        <v>4.1999999999999997E-3</v>
      </c>
      <c r="P8" s="3102">
        <f t="shared" si="6"/>
        <v>-9.0000000000000011E-3</v>
      </c>
      <c r="Q8" s="3100"/>
      <c r="R8" s="3111">
        <f>ROUND(IF(项目基本情况!$B$8="出让",SUMPRODUCT(PRODUCT(1+K8:$K$24)),SUMPRODUCT(PRODUCT(1+K8:$K$23))),4)</f>
        <v>1.0571999999999999</v>
      </c>
      <c r="S8" s="3111">
        <f>ROUND(IF(项目基本情况!$B$8="出让",SUMPRODUCT(PRODUCT(1+L8:$L$24)),SUMPRODUCT(PRODUCT(1+L8:$L$23))),4)</f>
        <v>1.0339</v>
      </c>
      <c r="T8" s="3111">
        <f>ROUND(IF(项目基本情况!$B$8="出让",SUMPRODUCT(PRODUCT(1+M8:$M$24)),SUMPRODUCT(PRODUCT(1+M8:$M$23))),4)</f>
        <v>0.99129999999999996</v>
      </c>
      <c r="U8" s="3111">
        <f>ROUND(IF(项目基本情况!$B$8="出让",SUMPRODUCT(PRODUCT(1+N8:$N$24)),SUMPRODUCT(PRODUCT(1+N8:$N$23))),4)</f>
        <v>1.0679000000000001</v>
      </c>
      <c r="V8" s="3111">
        <f>ROUND(IF(项目基本情况!$B$8="出让",SUMPRODUCT(PRODUCT(1+O8:$O$24)),SUMPRODUCT(PRODUCT(1+O8:$O$23))),4)</f>
        <v>1.0871999999999999</v>
      </c>
      <c r="W8" s="3111">
        <f t="shared" si="7"/>
        <v>0.99129999999999996</v>
      </c>
      <c r="X8" s="3100"/>
      <c r="Y8" s="3102">
        <f t="shared" ref="Y8" si="69">IF(D8=0,0,ROUND(AVERAGE(D8:D21)/100,4))</f>
        <v>3.0000000000000001E-3</v>
      </c>
      <c r="Z8" s="3102">
        <f t="shared" ref="Z8" si="70">IF(E8=0,0,ROUND(AVERAGE(E8:E21)/100,4))</f>
        <v>1.6000000000000001E-3</v>
      </c>
      <c r="AA8" s="3102">
        <f t="shared" ref="AA8" si="71">IF(F8=0,0,ROUND(AVERAGE(F8:F21)/100,4))</f>
        <v>-1.1000000000000001E-3</v>
      </c>
      <c r="AB8" s="3102">
        <f t="shared" ref="AB8" si="72">IF(G8=0,0,ROUND(AVERAGE(G8:G21)/100,4))</f>
        <v>3.7000000000000002E-3</v>
      </c>
      <c r="AC8" s="3102">
        <f t="shared" ref="AC8" si="73">IF(H8=0,0,ROUND(AVERAGE(H8:H21)/100,4))</f>
        <v>4.8999999999999998E-3</v>
      </c>
      <c r="AD8" s="3102">
        <f t="shared" ref="AD8" si="74">AA8</f>
        <v>-1.1000000000000001E-3</v>
      </c>
      <c r="AF8" s="3397">
        <f t="shared" ref="AF8:AF22" si="75">$AF$24*R8</f>
        <v>105.72</v>
      </c>
      <c r="AG8" s="3397">
        <f t="shared" ref="AG8:AG22" si="76">$AG$24*S8</f>
        <v>103.39</v>
      </c>
      <c r="AH8" s="3397">
        <f t="shared" ref="AH8:AH22" si="77">$AH$24*T8</f>
        <v>99.13</v>
      </c>
      <c r="AI8" s="3397">
        <f t="shared" ref="AI8:AI22" si="78">$AI$24*U8</f>
        <v>106.79</v>
      </c>
      <c r="AJ8" s="3397">
        <f t="shared" ref="AJ8:AJ22" si="79">$AJ$24*V8</f>
        <v>108.72</v>
      </c>
      <c r="AK8" s="3397">
        <f t="shared" ref="AK8:AK22" si="80">$AK$24*W8</f>
        <v>99.13</v>
      </c>
      <c r="AM8" s="3397">
        <f t="shared" si="57"/>
        <v>100</v>
      </c>
      <c r="AN8" s="3397">
        <f t="shared" si="58"/>
        <v>100</v>
      </c>
      <c r="AO8" s="3397">
        <f t="shared" si="59"/>
        <v>100</v>
      </c>
      <c r="AP8" s="3397">
        <f t="shared" si="60"/>
        <v>100</v>
      </c>
      <c r="AQ8" s="3397">
        <f t="shared" si="61"/>
        <v>100</v>
      </c>
      <c r="AR8" s="3397">
        <f t="shared" si="62"/>
        <v>100</v>
      </c>
    </row>
    <row r="9" spans="1:44">
      <c r="A9" s="3385" t="s">
        <v>3298</v>
      </c>
      <c r="B9" s="3132">
        <v>2024</v>
      </c>
      <c r="C9" s="3133">
        <v>4</v>
      </c>
      <c r="D9" s="3133">
        <v>-1.02</v>
      </c>
      <c r="E9" s="3133">
        <v>-0.48</v>
      </c>
      <c r="F9" s="3133">
        <v>-0.75</v>
      </c>
      <c r="G9" s="3133">
        <v>-1.05</v>
      </c>
      <c r="H9" s="3133">
        <v>0.08</v>
      </c>
      <c r="I9" s="3134">
        <f t="shared" ref="I9" si="81">F9</f>
        <v>-0.75</v>
      </c>
      <c r="J9" s="3100"/>
      <c r="K9" s="3101">
        <f t="shared" ref="K9" si="82">D9/100</f>
        <v>-1.0200000000000001E-2</v>
      </c>
      <c r="L9" s="3102">
        <f t="shared" ref="L9" si="83">E9/100</f>
        <v>-4.7999999999999996E-3</v>
      </c>
      <c r="M9" s="3102">
        <f t="shared" ref="M9" si="84">F9/100</f>
        <v>-7.4999999999999997E-3</v>
      </c>
      <c r="N9" s="3102">
        <f t="shared" ref="N9" si="85">G9/100</f>
        <v>-1.0500000000000001E-2</v>
      </c>
      <c r="O9" s="3102">
        <f t="shared" ref="O9" si="86">H9/100</f>
        <v>8.0000000000000004E-4</v>
      </c>
      <c r="P9" s="3102">
        <f t="shared" si="6"/>
        <v>-7.4999999999999997E-3</v>
      </c>
      <c r="Q9" s="3100"/>
      <c r="R9" s="3111">
        <f>ROUND(IF(项目基本情况!$B$8="出让",SUMPRODUCT(PRODUCT(1+K9:$K$24)),SUMPRODUCT(PRODUCT(1+K9:$K$23))),4)</f>
        <v>1.0511999999999999</v>
      </c>
      <c r="S9" s="3111">
        <f>ROUND(IF(项目基本情况!$B$8="出让",SUMPRODUCT(PRODUCT(1+L9:$L$24)),SUMPRODUCT(PRODUCT(1+L9:$L$23))),4)</f>
        <v>1.0398000000000001</v>
      </c>
      <c r="T9" s="3111">
        <f>ROUND(IF(项目基本情况!$B$8="出让",SUMPRODUCT(PRODUCT(1+M9:$M$24)),SUMPRODUCT(PRODUCT(1+M9:$M$23))),4)</f>
        <v>1.0003</v>
      </c>
      <c r="U9" s="3111">
        <f>ROUND(IF(项目基本情况!$B$8="出让",SUMPRODUCT(PRODUCT(1+N9:$N$24)),SUMPRODUCT(PRODUCT(1+N9:$N$23))),4)</f>
        <v>1.0561</v>
      </c>
      <c r="V9" s="3111">
        <f>ROUND(IF(项目基本情况!$B$8="出让",SUMPRODUCT(PRODUCT(1+O9:$O$24)),SUMPRODUCT(PRODUCT(1+O9:$O$23))),4)</f>
        <v>1.0827</v>
      </c>
      <c r="W9" s="3111">
        <f t="shared" si="7"/>
        <v>1.0003</v>
      </c>
      <c r="X9" s="3103"/>
      <c r="Y9" s="3105">
        <f t="shared" ref="Y9" si="87">IF(D9=0,0,ROUND(AVERAGE(D9:D22)/100,4))</f>
        <v>2.8999999999999998E-3</v>
      </c>
      <c r="Z9" s="3105">
        <f t="shared" ref="Z9" si="88">IF(E9=0,0,ROUND(AVERAGE(E9:E22)/100,4))</f>
        <v>2.3E-3</v>
      </c>
      <c r="AA9" s="3105">
        <f t="shared" ref="AA9" si="89">IF(F9=0,0,ROUND(AVERAGE(F9:F22)/100,4))</f>
        <v>-2.9999999999999997E-4</v>
      </c>
      <c r="AB9" s="3105">
        <f t="shared" ref="AB9" si="90">IF(G9=0,0,ROUND(AVERAGE(G9:G22)/100,4))</f>
        <v>3.3E-3</v>
      </c>
      <c r="AC9" s="3105">
        <f t="shared" ref="AC9" si="91">IF(H9=0,0,ROUND(AVERAGE(H9:H22)/100,4))</f>
        <v>5.0000000000000001E-3</v>
      </c>
      <c r="AD9" s="3105">
        <f t="shared" ref="AD9" si="92">AA9</f>
        <v>-2.9999999999999997E-4</v>
      </c>
      <c r="AF9" s="3397">
        <f t="shared" si="75"/>
        <v>105.11999999999999</v>
      </c>
      <c r="AG9" s="3397">
        <f t="shared" si="76"/>
        <v>103.98</v>
      </c>
      <c r="AH9" s="3397">
        <f t="shared" si="77"/>
        <v>100.03</v>
      </c>
      <c r="AI9" s="3397">
        <f t="shared" si="78"/>
        <v>105.61</v>
      </c>
      <c r="AJ9" s="3397">
        <f t="shared" si="79"/>
        <v>108.27</v>
      </c>
      <c r="AK9" s="3397">
        <f t="shared" si="80"/>
        <v>100.03</v>
      </c>
      <c r="AM9" s="3397">
        <f t="shared" si="57"/>
        <v>99.433230585661718</v>
      </c>
      <c r="AN9" s="3397">
        <f t="shared" si="58"/>
        <v>100.57326762546515</v>
      </c>
      <c r="AO9" s="3397">
        <f t="shared" si="59"/>
        <v>100.90817356205852</v>
      </c>
      <c r="AP9" s="3397">
        <f t="shared" si="60"/>
        <v>98.892405063291136</v>
      </c>
      <c r="AQ9" s="3397">
        <f t="shared" si="61"/>
        <v>99.581756622186816</v>
      </c>
      <c r="AR9" s="3397">
        <f t="shared" si="62"/>
        <v>100.90817356205852</v>
      </c>
    </row>
    <row r="10" spans="1:44">
      <c r="A10" s="3385" t="s">
        <v>3238</v>
      </c>
      <c r="B10" s="3132">
        <v>2024</v>
      </c>
      <c r="C10" s="3133">
        <v>3</v>
      </c>
      <c r="D10" s="3133">
        <v>-1.19</v>
      </c>
      <c r="E10" s="3133">
        <v>-0.47</v>
      </c>
      <c r="F10" s="3133">
        <v>-0.28999999999999998</v>
      </c>
      <c r="G10" s="3133">
        <v>-0.74</v>
      </c>
      <c r="H10" s="3133">
        <v>-0.21</v>
      </c>
      <c r="I10" s="3134">
        <f t="shared" ref="I10" si="93">F10</f>
        <v>-0.28999999999999998</v>
      </c>
      <c r="J10" s="3100"/>
      <c r="K10" s="3101">
        <f t="shared" ref="K10" si="94">D10/100</f>
        <v>-1.1899999999999999E-2</v>
      </c>
      <c r="L10" s="3102">
        <f t="shared" ref="L10" si="95">E10/100</f>
        <v>-4.6999999999999993E-3</v>
      </c>
      <c r="M10" s="3102">
        <f t="shared" ref="M10" si="96">F10/100</f>
        <v>-2.8999999999999998E-3</v>
      </c>
      <c r="N10" s="3102">
        <f t="shared" ref="N10" si="97">G10/100</f>
        <v>-7.4000000000000003E-3</v>
      </c>
      <c r="O10" s="3102">
        <f t="shared" ref="O10" si="98">H10/100</f>
        <v>-2.0999999999999999E-3</v>
      </c>
      <c r="P10" s="3102">
        <f t="shared" si="6"/>
        <v>-2.8999999999999998E-3</v>
      </c>
      <c r="Q10" s="3100"/>
      <c r="R10" s="3111">
        <f>ROUND(IF(项目基本情况!$B$8="出让",SUMPRODUCT(PRODUCT(1+K10:$K$24)),SUMPRODUCT(PRODUCT(1+K10:$K$23))),4)</f>
        <v>1.0620000000000001</v>
      </c>
      <c r="S10" s="3111">
        <f>ROUND(IF(项目基本情况!$B$8="出让",SUMPRODUCT(PRODUCT(1+L10:$L$24)),SUMPRODUCT(PRODUCT(1+L10:$L$23))),4)</f>
        <v>1.0448</v>
      </c>
      <c r="T10" s="3111">
        <f>ROUND(IF(项目基本情况!$B$8="出让",SUMPRODUCT(PRODUCT(1+M10:$M$24)),SUMPRODUCT(PRODUCT(1+M10:$M$23))),4)</f>
        <v>1.0079</v>
      </c>
      <c r="U10" s="3111">
        <f>ROUND(IF(项目基本情况!$B$8="出让",SUMPRODUCT(PRODUCT(1+N10:$N$24)),SUMPRODUCT(PRODUCT(1+N10:$N$23))),4)</f>
        <v>1.0672999999999999</v>
      </c>
      <c r="V10" s="3111">
        <f>ROUND(IF(项目基本情况!$B$8="出让",SUMPRODUCT(PRODUCT(1+O10:$O$24)),SUMPRODUCT(PRODUCT(1+O10:$O$23))),4)</f>
        <v>1.0818000000000001</v>
      </c>
      <c r="W10" s="3111">
        <f t="shared" si="7"/>
        <v>1.0079</v>
      </c>
      <c r="X10" s="3100"/>
      <c r="Y10" s="3102">
        <f t="shared" ref="Y10:AC11" si="99">IF(D10=0,0,ROUND(AVERAGE(D10:D23)/100,4))</f>
        <v>4.3E-3</v>
      </c>
      <c r="Z10" s="3102">
        <f t="shared" si="99"/>
        <v>3.0999999999999999E-3</v>
      </c>
      <c r="AA10" s="3102">
        <f t="shared" si="99"/>
        <v>5.9999999999999995E-4</v>
      </c>
      <c r="AB10" s="3102">
        <f t="shared" si="99"/>
        <v>4.7000000000000002E-3</v>
      </c>
      <c r="AC10" s="3102">
        <f t="shared" si="99"/>
        <v>5.5999999999999999E-3</v>
      </c>
      <c r="AD10" s="3102">
        <f t="shared" ref="AD10" si="100">AA10</f>
        <v>5.9999999999999995E-4</v>
      </c>
      <c r="AF10" s="3397">
        <f t="shared" si="75"/>
        <v>106.2</v>
      </c>
      <c r="AG10" s="3397">
        <f t="shared" si="76"/>
        <v>104.47999999999999</v>
      </c>
      <c r="AH10" s="3397">
        <f t="shared" si="77"/>
        <v>100.79</v>
      </c>
      <c r="AI10" s="3397">
        <f t="shared" si="78"/>
        <v>106.72999999999999</v>
      </c>
      <c r="AJ10" s="3397">
        <f t="shared" si="79"/>
        <v>108.18</v>
      </c>
      <c r="AK10" s="3397">
        <f t="shared" si="80"/>
        <v>100.79</v>
      </c>
      <c r="AM10" s="3397">
        <f t="shared" si="57"/>
        <v>100.45790117767399</v>
      </c>
      <c r="AN10" s="3397">
        <f t="shared" si="58"/>
        <v>101.05834769439826</v>
      </c>
      <c r="AO10" s="3397">
        <f t="shared" si="59"/>
        <v>101.670703840865</v>
      </c>
      <c r="AP10" s="3397">
        <f t="shared" si="60"/>
        <v>99.941793899233076</v>
      </c>
      <c r="AQ10" s="3397">
        <f t="shared" si="61"/>
        <v>99.502154898268216</v>
      </c>
      <c r="AR10" s="3397">
        <f t="shared" si="62"/>
        <v>101.670703840865</v>
      </c>
    </row>
    <row r="11" spans="1:44">
      <c r="A11" s="3083" t="s">
        <v>3244</v>
      </c>
      <c r="B11" s="3132">
        <v>2024</v>
      </c>
      <c r="C11" s="3133">
        <v>2</v>
      </c>
      <c r="D11" s="3133">
        <v>-0.59</v>
      </c>
      <c r="E11" s="3133">
        <v>-0.21</v>
      </c>
      <c r="F11" s="3133">
        <v>-1.38</v>
      </c>
      <c r="G11" s="3133">
        <v>-1.24</v>
      </c>
      <c r="H11" s="3139">
        <v>0.34</v>
      </c>
      <c r="I11" s="3134">
        <f t="shared" ref="I11:I24" si="101">F11</f>
        <v>-1.38</v>
      </c>
      <c r="J11" s="3100"/>
      <c r="K11" s="3101">
        <f t="shared" ref="K11:O24" si="102">D11/100</f>
        <v>-5.8999999999999999E-3</v>
      </c>
      <c r="L11" s="3102">
        <f t="shared" si="102"/>
        <v>-2.0999999999999999E-3</v>
      </c>
      <c r="M11" s="3102">
        <f t="shared" si="102"/>
        <v>-1.38E-2</v>
      </c>
      <c r="N11" s="3102">
        <f t="shared" si="102"/>
        <v>-1.24E-2</v>
      </c>
      <c r="O11" s="3102">
        <f t="shared" si="102"/>
        <v>3.4000000000000002E-3</v>
      </c>
      <c r="P11" s="3102">
        <f t="shared" si="6"/>
        <v>-1.38E-2</v>
      </c>
      <c r="Q11" s="3100"/>
      <c r="R11" s="3111">
        <f>ROUND(IF(项目基本情况!$B$8="出让",SUMPRODUCT(PRODUCT(1+K11:$K$24)),SUMPRODUCT(PRODUCT(1+K11:$K$23))),4)</f>
        <v>1.0748</v>
      </c>
      <c r="S11" s="3111">
        <f>ROUND(IF(项目基本情况!$B$8="出让",SUMPRODUCT(PRODUCT(1+L11:$L$24)),SUMPRODUCT(PRODUCT(1+L11:$L$23))),4)</f>
        <v>1.0498000000000001</v>
      </c>
      <c r="T11" s="3111">
        <f>ROUND(IF(项目基本情况!$B$8="出让",SUMPRODUCT(PRODUCT(1+M11:$M$24)),SUMPRODUCT(PRODUCT(1+M11:$M$23))),4)</f>
        <v>1.0107999999999999</v>
      </c>
      <c r="U11" s="3111">
        <f>ROUND(IF(项目基本情况!$B$8="出让",SUMPRODUCT(PRODUCT(1+N11:$N$24)),SUMPRODUCT(PRODUCT(1+N11:$N$23))),4)</f>
        <v>1.0752999999999999</v>
      </c>
      <c r="V11" s="3111">
        <f>ROUND(IF(项目基本情况!$B$8="出让",SUMPRODUCT(PRODUCT(1+O11:$O$24)),SUMPRODUCT(PRODUCT(1+O11:$O$23))),4)</f>
        <v>1.0841000000000001</v>
      </c>
      <c r="W11" s="3111">
        <f t="shared" si="7"/>
        <v>1.0107999999999999</v>
      </c>
      <c r="X11" s="3100"/>
      <c r="Y11" s="3102">
        <f t="shared" si="99"/>
        <v>5.8999999999999999E-3</v>
      </c>
      <c r="Z11" s="3102">
        <f t="shared" si="99"/>
        <v>3.5999999999999999E-3</v>
      </c>
      <c r="AA11" s="3102">
        <f t="shared" si="99"/>
        <v>5.9999999999999995E-4</v>
      </c>
      <c r="AB11" s="3102">
        <f t="shared" si="99"/>
        <v>6.0000000000000001E-3</v>
      </c>
      <c r="AC11" s="3102">
        <f t="shared" si="99"/>
        <v>6.0000000000000001E-3</v>
      </c>
      <c r="AD11" s="3102">
        <f t="shared" ref="AD11:AD23" si="103">AA11</f>
        <v>5.9999999999999995E-4</v>
      </c>
      <c r="AF11" s="3397">
        <f t="shared" si="75"/>
        <v>107.48</v>
      </c>
      <c r="AG11" s="3397">
        <f t="shared" si="76"/>
        <v>104.98</v>
      </c>
      <c r="AH11" s="3397">
        <f t="shared" si="77"/>
        <v>101.08</v>
      </c>
      <c r="AI11" s="3397">
        <f t="shared" si="78"/>
        <v>107.52999999999999</v>
      </c>
      <c r="AJ11" s="3397">
        <f t="shared" si="79"/>
        <v>108.41000000000001</v>
      </c>
      <c r="AK11" s="3397">
        <f t="shared" si="80"/>
        <v>101.08</v>
      </c>
      <c r="AM11" s="3397">
        <f t="shared" si="57"/>
        <v>101.66774737139357</v>
      </c>
      <c r="AN11" s="3397">
        <f t="shared" si="58"/>
        <v>101.53556484918946</v>
      </c>
      <c r="AO11" s="3397">
        <f t="shared" si="59"/>
        <v>101.9664064194815</v>
      </c>
      <c r="AP11" s="3397">
        <f t="shared" si="60"/>
        <v>100.68687678746028</v>
      </c>
      <c r="AQ11" s="3397">
        <f t="shared" si="61"/>
        <v>99.711549151486338</v>
      </c>
      <c r="AR11" s="3397">
        <f t="shared" si="62"/>
        <v>101.9664064194815</v>
      </c>
    </row>
    <row r="12" spans="1:44">
      <c r="A12" s="3083" t="s">
        <v>3241</v>
      </c>
      <c r="B12" s="3132">
        <v>2024</v>
      </c>
      <c r="C12" s="3133">
        <v>1</v>
      </c>
      <c r="D12" s="3133">
        <v>0.08</v>
      </c>
      <c r="E12" s="3133">
        <v>0.46</v>
      </c>
      <c r="F12" s="3133">
        <v>-0.16</v>
      </c>
      <c r="G12" s="3133">
        <v>0.26</v>
      </c>
      <c r="H12" s="3139">
        <v>0.59</v>
      </c>
      <c r="I12" s="3134">
        <f t="shared" si="101"/>
        <v>-0.16</v>
      </c>
      <c r="J12" s="3100"/>
      <c r="K12" s="3101">
        <f t="shared" ref="K12" si="104">D12/100</f>
        <v>8.0000000000000004E-4</v>
      </c>
      <c r="L12" s="3102">
        <f t="shared" ref="L12" si="105">E12/100</f>
        <v>4.5999999999999999E-3</v>
      </c>
      <c r="M12" s="3102">
        <f t="shared" ref="M12" si="106">F12/100</f>
        <v>-1.6000000000000001E-3</v>
      </c>
      <c r="N12" s="3102">
        <f t="shared" ref="N12" si="107">G12/100</f>
        <v>2.5999999999999999E-3</v>
      </c>
      <c r="O12" s="3102">
        <f t="shared" ref="O12" si="108">H12/100</f>
        <v>5.8999999999999999E-3</v>
      </c>
      <c r="P12" s="3102">
        <f t="shared" ref="P12" si="109">M12</f>
        <v>-1.6000000000000001E-3</v>
      </c>
      <c r="Q12" s="3100"/>
      <c r="R12" s="3111">
        <f>ROUND(IF(项目基本情况!$B$8="出让",SUMPRODUCT(PRODUCT(1+K12:$K$24)),SUMPRODUCT(PRODUCT(1+K12:$K$23))),4)</f>
        <v>1.0811999999999999</v>
      </c>
      <c r="S12" s="3111">
        <f>ROUND(IF(项目基本情况!$B$8="出让",SUMPRODUCT(PRODUCT(1+L12:$L$24)),SUMPRODUCT(PRODUCT(1+L12:$L$23))),4)</f>
        <v>1.052</v>
      </c>
      <c r="T12" s="3111">
        <f>ROUND(IF(项目基本情况!$B$8="出让",SUMPRODUCT(PRODUCT(1+M12:$M$24)),SUMPRODUCT(PRODUCT(1+M12:$M$23))),4)</f>
        <v>1.0249999999999999</v>
      </c>
      <c r="U12" s="3111">
        <f>ROUND(IF(项目基本情况!$B$8="出让",SUMPRODUCT(PRODUCT(1+N12:$N$24)),SUMPRODUCT(PRODUCT(1+N12:$N$23))),4)</f>
        <v>1.0888</v>
      </c>
      <c r="V12" s="3111">
        <f>ROUND(IF(项目基本情况!$B$8="出让",SUMPRODUCT(PRODUCT(1+O12:$O$24)),SUMPRODUCT(PRODUCT(1+O12:$O$23))),4)</f>
        <v>1.0804</v>
      </c>
      <c r="W12" s="3111">
        <f t="shared" ref="W12" si="110">T12</f>
        <v>1.0249999999999999</v>
      </c>
      <c r="X12" s="3100"/>
      <c r="Y12" s="3102">
        <f t="shared" ref="Y12" si="111">IF(D12=0,0,ROUND(AVERAGE(D12:D23)/100,4))</f>
        <v>6.4999999999999997E-3</v>
      </c>
      <c r="Z12" s="3102">
        <f t="shared" ref="Z12" si="112">IF(E12=0,0,ROUND(AVERAGE(E12:E23)/100,4))</f>
        <v>4.1999999999999997E-3</v>
      </c>
      <c r="AA12" s="3102">
        <f t="shared" ref="AA12" si="113">IF(F12=0,0,ROUND(AVERAGE(F12:F23)/100,4))</f>
        <v>2.0999999999999999E-3</v>
      </c>
      <c r="AB12" s="3102">
        <f t="shared" ref="AB12" si="114">IF(G12=0,0,ROUND(AVERAGE(G12:G23)/100,4))</f>
        <v>7.1000000000000004E-3</v>
      </c>
      <c r="AC12" s="3102">
        <f t="shared" ref="AC12" si="115">IF(H12=0,0,ROUND(AVERAGE(H12:H23)/100,4))</f>
        <v>6.4999999999999997E-3</v>
      </c>
      <c r="AD12" s="3102">
        <f t="shared" ref="AD12" si="116">AA12</f>
        <v>2.0999999999999999E-3</v>
      </c>
      <c r="AF12" s="3397">
        <f t="shared" si="75"/>
        <v>108.11999999999999</v>
      </c>
      <c r="AG12" s="3397">
        <f t="shared" si="76"/>
        <v>105.2</v>
      </c>
      <c r="AH12" s="3397">
        <f t="shared" si="77"/>
        <v>102.49999999999999</v>
      </c>
      <c r="AI12" s="3397">
        <f t="shared" si="78"/>
        <v>108.88</v>
      </c>
      <c r="AJ12" s="3397">
        <f t="shared" si="79"/>
        <v>108.04</v>
      </c>
      <c r="AK12" s="3397">
        <f t="shared" si="80"/>
        <v>102.49999999999999</v>
      </c>
      <c r="AM12" s="3397">
        <f t="shared" si="57"/>
        <v>102.27114713951673</v>
      </c>
      <c r="AN12" s="3397">
        <f t="shared" si="58"/>
        <v>101.74923824951344</v>
      </c>
      <c r="AO12" s="3397">
        <f t="shared" si="59"/>
        <v>103.3932330353696</v>
      </c>
      <c r="AP12" s="3397">
        <f t="shared" si="60"/>
        <v>101.95107005615662</v>
      </c>
      <c r="AQ12" s="3397">
        <f t="shared" si="61"/>
        <v>99.373678644096401</v>
      </c>
      <c r="AR12" s="3397">
        <f t="shared" si="62"/>
        <v>103.3932330353696</v>
      </c>
    </row>
    <row r="13" spans="1:44">
      <c r="A13" s="3083" t="s">
        <v>3236</v>
      </c>
      <c r="B13" s="3132">
        <v>2023</v>
      </c>
      <c r="C13" s="3133">
        <v>4</v>
      </c>
      <c r="D13" s="3133">
        <v>0.19</v>
      </c>
      <c r="E13" s="3133">
        <v>0.24</v>
      </c>
      <c r="F13" s="3133">
        <v>-0.16</v>
      </c>
      <c r="G13" s="3133">
        <v>0.17</v>
      </c>
      <c r="H13" s="3139">
        <v>0.61</v>
      </c>
      <c r="I13" s="3134">
        <f t="shared" ref="I13" si="117">F13</f>
        <v>-0.16</v>
      </c>
      <c r="J13" s="3100"/>
      <c r="K13" s="3101">
        <f t="shared" si="102"/>
        <v>1.9E-3</v>
      </c>
      <c r="L13" s="3102">
        <f t="shared" si="102"/>
        <v>2.3999999999999998E-3</v>
      </c>
      <c r="M13" s="3102">
        <f t="shared" si="102"/>
        <v>-1.6000000000000001E-3</v>
      </c>
      <c r="N13" s="3102">
        <f t="shared" si="102"/>
        <v>1.7000000000000001E-3</v>
      </c>
      <c r="O13" s="3102">
        <f t="shared" si="102"/>
        <v>6.0999999999999995E-3</v>
      </c>
      <c r="P13" s="3102">
        <f t="shared" ref="P13" si="118">M13</f>
        <v>-1.6000000000000001E-3</v>
      </c>
      <c r="Q13" s="3100"/>
      <c r="R13" s="3111">
        <f>ROUND(IF(项目基本情况!$B$8="出让",SUMPRODUCT(PRODUCT(1+K13:$K$24)),SUMPRODUCT(PRODUCT(1+K13:$K$23))),4)</f>
        <v>1.0804</v>
      </c>
      <c r="S13" s="3111">
        <f>ROUND(IF(项目基本情况!$B$8="出让",SUMPRODUCT(PRODUCT(1+L13:$L$24)),SUMPRODUCT(PRODUCT(1+L13:$L$23))),4)</f>
        <v>1.0471999999999999</v>
      </c>
      <c r="T13" s="3111">
        <f>ROUND(IF(项目基本情况!$B$8="出让",SUMPRODUCT(PRODUCT(1+M13:$M$24)),SUMPRODUCT(PRODUCT(1+M13:$M$23))),4)</f>
        <v>1.0266</v>
      </c>
      <c r="U13" s="3111">
        <f>ROUND(IF(项目基本情况!$B$8="出让",SUMPRODUCT(PRODUCT(1+N13:$N$24)),SUMPRODUCT(PRODUCT(1+N13:$N$23))),4)</f>
        <v>1.0859000000000001</v>
      </c>
      <c r="V13" s="3111">
        <f>ROUND(IF(项目基本情况!$B$8="出让",SUMPRODUCT(PRODUCT(1+O13:$O$24)),SUMPRODUCT(PRODUCT(1+O13:$O$23))),4)</f>
        <v>1.0741000000000001</v>
      </c>
      <c r="W13" s="3111">
        <f t="shared" ref="W13" si="119">T13</f>
        <v>1.0266</v>
      </c>
      <c r="X13" s="3100"/>
      <c r="Y13" s="3102">
        <f t="shared" ref="Y13" si="120">IF(D13=0,0,ROUND(AVERAGE(D13:D24)/100,4))</f>
        <v>7.3000000000000001E-3</v>
      </c>
      <c r="Z13" s="3102">
        <f t="shared" ref="Z13" si="121">IF(E13=0,0,ROUND(AVERAGE(E13:E24)/100,4))</f>
        <v>4.0000000000000001E-3</v>
      </c>
      <c r="AA13" s="3102">
        <f t="shared" ref="AA13" si="122">IF(F13=0,0,ROUND(AVERAGE(F13:F24)/100,4))</f>
        <v>2E-3</v>
      </c>
      <c r="AB13" s="3102">
        <f t="shared" ref="AB13" si="123">IF(G13=0,0,ROUND(AVERAGE(G13:G24)/100,4))</f>
        <v>7.7999999999999996E-3</v>
      </c>
      <c r="AC13" s="3102">
        <f t="shared" ref="AC13" si="124">IF(H13=0,0,ROUND(AVERAGE(H13:H24)/100,4))</f>
        <v>6.3E-3</v>
      </c>
      <c r="AD13" s="3102">
        <f t="shared" si="103"/>
        <v>2E-3</v>
      </c>
      <c r="AF13" s="3397">
        <f t="shared" si="75"/>
        <v>108.04</v>
      </c>
      <c r="AG13" s="3397">
        <f t="shared" si="76"/>
        <v>104.71999999999998</v>
      </c>
      <c r="AH13" s="3397">
        <f t="shared" si="77"/>
        <v>102.66</v>
      </c>
      <c r="AI13" s="3397">
        <f t="shared" si="78"/>
        <v>108.59</v>
      </c>
      <c r="AJ13" s="3397">
        <f t="shared" si="79"/>
        <v>107.41000000000001</v>
      </c>
      <c r="AK13" s="3397">
        <f t="shared" si="80"/>
        <v>102.66</v>
      </c>
      <c r="AM13" s="3397">
        <f t="shared" si="57"/>
        <v>102.18939562301833</v>
      </c>
      <c r="AN13" s="3397">
        <f t="shared" si="58"/>
        <v>101.28333490893236</v>
      </c>
      <c r="AO13" s="3397">
        <f t="shared" si="59"/>
        <v>103.55892731908014</v>
      </c>
      <c r="AP13" s="3397">
        <f t="shared" si="60"/>
        <v>101.68668467599903</v>
      </c>
      <c r="AQ13" s="3397">
        <f t="shared" si="61"/>
        <v>98.79081284829148</v>
      </c>
      <c r="AR13" s="3397">
        <f t="shared" si="62"/>
        <v>103.55892731908014</v>
      </c>
    </row>
    <row r="14" spans="1:44" s="3500" customFormat="1">
      <c r="A14" s="3492" t="s">
        <v>3235</v>
      </c>
      <c r="B14" s="3493">
        <v>2023</v>
      </c>
      <c r="C14" s="3494">
        <v>3</v>
      </c>
      <c r="D14" s="3494">
        <v>0.25</v>
      </c>
      <c r="E14" s="3494">
        <v>0.5</v>
      </c>
      <c r="F14" s="3494">
        <v>0.31</v>
      </c>
      <c r="G14" s="3494">
        <v>0.21</v>
      </c>
      <c r="H14" s="3495">
        <v>0.43</v>
      </c>
      <c r="I14" s="3496">
        <f t="shared" si="101"/>
        <v>0.31</v>
      </c>
      <c r="J14" s="3497"/>
      <c r="K14" s="3498">
        <f t="shared" ref="K14:K16" si="125">D14/100</f>
        <v>2.5000000000000001E-3</v>
      </c>
      <c r="L14" s="3499">
        <f t="shared" ref="L14:L16" si="126">E14/100</f>
        <v>5.0000000000000001E-3</v>
      </c>
      <c r="M14" s="3499">
        <f t="shared" ref="M14:M16" si="127">F14/100</f>
        <v>3.0999999999999999E-3</v>
      </c>
      <c r="N14" s="3499">
        <f t="shared" ref="N14:N16" si="128">G14/100</f>
        <v>2.0999999999999999E-3</v>
      </c>
      <c r="O14" s="3499">
        <f t="shared" ref="O14:O16" si="129">H14/100</f>
        <v>4.3E-3</v>
      </c>
      <c r="P14" s="3499">
        <f t="shared" ref="P14:P16" si="130">M14</f>
        <v>3.0999999999999999E-3</v>
      </c>
      <c r="Q14" s="3497"/>
      <c r="R14" s="3497">
        <f>ROUND(IF(项目基本情况!$B$8="出让",SUMPRODUCT(PRODUCT(1+K14:$K$24)),SUMPRODUCT(PRODUCT(1+K14:$K$23))),4)</f>
        <v>1.0783</v>
      </c>
      <c r="S14" s="3497">
        <f>ROUND(IF(项目基本情况!$B$8="出让",SUMPRODUCT(PRODUCT(1+L14:$L$24)),SUMPRODUCT(PRODUCT(1+L14:$L$23))),4)</f>
        <v>1.0447</v>
      </c>
      <c r="T14" s="3497">
        <f>ROUND(IF(项目基本情况!$B$8="出让",SUMPRODUCT(PRODUCT(1+M14:$M$24)),SUMPRODUCT(PRODUCT(1+M14:$M$23))),4)</f>
        <v>1.0282</v>
      </c>
      <c r="U14" s="3497">
        <f>ROUND(IF(项目基本情况!$B$8="出让",SUMPRODUCT(PRODUCT(1+N14:$N$24)),SUMPRODUCT(PRODUCT(1+N14:$N$23))),4)</f>
        <v>1.0841000000000001</v>
      </c>
      <c r="V14" s="3497">
        <f>ROUND(IF(项目基本情况!$B$8="出让",SUMPRODUCT(PRODUCT(1+O14:$O$24)),SUMPRODUCT(PRODUCT(1+O14:$O$23))),4)</f>
        <v>1.0674999999999999</v>
      </c>
      <c r="W14" s="3497">
        <f t="shared" ref="W14:W16" si="131">T14</f>
        <v>1.0282</v>
      </c>
      <c r="X14" s="3497"/>
      <c r="Y14" s="3499">
        <f t="shared" ref="Y14:AC14" si="132">IF(D14=0,0,ROUND(AVERAGE(D14:D25)/100,4))</f>
        <v>7.7999999999999996E-3</v>
      </c>
      <c r="Z14" s="3499">
        <f t="shared" si="132"/>
        <v>4.1000000000000003E-3</v>
      </c>
      <c r="AA14" s="3499">
        <f t="shared" si="132"/>
        <v>2.3E-3</v>
      </c>
      <c r="AB14" s="3499">
        <f t="shared" si="132"/>
        <v>8.3999999999999995E-3</v>
      </c>
      <c r="AC14" s="3499">
        <f t="shared" si="132"/>
        <v>6.3E-3</v>
      </c>
      <c r="AD14" s="3499">
        <f t="shared" ref="AD14:AD16" si="133">AA14</f>
        <v>2.3E-3</v>
      </c>
      <c r="AF14" s="3501">
        <f t="shared" si="75"/>
        <v>107.83</v>
      </c>
      <c r="AG14" s="3501">
        <f t="shared" si="76"/>
        <v>104.47</v>
      </c>
      <c r="AH14" s="3501">
        <f t="shared" si="77"/>
        <v>102.82</v>
      </c>
      <c r="AI14" s="3501">
        <f t="shared" si="78"/>
        <v>108.41000000000001</v>
      </c>
      <c r="AJ14" s="3501">
        <f t="shared" si="79"/>
        <v>106.74999999999999</v>
      </c>
      <c r="AK14" s="3501">
        <f t="shared" si="80"/>
        <v>102.82</v>
      </c>
      <c r="AM14" s="3501">
        <f t="shared" si="57"/>
        <v>101.99560397546495</v>
      </c>
      <c r="AN14" s="3501">
        <f t="shared" si="58"/>
        <v>101.04083690037147</v>
      </c>
      <c r="AO14" s="3501">
        <f t="shared" si="59"/>
        <v>103.72488713850174</v>
      </c>
      <c r="AP14" s="3501">
        <f t="shared" si="60"/>
        <v>101.51411068782971</v>
      </c>
      <c r="AQ14" s="3501">
        <f t="shared" si="61"/>
        <v>98.191842608380355</v>
      </c>
      <c r="AR14" s="3501">
        <f t="shared" si="62"/>
        <v>103.72488713850174</v>
      </c>
    </row>
    <row r="15" spans="1:44">
      <c r="A15" s="3083" t="s">
        <v>3233</v>
      </c>
      <c r="B15" s="3132">
        <v>2023</v>
      </c>
      <c r="C15" s="3133">
        <v>2</v>
      </c>
      <c r="D15" s="3133">
        <v>0.91</v>
      </c>
      <c r="E15" s="3133">
        <v>0.66</v>
      </c>
      <c r="F15" s="3133">
        <v>0.47</v>
      </c>
      <c r="G15" s="3133">
        <v>0.96</v>
      </c>
      <c r="H15" s="3139">
        <v>0.71</v>
      </c>
      <c r="I15" s="3134">
        <f t="shared" si="101"/>
        <v>0.47</v>
      </c>
      <c r="J15" s="3100"/>
      <c r="K15" s="3101">
        <f t="shared" si="125"/>
        <v>9.1000000000000004E-3</v>
      </c>
      <c r="L15" s="3102">
        <f t="shared" si="126"/>
        <v>6.6E-3</v>
      </c>
      <c r="M15" s="3102">
        <f t="shared" si="127"/>
        <v>4.6999999999999993E-3</v>
      </c>
      <c r="N15" s="3102">
        <f t="shared" si="128"/>
        <v>9.5999999999999992E-3</v>
      </c>
      <c r="O15" s="3102">
        <f t="shared" si="129"/>
        <v>7.0999999999999995E-3</v>
      </c>
      <c r="P15" s="3102">
        <f t="shared" si="130"/>
        <v>4.6999999999999993E-3</v>
      </c>
      <c r="Q15" s="3100"/>
      <c r="R15" s="3111">
        <f>ROUND(IF(项目基本情况!$B$8="出让",SUMPRODUCT(PRODUCT(1+K15:$K$24)),SUMPRODUCT(PRODUCT(1+K15:$K$23))),4)</f>
        <v>1.0755999999999999</v>
      </c>
      <c r="S15" s="3111">
        <f>ROUND(IF(项目基本情况!$B$8="出让",SUMPRODUCT(PRODUCT(1+L15:$L$24)),SUMPRODUCT(PRODUCT(1+L15:$L$23))),4)</f>
        <v>1.0395000000000001</v>
      </c>
      <c r="T15" s="3111">
        <f>ROUND(IF(项目基本情况!$B$8="出让",SUMPRODUCT(PRODUCT(1+M15:$M$24)),SUMPRODUCT(PRODUCT(1+M15:$M$23))),4)</f>
        <v>1.0250999999999999</v>
      </c>
      <c r="U15" s="3111">
        <f>ROUND(IF(项目基本情况!$B$8="出让",SUMPRODUCT(PRODUCT(1+N15:$N$24)),SUMPRODUCT(PRODUCT(1+N15:$N$23))),4)</f>
        <v>1.0818000000000001</v>
      </c>
      <c r="V15" s="3111">
        <f>ROUND(IF(项目基本情况!$B$8="出让",SUMPRODUCT(PRODUCT(1+O15:$O$24)),SUMPRODUCT(PRODUCT(1+O15:$O$23))),4)</f>
        <v>1.0629999999999999</v>
      </c>
      <c r="W15" s="3111">
        <f t="shared" si="131"/>
        <v>1.0250999999999999</v>
      </c>
      <c r="X15" s="3100"/>
      <c r="Y15" s="3102">
        <f t="shared" ref="Y15:AC15" si="134">IF(D15=0,0,ROUND(AVERAGE(D15:D26)/100,4))</f>
        <v>8.3000000000000001E-3</v>
      </c>
      <c r="Z15" s="3102">
        <f t="shared" si="134"/>
        <v>4.0000000000000001E-3</v>
      </c>
      <c r="AA15" s="3102">
        <f t="shared" si="134"/>
        <v>2.2000000000000001E-3</v>
      </c>
      <c r="AB15" s="3102">
        <f t="shared" si="134"/>
        <v>8.9999999999999993E-3</v>
      </c>
      <c r="AC15" s="3102">
        <f t="shared" si="134"/>
        <v>6.4999999999999997E-3</v>
      </c>
      <c r="AD15" s="3102">
        <f t="shared" si="133"/>
        <v>2.2000000000000001E-3</v>
      </c>
      <c r="AF15" s="3397">
        <f t="shared" si="75"/>
        <v>107.55999999999999</v>
      </c>
      <c r="AG15" s="3397">
        <f t="shared" si="76"/>
        <v>103.95</v>
      </c>
      <c r="AH15" s="3397">
        <f t="shared" si="77"/>
        <v>102.50999999999999</v>
      </c>
      <c r="AI15" s="3397">
        <f t="shared" si="78"/>
        <v>108.18</v>
      </c>
      <c r="AJ15" s="3397">
        <f t="shared" si="79"/>
        <v>106.3</v>
      </c>
      <c r="AK15" s="3397">
        <f t="shared" si="80"/>
        <v>102.50999999999999</v>
      </c>
      <c r="AM15" s="3397">
        <f t="shared" si="57"/>
        <v>101.74125084834409</v>
      </c>
      <c r="AN15" s="3397">
        <f t="shared" si="58"/>
        <v>100.53814616952387</v>
      </c>
      <c r="AO15" s="3397">
        <f t="shared" si="59"/>
        <v>103.40433370401927</v>
      </c>
      <c r="AP15" s="3397">
        <f t="shared" si="60"/>
        <v>101.30137779446135</v>
      </c>
      <c r="AQ15" s="3397">
        <f t="shared" si="61"/>
        <v>97.771425478821428</v>
      </c>
      <c r="AR15" s="3397">
        <f t="shared" si="62"/>
        <v>103.40433370401927</v>
      </c>
    </row>
    <row r="16" spans="1:44">
      <c r="A16" s="3083" t="s">
        <v>3231</v>
      </c>
      <c r="B16" s="3132">
        <v>2023</v>
      </c>
      <c r="C16" s="3133">
        <v>1</v>
      </c>
      <c r="D16" s="3133">
        <v>0.89</v>
      </c>
      <c r="E16" s="3133">
        <v>0.74</v>
      </c>
      <c r="F16" s="3133">
        <v>0.56999999999999995</v>
      </c>
      <c r="G16" s="3133">
        <v>0.92</v>
      </c>
      <c r="H16" s="3139">
        <v>0.5</v>
      </c>
      <c r="I16" s="3134">
        <f t="shared" si="101"/>
        <v>0.56999999999999995</v>
      </c>
      <c r="J16" s="3100"/>
      <c r="K16" s="3101">
        <f t="shared" si="125"/>
        <v>8.8999999999999999E-3</v>
      </c>
      <c r="L16" s="3102">
        <f t="shared" si="126"/>
        <v>7.4000000000000003E-3</v>
      </c>
      <c r="M16" s="3102">
        <f t="shared" si="127"/>
        <v>5.6999999999999993E-3</v>
      </c>
      <c r="N16" s="3102">
        <f t="shared" si="128"/>
        <v>9.1999999999999998E-3</v>
      </c>
      <c r="O16" s="3102">
        <f t="shared" si="129"/>
        <v>5.0000000000000001E-3</v>
      </c>
      <c r="P16" s="3102">
        <f t="shared" si="130"/>
        <v>5.6999999999999993E-3</v>
      </c>
      <c r="Q16" s="3100"/>
      <c r="R16" s="3111">
        <f>ROUND(IF(项目基本情况!$B$8="出让",SUMPRODUCT(PRODUCT(1+K16:$K$24)),SUMPRODUCT(PRODUCT(1+K16:$K$23))),4)</f>
        <v>1.0659000000000001</v>
      </c>
      <c r="S16" s="3111">
        <f>ROUND(IF(项目基本情况!$B$8="出让",SUMPRODUCT(PRODUCT(1+L16:$L$24)),SUMPRODUCT(PRODUCT(1+L16:$L$23))),4)</f>
        <v>1.0326</v>
      </c>
      <c r="T16" s="3111">
        <f>ROUND(IF(项目基本情况!$B$8="出让",SUMPRODUCT(PRODUCT(1+M16:$M$24)),SUMPRODUCT(PRODUCT(1+M16:$M$23))),4)</f>
        <v>1.0203</v>
      </c>
      <c r="U16" s="3111">
        <f>ROUND(IF(项目基本情况!$B$8="出让",SUMPRODUCT(PRODUCT(1+N16:$N$24)),SUMPRODUCT(PRODUCT(1+N16:$N$23))),4)</f>
        <v>1.0714999999999999</v>
      </c>
      <c r="V16" s="3111">
        <f>ROUND(IF(项目基本情况!$B$8="出让",SUMPRODUCT(PRODUCT(1+O16:$O$24)),SUMPRODUCT(PRODUCT(1+O16:$O$23))),4)</f>
        <v>1.0555000000000001</v>
      </c>
      <c r="W16" s="3111">
        <f t="shared" si="131"/>
        <v>1.0203</v>
      </c>
      <c r="X16" s="3100"/>
      <c r="Y16" s="3102">
        <f t="shared" ref="Y16:AC16" si="135">IF(D16=0,0,ROUND(AVERAGE(D16:D27)/100,4))</f>
        <v>8.2000000000000007E-3</v>
      </c>
      <c r="Z16" s="3102">
        <f t="shared" si="135"/>
        <v>3.8E-3</v>
      </c>
      <c r="AA16" s="3102">
        <f t="shared" si="135"/>
        <v>2E-3</v>
      </c>
      <c r="AB16" s="3102">
        <f t="shared" si="135"/>
        <v>8.8999999999999999E-3</v>
      </c>
      <c r="AC16" s="3102">
        <f t="shared" si="135"/>
        <v>6.4000000000000003E-3</v>
      </c>
      <c r="AD16" s="3102">
        <f t="shared" si="133"/>
        <v>2E-3</v>
      </c>
      <c r="AF16" s="3397">
        <f t="shared" si="75"/>
        <v>106.59</v>
      </c>
      <c r="AG16" s="3397">
        <f t="shared" si="76"/>
        <v>103.25999999999999</v>
      </c>
      <c r="AH16" s="3397">
        <f t="shared" si="77"/>
        <v>102.03</v>
      </c>
      <c r="AI16" s="3397">
        <f t="shared" si="78"/>
        <v>107.14999999999999</v>
      </c>
      <c r="AJ16" s="3397">
        <f t="shared" si="79"/>
        <v>105.55000000000001</v>
      </c>
      <c r="AK16" s="3397">
        <f t="shared" si="80"/>
        <v>102.03</v>
      </c>
      <c r="AM16" s="3397">
        <f t="shared" si="57"/>
        <v>100.82375468074926</v>
      </c>
      <c r="AN16" s="3397">
        <f t="shared" si="58"/>
        <v>99.878945131654959</v>
      </c>
      <c r="AO16" s="3397">
        <f t="shared" si="59"/>
        <v>102.92060685181573</v>
      </c>
      <c r="AP16" s="3397">
        <f t="shared" si="60"/>
        <v>100.33813172985474</v>
      </c>
      <c r="AQ16" s="3397">
        <f t="shared" si="61"/>
        <v>97.082142268713554</v>
      </c>
      <c r="AR16" s="3397">
        <f t="shared" si="62"/>
        <v>102.92060685181573</v>
      </c>
    </row>
    <row r="17" spans="1:44">
      <c r="A17" s="3083" t="s">
        <v>3229</v>
      </c>
      <c r="B17" s="3132">
        <v>2022</v>
      </c>
      <c r="C17" s="3133">
        <v>4</v>
      </c>
      <c r="D17" s="3133">
        <v>0.62</v>
      </c>
      <c r="E17" s="3133">
        <v>0.2</v>
      </c>
      <c r="F17" s="3133">
        <v>0.11</v>
      </c>
      <c r="G17" s="3133">
        <v>0.69</v>
      </c>
      <c r="H17" s="3139">
        <v>0.53</v>
      </c>
      <c r="I17" s="3134">
        <f t="shared" si="101"/>
        <v>0.11</v>
      </c>
      <c r="J17" s="3100"/>
      <c r="K17" s="3101">
        <f t="shared" si="102"/>
        <v>6.1999999999999998E-3</v>
      </c>
      <c r="L17" s="3102">
        <f t="shared" si="102"/>
        <v>2E-3</v>
      </c>
      <c r="M17" s="3102">
        <f t="shared" si="102"/>
        <v>1.1000000000000001E-3</v>
      </c>
      <c r="N17" s="3102">
        <f t="shared" si="102"/>
        <v>6.8999999999999999E-3</v>
      </c>
      <c r="O17" s="3102">
        <f t="shared" si="102"/>
        <v>5.3E-3</v>
      </c>
      <c r="P17" s="3102">
        <f t="shared" ref="P17:P24" si="136">M17</f>
        <v>1.1000000000000001E-3</v>
      </c>
      <c r="Q17" s="3100"/>
      <c r="R17" s="3111">
        <f>ROUND(IF(项目基本情况!B8="出让",SUMPRODUCT(PRODUCT(1+K17:K24)),SUMPRODUCT(PRODUCT(1+K17:K23))),4)</f>
        <v>1.0565</v>
      </c>
      <c r="S17" s="3111">
        <f>ROUND(IF(项目基本情况!B8="出让",SUMPRODUCT(PRODUCT(1+L17:L24)),SUMPRODUCT(PRODUCT(1+L17:L23))),4)</f>
        <v>1.0250999999999999</v>
      </c>
      <c r="T17" s="3111">
        <f>ROUND(IF(项目基本情况!B8="出让",SUMPRODUCT(PRODUCT(1+M17:M24)),SUMPRODUCT(PRODUCT(1+M17:M23))),4)</f>
        <v>1.0145</v>
      </c>
      <c r="U17" s="3111">
        <f>ROUND(IF(项目基本情况!B8="出让",SUMPRODUCT(PRODUCT(1+N17:N24)),SUMPRODUCT(PRODUCT(1+N17:N23))),4)</f>
        <v>1.0618000000000001</v>
      </c>
      <c r="V17" s="3111">
        <f>ROUND(IF(项目基本情况!B8="出让",SUMPRODUCT(PRODUCT(1+O17:O24)),SUMPRODUCT(PRODUCT(1+O17:O23))),4)</f>
        <v>1.0502</v>
      </c>
      <c r="W17" s="3111">
        <f t="shared" ref="W17:W24" si="137">T17</f>
        <v>1.0145</v>
      </c>
      <c r="X17" s="3100"/>
      <c r="Y17" s="3102">
        <f>IF(D17=0,0,ROUND(AVERAGE(D17:D25)/100,4))</f>
        <v>8.0999999999999996E-3</v>
      </c>
      <c r="Z17" s="3102">
        <f>IF(E17=0,0,ROUND(AVERAGE(E17:E24)/100,4))</f>
        <v>3.3E-3</v>
      </c>
      <c r="AA17" s="3102">
        <f>IF(F17=0,0,ROUND(AVERAGE(F17:F24)/100,4))</f>
        <v>1.5E-3</v>
      </c>
      <c r="AB17" s="3102">
        <f>IF(G17=0,0,ROUND(AVERAGE(G17:G24)/100,4))</f>
        <v>8.8999999999999999E-3</v>
      </c>
      <c r="AC17" s="3102">
        <f>IF(H17=0,0,ROUND(AVERAGE(H17:H24)/100,4))</f>
        <v>6.6E-3</v>
      </c>
      <c r="AD17" s="3102">
        <f t="shared" si="103"/>
        <v>1.5E-3</v>
      </c>
      <c r="AF17" s="3397">
        <f t="shared" si="75"/>
        <v>105.65</v>
      </c>
      <c r="AG17" s="3397">
        <f t="shared" si="76"/>
        <v>102.50999999999999</v>
      </c>
      <c r="AH17" s="3397">
        <f t="shared" si="77"/>
        <v>101.44999999999999</v>
      </c>
      <c r="AI17" s="3397">
        <f t="shared" si="78"/>
        <v>106.18</v>
      </c>
      <c r="AJ17" s="3397">
        <f t="shared" si="79"/>
        <v>105.02</v>
      </c>
      <c r="AK17" s="3397">
        <f t="shared" si="80"/>
        <v>101.44999999999999</v>
      </c>
      <c r="AM17" s="3397">
        <f t="shared" si="57"/>
        <v>99.934339063087791</v>
      </c>
      <c r="AN17" s="3397">
        <f t="shared" si="58"/>
        <v>99.145270132673176</v>
      </c>
      <c r="AO17" s="3397">
        <f t="shared" si="59"/>
        <v>102.3372843311283</v>
      </c>
      <c r="AP17" s="3397">
        <f t="shared" si="60"/>
        <v>99.423436117573061</v>
      </c>
      <c r="AQ17" s="3397">
        <f t="shared" si="61"/>
        <v>96.599146536033402</v>
      </c>
      <c r="AR17" s="3397">
        <f t="shared" si="62"/>
        <v>102.3372843311283</v>
      </c>
    </row>
    <row r="18" spans="1:44" s="3500" customFormat="1">
      <c r="A18" s="3492" t="s">
        <v>3226</v>
      </c>
      <c r="B18" s="3493">
        <v>2022</v>
      </c>
      <c r="C18" s="3494">
        <v>3</v>
      </c>
      <c r="D18" s="3494">
        <v>0.66</v>
      </c>
      <c r="E18" s="3494">
        <v>0.32</v>
      </c>
      <c r="F18" s="3494">
        <v>0.23</v>
      </c>
      <c r="G18" s="3494">
        <v>0.72</v>
      </c>
      <c r="H18" s="3495">
        <v>0.63</v>
      </c>
      <c r="I18" s="3496">
        <f t="shared" si="101"/>
        <v>0.23</v>
      </c>
      <c r="J18" s="3497"/>
      <c r="K18" s="3498">
        <f t="shared" si="102"/>
        <v>6.6E-3</v>
      </c>
      <c r="L18" s="3499">
        <f t="shared" si="102"/>
        <v>3.2000000000000002E-3</v>
      </c>
      <c r="M18" s="3499">
        <f t="shared" si="102"/>
        <v>2.3E-3</v>
      </c>
      <c r="N18" s="3499">
        <f t="shared" si="102"/>
        <v>7.1999999999999998E-3</v>
      </c>
      <c r="O18" s="3499">
        <f t="shared" si="102"/>
        <v>6.3E-3</v>
      </c>
      <c r="P18" s="3499">
        <f t="shared" si="136"/>
        <v>2.3E-3</v>
      </c>
      <c r="Q18" s="3497"/>
      <c r="R18" s="3497">
        <f>ROUND(IF(项目基本情况!B8="出让",SUMPRODUCT(PRODUCT(1+K18:K24)),SUMPRODUCT(PRODUCT(1+K18:K23))),4)</f>
        <v>1.05</v>
      </c>
      <c r="S18" s="3497">
        <f>ROUND(IF(项目基本情况!B8="出让",SUMPRODUCT(PRODUCT(1+L18:L24)),SUMPRODUCT(PRODUCT(1+L18:L23))),4)</f>
        <v>1.0229999999999999</v>
      </c>
      <c r="T18" s="3497">
        <f>ROUND(IF(项目基本情况!B8="出让",SUMPRODUCT(PRODUCT(1+M18:M24)),SUMPRODUCT(PRODUCT(1+M18:M23))),4)</f>
        <v>1.0134000000000001</v>
      </c>
      <c r="U18" s="3497">
        <f>ROUND(IF(项目基本情况!B8="出让",SUMPRODUCT(PRODUCT(1+N18:N24)),SUMPRODUCT(PRODUCT(1+N18:N23))),4)</f>
        <v>1.0545</v>
      </c>
      <c r="V18" s="3497">
        <f>ROUND(IF(项目基本情况!B8="出让",SUMPRODUCT(PRODUCT(1+O18:O24)),SUMPRODUCT(PRODUCT(1+O18:O23))),4)</f>
        <v>1.0447</v>
      </c>
      <c r="W18" s="3497">
        <f t="shared" si="137"/>
        <v>1.0134000000000001</v>
      </c>
      <c r="X18" s="3497"/>
      <c r="Y18" s="3499">
        <f>IF(D18=0,0,ROUND(AVERAGE(D18:D24)/100,4))</f>
        <v>8.3999999999999995E-3</v>
      </c>
      <c r="Z18" s="3499">
        <f>IF(E18=0,0,ROUND(AVERAGE(E18:E24)/100,4))</f>
        <v>3.5000000000000001E-3</v>
      </c>
      <c r="AA18" s="3499">
        <f>IF(F18=0,0,ROUND(AVERAGE(F18:F24)/100,4))</f>
        <v>1.5E-3</v>
      </c>
      <c r="AB18" s="3499">
        <f>IF(G18=0,0,ROUND(AVERAGE(G18:G24)/100,4))</f>
        <v>9.1999999999999998E-3</v>
      </c>
      <c r="AC18" s="3499">
        <f>IF(H18=0,0,ROUND(AVERAGE(H18:H24)/100,4))</f>
        <v>6.7999999999999996E-3</v>
      </c>
      <c r="AD18" s="3499">
        <f t="shared" si="103"/>
        <v>1.5E-3</v>
      </c>
      <c r="AF18" s="3501">
        <f t="shared" si="75"/>
        <v>105</v>
      </c>
      <c r="AG18" s="3501">
        <f t="shared" si="76"/>
        <v>102.3</v>
      </c>
      <c r="AH18" s="3501">
        <f t="shared" si="77"/>
        <v>101.34</v>
      </c>
      <c r="AI18" s="3501">
        <f t="shared" si="78"/>
        <v>105.45</v>
      </c>
      <c r="AJ18" s="3501">
        <f t="shared" si="79"/>
        <v>104.47</v>
      </c>
      <c r="AK18" s="3501">
        <f t="shared" si="80"/>
        <v>101.34</v>
      </c>
      <c r="AM18" s="3501">
        <f t="shared" si="57"/>
        <v>99.318563966495518</v>
      </c>
      <c r="AN18" s="3501">
        <f t="shared" si="58"/>
        <v>98.947375381909353</v>
      </c>
      <c r="AO18" s="3501">
        <f t="shared" si="59"/>
        <v>102.22483701041683</v>
      </c>
      <c r="AP18" s="3501">
        <f t="shared" si="60"/>
        <v>98.742115520481747</v>
      </c>
      <c r="AQ18" s="3501">
        <f t="shared" si="61"/>
        <v>96.089870223847001</v>
      </c>
      <c r="AR18" s="3501">
        <f t="shared" si="62"/>
        <v>102.22483701041683</v>
      </c>
    </row>
    <row r="19" spans="1:44">
      <c r="A19" s="3083" t="s">
        <v>3227</v>
      </c>
      <c r="B19" s="3132">
        <v>2022</v>
      </c>
      <c r="C19" s="3133">
        <v>2</v>
      </c>
      <c r="D19" s="3133">
        <v>0.93</v>
      </c>
      <c r="E19" s="3133">
        <v>0.15</v>
      </c>
      <c r="F19" s="3133">
        <v>0.01</v>
      </c>
      <c r="G19" s="3133">
        <v>1.05</v>
      </c>
      <c r="H19" s="3139">
        <v>1.08</v>
      </c>
      <c r="I19" s="3134">
        <f t="shared" si="101"/>
        <v>0.01</v>
      </c>
      <c r="J19" s="3100"/>
      <c r="K19" s="3101">
        <f t="shared" si="102"/>
        <v>9.300000000000001E-3</v>
      </c>
      <c r="L19" s="3102">
        <f t="shared" si="102"/>
        <v>1.5E-3</v>
      </c>
      <c r="M19" s="3102">
        <f t="shared" si="102"/>
        <v>1E-4</v>
      </c>
      <c r="N19" s="3102">
        <f t="shared" si="102"/>
        <v>1.0500000000000001E-2</v>
      </c>
      <c r="O19" s="3102">
        <f t="shared" si="102"/>
        <v>1.0800000000000001E-2</v>
      </c>
      <c r="P19" s="3102">
        <f t="shared" si="136"/>
        <v>1E-4</v>
      </c>
      <c r="Q19" s="3100"/>
      <c r="R19" s="3111">
        <f>ROUND(IF(项目基本情况!B8="出让",SUMPRODUCT(PRODUCT(1+K19:K24)),SUMPRODUCT(PRODUCT(1+K19:K23))),4)</f>
        <v>1.0430999999999999</v>
      </c>
      <c r="S19" s="3111">
        <f>ROUND(IF(项目基本情况!B8="出让",SUMPRODUCT(PRODUCT(1+L19:L24)),SUMPRODUCT(PRODUCT(1+L19:L23))),4)</f>
        <v>1.0197000000000001</v>
      </c>
      <c r="T19" s="3111">
        <f>ROUND(IF(项目基本情况!B8="出让",SUMPRODUCT(PRODUCT(1+M19:M24)),SUMPRODUCT(PRODUCT(1+M19:M23))),4)</f>
        <v>1.0109999999999999</v>
      </c>
      <c r="U19" s="3111">
        <f>ROUND(IF(项目基本情况!B8="出让",SUMPRODUCT(PRODUCT(1+N19:N24)),SUMPRODUCT(PRODUCT(1+N19:N23))),4)</f>
        <v>1.0468999999999999</v>
      </c>
      <c r="V19" s="3111">
        <f>ROUND(IF(项目基本情况!B8="出让",SUMPRODUCT(PRODUCT(1+O19:O24)),SUMPRODUCT(PRODUCT(1+O19:O23))),4)</f>
        <v>1.0382</v>
      </c>
      <c r="W19" s="3111">
        <f t="shared" si="137"/>
        <v>1.0109999999999999</v>
      </c>
      <c r="X19" s="3100"/>
      <c r="Y19" s="3102">
        <f>IF(D19=0,0,ROUND(AVERAGE(D19:D24)/100,4))</f>
        <v>8.6999999999999994E-3</v>
      </c>
      <c r="Z19" s="3102">
        <f>IF(E19=0,0,ROUND(AVERAGE(E19:E24)/100,4))</f>
        <v>3.5000000000000001E-3</v>
      </c>
      <c r="AA19" s="3102">
        <f>IF(F19=0,0,ROUND(AVERAGE(F19:F24)/100,4))</f>
        <v>1.4E-3</v>
      </c>
      <c r="AB19" s="3102">
        <f>IF(G19=0,0,ROUND(AVERAGE(G19:G24)/100,4))</f>
        <v>9.4999999999999998E-3</v>
      </c>
      <c r="AC19" s="3102">
        <f>IF(H19=0,0,ROUND(AVERAGE(H19:H24)/100,4))</f>
        <v>6.8999999999999999E-3</v>
      </c>
      <c r="AD19" s="3102">
        <f t="shared" si="103"/>
        <v>1.4E-3</v>
      </c>
      <c r="AF19" s="3397">
        <f t="shared" si="75"/>
        <v>104.30999999999999</v>
      </c>
      <c r="AG19" s="3397">
        <f t="shared" si="76"/>
        <v>101.97</v>
      </c>
      <c r="AH19" s="3397">
        <f t="shared" si="77"/>
        <v>101.1</v>
      </c>
      <c r="AI19" s="3397">
        <f t="shared" si="78"/>
        <v>104.69</v>
      </c>
      <c r="AJ19" s="3397">
        <f t="shared" si="79"/>
        <v>103.82000000000001</v>
      </c>
      <c r="AK19" s="3397">
        <f t="shared" si="80"/>
        <v>101.1</v>
      </c>
      <c r="AM19" s="3397">
        <f t="shared" si="57"/>
        <v>98.667359394491882</v>
      </c>
      <c r="AN19" s="3397">
        <f t="shared" si="58"/>
        <v>98.631753769845844</v>
      </c>
      <c r="AO19" s="3397">
        <f t="shared" si="59"/>
        <v>101.99025941376517</v>
      </c>
      <c r="AP19" s="3397">
        <f t="shared" si="60"/>
        <v>98.036254488166932</v>
      </c>
      <c r="AQ19" s="3397">
        <f t="shared" si="61"/>
        <v>95.488293971824504</v>
      </c>
      <c r="AR19" s="3397">
        <f t="shared" si="62"/>
        <v>101.99025941376517</v>
      </c>
    </row>
    <row r="20" spans="1:44">
      <c r="A20" s="3083" t="s">
        <v>2763</v>
      </c>
      <c r="B20" s="3132">
        <v>2022</v>
      </c>
      <c r="C20" s="3133">
        <v>1</v>
      </c>
      <c r="D20" s="3133">
        <v>0.89</v>
      </c>
      <c r="E20" s="3133">
        <v>0.44</v>
      </c>
      <c r="F20" s="3133">
        <v>0.37</v>
      </c>
      <c r="G20" s="3133">
        <v>0.96</v>
      </c>
      <c r="H20" s="3139">
        <v>0.64</v>
      </c>
      <c r="I20" s="3134">
        <f t="shared" si="101"/>
        <v>0.37</v>
      </c>
      <c r="J20" s="3100"/>
      <c r="K20" s="3101">
        <f t="shared" si="102"/>
        <v>8.8999999999999999E-3</v>
      </c>
      <c r="L20" s="3102">
        <f t="shared" si="102"/>
        <v>4.4000000000000003E-3</v>
      </c>
      <c r="M20" s="3102">
        <f t="shared" si="102"/>
        <v>3.7000000000000002E-3</v>
      </c>
      <c r="N20" s="3102">
        <f t="shared" si="102"/>
        <v>9.5999999999999992E-3</v>
      </c>
      <c r="O20" s="3102">
        <f t="shared" si="102"/>
        <v>6.4000000000000003E-3</v>
      </c>
      <c r="P20" s="3102">
        <f t="shared" si="136"/>
        <v>3.7000000000000002E-3</v>
      </c>
      <c r="Q20" s="3100"/>
      <c r="R20" s="3111">
        <f>ROUND(IF(项目基本情况!B8="出让",SUMPRODUCT(PRODUCT(1+K20:K24)),SUMPRODUCT(PRODUCT(1+K20:K23))),4)</f>
        <v>1.0335000000000001</v>
      </c>
      <c r="S20" s="3111">
        <f>ROUND(IF(项目基本情况!B8="出让",SUMPRODUCT(PRODUCT(1+L20:L24)),SUMPRODUCT(PRODUCT(1+L20:L23))),4)</f>
        <v>1.0182</v>
      </c>
      <c r="T20" s="3111">
        <f>ROUND(IF(项目基本情况!B8="出让",SUMPRODUCT(PRODUCT(1+M20:M24)),SUMPRODUCT(PRODUCT(1+M20:M23))),4)</f>
        <v>1.0108999999999999</v>
      </c>
      <c r="U20" s="3111">
        <f>ROUND(IF(项目基本情况!B8="出让",SUMPRODUCT(PRODUCT(1+N20:N24)),SUMPRODUCT(PRODUCT(1+N20:N23))),4)</f>
        <v>1.0361</v>
      </c>
      <c r="V20" s="3111">
        <f>ROUND(IF(项目基本情况!B8="出让",SUMPRODUCT(PRODUCT(1+O20:O24)),SUMPRODUCT(PRODUCT(1+O20:O23))),4)</f>
        <v>1.0270999999999999</v>
      </c>
      <c r="W20" s="3111">
        <f t="shared" si="137"/>
        <v>1.0108999999999999</v>
      </c>
      <c r="X20" s="3100"/>
      <c r="Y20" s="3102">
        <f>IF(D20=0,0,ROUND(AVERAGE(D20:D24)/100,4))</f>
        <v>8.6E-3</v>
      </c>
      <c r="Z20" s="3102">
        <f>IF(E20=0,0,ROUND(AVERAGE(E20:E24)/100,4))</f>
        <v>3.8999999999999998E-3</v>
      </c>
      <c r="AA20" s="3102">
        <f>IF(F20=0,0,ROUND(AVERAGE(F20:F24)/100,4))</f>
        <v>1.6999999999999999E-3</v>
      </c>
      <c r="AB20" s="3102">
        <f>IF(G20=0,0,ROUND(AVERAGE(G20:G24)/100,4))</f>
        <v>9.2999999999999992E-3</v>
      </c>
      <c r="AC20" s="3102">
        <f>IF(H20=0,0,ROUND(AVERAGE(H20:H24)/100,4))</f>
        <v>6.1000000000000004E-3</v>
      </c>
      <c r="AD20" s="3102">
        <f t="shared" si="103"/>
        <v>1.6999999999999999E-3</v>
      </c>
      <c r="AF20" s="3397">
        <f t="shared" si="75"/>
        <v>103.35000000000001</v>
      </c>
      <c r="AG20" s="3397">
        <f t="shared" si="76"/>
        <v>101.82</v>
      </c>
      <c r="AH20" s="3397">
        <f t="shared" si="77"/>
        <v>101.08999999999999</v>
      </c>
      <c r="AI20" s="3397">
        <f t="shared" si="78"/>
        <v>103.61</v>
      </c>
      <c r="AJ20" s="3397">
        <f t="shared" si="79"/>
        <v>102.71</v>
      </c>
      <c r="AK20" s="3397">
        <f t="shared" si="80"/>
        <v>101.08999999999999</v>
      </c>
      <c r="AM20" s="3397">
        <f t="shared" si="57"/>
        <v>97.758208059538163</v>
      </c>
      <c r="AN20" s="3397">
        <f t="shared" si="58"/>
        <v>98.484027728253452</v>
      </c>
      <c r="AO20" s="3397">
        <f t="shared" si="59"/>
        <v>101.98006140762442</v>
      </c>
      <c r="AP20" s="3397">
        <f t="shared" si="60"/>
        <v>97.017570003134026</v>
      </c>
      <c r="AQ20" s="3397">
        <f t="shared" si="61"/>
        <v>94.468039149015155</v>
      </c>
      <c r="AR20" s="3397">
        <f t="shared" si="62"/>
        <v>101.98006140762442</v>
      </c>
    </row>
    <row r="21" spans="1:44">
      <c r="A21" s="3083" t="s">
        <v>2764</v>
      </c>
      <c r="B21" s="3132">
        <v>2021</v>
      </c>
      <c r="C21" s="3133">
        <v>4</v>
      </c>
      <c r="D21" s="3133">
        <v>1.03</v>
      </c>
      <c r="E21" s="3133">
        <v>0.24</v>
      </c>
      <c r="F21" s="3133">
        <v>7.0000000000000007E-2</v>
      </c>
      <c r="G21" s="3133">
        <v>1.17</v>
      </c>
      <c r="H21" s="3139">
        <v>0.55000000000000004</v>
      </c>
      <c r="I21" s="3134">
        <f t="shared" si="101"/>
        <v>7.0000000000000007E-2</v>
      </c>
      <c r="J21" s="3100"/>
      <c r="K21" s="3101">
        <f t="shared" si="102"/>
        <v>1.03E-2</v>
      </c>
      <c r="L21" s="3102">
        <f t="shared" si="102"/>
        <v>2.3999999999999998E-3</v>
      </c>
      <c r="M21" s="3102">
        <f t="shared" si="102"/>
        <v>7.000000000000001E-4</v>
      </c>
      <c r="N21" s="3102">
        <f t="shared" si="102"/>
        <v>1.1699999999999999E-2</v>
      </c>
      <c r="O21" s="3102">
        <f t="shared" si="102"/>
        <v>5.5000000000000005E-3</v>
      </c>
      <c r="P21" s="3102">
        <f t="shared" si="136"/>
        <v>7.000000000000001E-4</v>
      </c>
      <c r="Q21" s="3100"/>
      <c r="R21" s="3111">
        <f>ROUND(IF(项目基本情况!B8="出让",SUMPRODUCT(PRODUCT(1+K21:K24)),SUMPRODUCT(PRODUCT(1+K21:K23))),4)</f>
        <v>1.0244</v>
      </c>
      <c r="S21" s="3111">
        <f>ROUND(IF(项目基本情况!B8="出让",SUMPRODUCT(PRODUCT(1+L21:L24)),SUMPRODUCT(PRODUCT(1+L21:L23))),4)</f>
        <v>1.0138</v>
      </c>
      <c r="T21" s="3111">
        <f>ROUND(IF(项目基本情况!B8="出让",SUMPRODUCT(PRODUCT(1+M21:M24)),SUMPRODUCT(PRODUCT(1+M21:M23))),4)</f>
        <v>1.0072000000000001</v>
      </c>
      <c r="U21" s="3111">
        <f>ROUND(IF(项目基本情况!B8="出让",SUMPRODUCT(PRODUCT(1+N21:N24)),SUMPRODUCT(PRODUCT(1+N21:N23))),4)</f>
        <v>1.0262</v>
      </c>
      <c r="V21" s="3111">
        <f>ROUND(IF(项目基本情况!B8="出让",SUMPRODUCT(PRODUCT(1+O21:O24)),SUMPRODUCT(PRODUCT(1+O21:O23))),4)</f>
        <v>1.0205</v>
      </c>
      <c r="W21" s="3111">
        <f t="shared" si="137"/>
        <v>1.0072000000000001</v>
      </c>
      <c r="X21" s="3100"/>
      <c r="Y21" s="3102">
        <f>IF(D21=0,0,ROUND(AVERAGE(D21:D24)/100,4))</f>
        <v>8.5000000000000006E-3</v>
      </c>
      <c r="Z21" s="3102">
        <f>IF(E21=0,0,ROUND(AVERAGE(E21:E24)/100,4))</f>
        <v>3.8E-3</v>
      </c>
      <c r="AA21" s="3102">
        <f>IF(F21=0,0,ROUND(AVERAGE(F21:F24)/100,4))</f>
        <v>1.1999999999999999E-3</v>
      </c>
      <c r="AB21" s="3102">
        <f>IF(G21=0,0,ROUND(AVERAGE(G21:G24)/100,4))</f>
        <v>9.2999999999999992E-3</v>
      </c>
      <c r="AC21" s="3102">
        <f>IF(H21=0,0,ROUND(AVERAGE(H21:H24)/100,4))</f>
        <v>6.0000000000000001E-3</v>
      </c>
      <c r="AD21" s="3102">
        <f t="shared" si="103"/>
        <v>1.1999999999999999E-3</v>
      </c>
      <c r="AF21" s="3397">
        <f t="shared" si="75"/>
        <v>102.44</v>
      </c>
      <c r="AG21" s="3397">
        <f t="shared" si="76"/>
        <v>101.38000000000001</v>
      </c>
      <c r="AH21" s="3397">
        <f t="shared" si="77"/>
        <v>100.72000000000001</v>
      </c>
      <c r="AI21" s="3397">
        <f t="shared" si="78"/>
        <v>102.62</v>
      </c>
      <c r="AJ21" s="3397">
        <f t="shared" si="79"/>
        <v>102.05</v>
      </c>
      <c r="AK21" s="3397">
        <f t="shared" si="80"/>
        <v>100.72000000000001</v>
      </c>
      <c r="AM21" s="3397">
        <f t="shared" si="57"/>
        <v>96.895835126908679</v>
      </c>
      <c r="AN21" s="3397">
        <f t="shared" si="58"/>
        <v>98.0525963045136</v>
      </c>
      <c r="AO21" s="3397">
        <f t="shared" si="59"/>
        <v>101.60412614090308</v>
      </c>
      <c r="AP21" s="3397">
        <f t="shared" si="60"/>
        <v>96.095057451598677</v>
      </c>
      <c r="AQ21" s="3397">
        <f t="shared" si="61"/>
        <v>93.867288502598527</v>
      </c>
      <c r="AR21" s="3397">
        <f t="shared" si="62"/>
        <v>101.60412614090308</v>
      </c>
    </row>
    <row r="22" spans="1:44">
      <c r="A22" s="3083" t="s">
        <v>2765</v>
      </c>
      <c r="B22" s="3132">
        <v>2021</v>
      </c>
      <c r="C22" s="3133">
        <v>3</v>
      </c>
      <c r="D22" s="3133">
        <v>0.47</v>
      </c>
      <c r="E22" s="3133">
        <v>0.41</v>
      </c>
      <c r="F22" s="3133">
        <v>0.24</v>
      </c>
      <c r="G22" s="3133">
        <v>0.48</v>
      </c>
      <c r="H22" s="3139">
        <v>0.48</v>
      </c>
      <c r="I22" s="3134">
        <f t="shared" si="101"/>
        <v>0.24</v>
      </c>
      <c r="J22" s="3100"/>
      <c r="K22" s="3101">
        <f t="shared" si="102"/>
        <v>4.6999999999999993E-3</v>
      </c>
      <c r="L22" s="3102">
        <f t="shared" si="102"/>
        <v>4.0999999999999995E-3</v>
      </c>
      <c r="M22" s="3102">
        <f t="shared" si="102"/>
        <v>2.3999999999999998E-3</v>
      </c>
      <c r="N22" s="3102">
        <f t="shared" si="102"/>
        <v>4.7999999999999996E-3</v>
      </c>
      <c r="O22" s="3102">
        <f t="shared" si="102"/>
        <v>4.7999999999999996E-3</v>
      </c>
      <c r="P22" s="3102">
        <f t="shared" si="136"/>
        <v>2.3999999999999998E-3</v>
      </c>
      <c r="Q22" s="3100"/>
      <c r="R22" s="3111">
        <f>ROUND(IF(项目基本情况!B8="出让",SUMPRODUCT(PRODUCT(1+K22:K24)),SUMPRODUCT(PRODUCT(1+K22:K23))),4)</f>
        <v>1.0139</v>
      </c>
      <c r="S22" s="3111">
        <f>ROUND(IF(项目基本情况!B8="出让",SUMPRODUCT(PRODUCT(1+L22:L24)),SUMPRODUCT(PRODUCT(1+L22:L23))),4)</f>
        <v>1.0113000000000001</v>
      </c>
      <c r="T22" s="3111">
        <f>ROUND(IF(项目基本情况!B8="出让",SUMPRODUCT(PRODUCT(1+M22:M24)),SUMPRODUCT(PRODUCT(1+M22:M23))),4)</f>
        <v>1.0065</v>
      </c>
      <c r="U22" s="3111">
        <f>ROUND(IF(项目基本情况!B8="出让",SUMPRODUCT(PRODUCT(1+N22:N24)),SUMPRODUCT(PRODUCT(1+N22:N23))),4)</f>
        <v>1.0143</v>
      </c>
      <c r="V22" s="3111">
        <f>ROUND(IF(项目基本情况!B8="出让",SUMPRODUCT(PRODUCT(1+O22:O24)),SUMPRODUCT(PRODUCT(1+O22:O23))),4)</f>
        <v>1.0148999999999999</v>
      </c>
      <c r="W22" s="3111">
        <f t="shared" si="137"/>
        <v>1.0065</v>
      </c>
      <c r="X22" s="3100"/>
      <c r="Y22" s="3102">
        <f>IF(D22=0,0,ROUND(AVERAGE(D22:D24)/100,4))</f>
        <v>7.9000000000000008E-3</v>
      </c>
      <c r="Z22" s="3102">
        <f>IF(E22=0,0,ROUND(AVERAGE(E22:E24)/100,4))</f>
        <v>4.3E-3</v>
      </c>
      <c r="AA22" s="3102">
        <f>IF(F22=0,0,ROUND(AVERAGE(F22:F24)/100,4))</f>
        <v>1.2999999999999999E-3</v>
      </c>
      <c r="AB22" s="3102">
        <f>IF(G22=0,0,ROUND(AVERAGE(G22:G24)/100,4))</f>
        <v>8.5000000000000006E-3</v>
      </c>
      <c r="AC22" s="3102">
        <f>IF(H22=0,0,ROUND(AVERAGE(H22:H24)/100,4))</f>
        <v>6.1999999999999998E-3</v>
      </c>
      <c r="AD22" s="3102">
        <f t="shared" si="103"/>
        <v>1.2999999999999999E-3</v>
      </c>
      <c r="AF22" s="3397">
        <f t="shared" si="75"/>
        <v>101.39</v>
      </c>
      <c r="AG22" s="3397">
        <f t="shared" si="76"/>
        <v>101.13000000000001</v>
      </c>
      <c r="AH22" s="3397">
        <f t="shared" si="77"/>
        <v>100.64999999999999</v>
      </c>
      <c r="AI22" s="3397">
        <f t="shared" si="78"/>
        <v>101.42999999999999</v>
      </c>
      <c r="AJ22" s="3397">
        <f t="shared" si="79"/>
        <v>101.49</v>
      </c>
      <c r="AK22" s="3397">
        <f t="shared" si="80"/>
        <v>100.64999999999999</v>
      </c>
      <c r="AM22" s="3397">
        <f t="shared" si="57"/>
        <v>95.907982903007706</v>
      </c>
      <c r="AN22" s="3397">
        <f t="shared" si="58"/>
        <v>97.81783350410376</v>
      </c>
      <c r="AO22" s="3397">
        <f t="shared" si="59"/>
        <v>101.53305300380042</v>
      </c>
      <c r="AP22" s="3397">
        <f t="shared" si="60"/>
        <v>94.983747604624568</v>
      </c>
      <c r="AQ22" s="3397">
        <f t="shared" si="61"/>
        <v>93.353842369565911</v>
      </c>
      <c r="AR22" s="3397">
        <f t="shared" si="62"/>
        <v>101.53305300380042</v>
      </c>
    </row>
    <row r="23" spans="1:44">
      <c r="A23" s="3083" t="s">
        <v>2766</v>
      </c>
      <c r="B23" s="3132">
        <v>2021</v>
      </c>
      <c r="C23" s="3133">
        <v>2</v>
      </c>
      <c r="D23" s="3133">
        <v>0.92</v>
      </c>
      <c r="E23" s="3133">
        <v>0.72</v>
      </c>
      <c r="F23" s="3133">
        <v>0.41</v>
      </c>
      <c r="G23" s="3133">
        <v>0.95</v>
      </c>
      <c r="H23" s="3139">
        <v>1.01</v>
      </c>
      <c r="I23" s="3134">
        <f t="shared" si="101"/>
        <v>0.41</v>
      </c>
      <c r="J23" s="3100"/>
      <c r="K23" s="3101">
        <f t="shared" si="102"/>
        <v>9.1999999999999998E-3</v>
      </c>
      <c r="L23" s="3102">
        <f t="shared" si="102"/>
        <v>7.1999999999999998E-3</v>
      </c>
      <c r="M23" s="3102">
        <f t="shared" si="102"/>
        <v>4.0999999999999995E-3</v>
      </c>
      <c r="N23" s="3102">
        <f t="shared" si="102"/>
        <v>9.4999999999999998E-3</v>
      </c>
      <c r="O23" s="3102">
        <f t="shared" si="102"/>
        <v>1.01E-2</v>
      </c>
      <c r="P23" s="3102">
        <f t="shared" si="136"/>
        <v>4.0999999999999995E-3</v>
      </c>
      <c r="Q23" s="3100"/>
      <c r="R23" s="3111">
        <f>ROUND(IF(项目基本情况!B8="出让",SUMPRODUCT(PRODUCT(1+K23:K24)),SUMPRODUCT(PRODUCT(1+K23:K23))),4)</f>
        <v>1.0092000000000001</v>
      </c>
      <c r="S23" s="3111">
        <f>ROUND(IF(项目基本情况!B8="出让",SUMPRODUCT(PRODUCT(1+L23:L24)),SUMPRODUCT(PRODUCT(1+L23:L23))),4)</f>
        <v>1.0072000000000001</v>
      </c>
      <c r="T23" s="3111">
        <f>ROUND(IF(项目基本情况!B8="出让",SUMPRODUCT(PRODUCT(1+M23:M24)),SUMPRODUCT(PRODUCT(1+M23:M23))),4)</f>
        <v>1.0041</v>
      </c>
      <c r="U23" s="3111">
        <f>ROUND(IF(项目基本情况!B8="出让",SUMPRODUCT(PRODUCT(1+N23:N24)),SUMPRODUCT(PRODUCT(1+N23:N23))),4)</f>
        <v>1.0095000000000001</v>
      </c>
      <c r="V23" s="3111">
        <f>ROUND(IF(项目基本情况!B8="出让",SUMPRODUCT(PRODUCT(1+O23:O24)),SUMPRODUCT(PRODUCT(1+O23:O23))),4)</f>
        <v>1.0101</v>
      </c>
      <c r="W23" s="3111">
        <f t="shared" si="137"/>
        <v>1.0041</v>
      </c>
      <c r="X23" s="3100"/>
      <c r="Y23" s="3102">
        <f>IF(D23=0,0,ROUND(AVERAGE(D23:D24)/100,4))</f>
        <v>9.4999999999999998E-3</v>
      </c>
      <c r="Z23" s="3102">
        <f>IF(E23=0,0,ROUND(AVERAGE(E23:E24)/100,4))</f>
        <v>4.4000000000000003E-3</v>
      </c>
      <c r="AA23" s="3102">
        <f>IF(F23=0,0,ROUND(AVERAGE(F23:F24)/100,4))</f>
        <v>8.0000000000000004E-4</v>
      </c>
      <c r="AB23" s="3102">
        <f>IF(G23=0,0,ROUND(AVERAGE(G23:G24)/100,4))</f>
        <v>1.03E-2</v>
      </c>
      <c r="AC23" s="3102">
        <f>IF(H23=0,0,ROUND(AVERAGE(H23:H24)/100,4))</f>
        <v>6.8999999999999999E-3</v>
      </c>
      <c r="AD23" s="3102">
        <f t="shared" si="103"/>
        <v>8.0000000000000004E-4</v>
      </c>
      <c r="AF23" s="3397">
        <f>$AF$24*R23</f>
        <v>100.92000000000002</v>
      </c>
      <c r="AG23" s="3397">
        <f>$AG$24*S23</f>
        <v>100.72000000000001</v>
      </c>
      <c r="AH23" s="3397">
        <f>$AH$24*T23</f>
        <v>100.41</v>
      </c>
      <c r="AI23" s="3397">
        <f>$AI$24*U23</f>
        <v>100.95</v>
      </c>
      <c r="AJ23" s="3397">
        <f>$AJ$24*V23</f>
        <v>101.01</v>
      </c>
      <c r="AK23" s="3397">
        <f>$AK$24*W23</f>
        <v>100.41</v>
      </c>
      <c r="AM23" s="3397">
        <f t="shared" si="57"/>
        <v>95.459324079832498</v>
      </c>
      <c r="AN23" s="3397">
        <f t="shared" si="58"/>
        <v>97.418417990343357</v>
      </c>
      <c r="AO23" s="3397">
        <f t="shared" si="59"/>
        <v>101.28995710674424</v>
      </c>
      <c r="AP23" s="3397">
        <f t="shared" si="60"/>
        <v>94.530003587405034</v>
      </c>
      <c r="AQ23" s="3397">
        <f t="shared" si="61"/>
        <v>92.907884523851436</v>
      </c>
      <c r="AR23" s="3397">
        <f t="shared" si="62"/>
        <v>101.28995710674424</v>
      </c>
    </row>
    <row r="24" spans="1:44" ht="14.25" thickBot="1">
      <c r="A24" s="3085" t="s">
        <v>2767</v>
      </c>
      <c r="B24" s="3140">
        <v>2021</v>
      </c>
      <c r="C24" s="3141">
        <v>1</v>
      </c>
      <c r="D24" s="3141">
        <v>0.97</v>
      </c>
      <c r="E24" s="3141">
        <v>0.16</v>
      </c>
      <c r="F24" s="3141">
        <v>-0.25</v>
      </c>
      <c r="G24" s="3141">
        <v>1.1100000000000001</v>
      </c>
      <c r="H24" s="3142">
        <v>0.36</v>
      </c>
      <c r="I24" s="3143">
        <f t="shared" si="101"/>
        <v>-0.25</v>
      </c>
      <c r="J24" s="3106"/>
      <c r="K24" s="3107">
        <f t="shared" si="102"/>
        <v>9.7000000000000003E-3</v>
      </c>
      <c r="L24" s="3108">
        <f t="shared" si="102"/>
        <v>1.6000000000000001E-3</v>
      </c>
      <c r="M24" s="3108">
        <f>F24/100</f>
        <v>-2.5000000000000001E-3</v>
      </c>
      <c r="N24" s="3108">
        <f t="shared" si="102"/>
        <v>1.11E-2</v>
      </c>
      <c r="O24" s="3108">
        <f t="shared" si="102"/>
        <v>3.5999999999999999E-3</v>
      </c>
      <c r="P24" s="3108">
        <f t="shared" si="136"/>
        <v>-2.5000000000000001E-3</v>
      </c>
      <c r="Q24" s="3106"/>
      <c r="R24" s="3115">
        <v>1</v>
      </c>
      <c r="S24" s="3115">
        <v>1</v>
      </c>
      <c r="T24" s="3115">
        <v>1</v>
      </c>
      <c r="U24" s="3115">
        <v>1</v>
      </c>
      <c r="V24" s="3115">
        <v>1</v>
      </c>
      <c r="W24" s="3115">
        <f t="shared" si="137"/>
        <v>1</v>
      </c>
      <c r="X24" s="3106"/>
      <c r="Y24" s="3108">
        <f>IF(D24=0,0,ROUND(AVERAGE(D24:D24)/100,4))</f>
        <v>9.7000000000000003E-3</v>
      </c>
      <c r="Z24" s="3108">
        <f>IF(E24=0,0,ROUND(AVERAGE(E24:E24)/100,4))</f>
        <v>1.6000000000000001E-3</v>
      </c>
      <c r="AA24" s="3108">
        <f>IF(F24=0,0,ROUND(AVERAGE(F24:F24)/100,4))</f>
        <v>-2.5000000000000001E-3</v>
      </c>
      <c r="AB24" s="3108">
        <f>IF(G24=0,0,ROUND(AVERAGE(G24:G24)/100,4))</f>
        <v>1.11E-2</v>
      </c>
      <c r="AC24" s="3108">
        <f>IF(H24=0,0,ROUND(AVERAGE(H24:H24)/100,4))</f>
        <v>3.5999999999999999E-3</v>
      </c>
      <c r="AD24" s="3108">
        <f>AA24</f>
        <v>-2.5000000000000001E-3</v>
      </c>
      <c r="AF24" s="3398">
        <v>100</v>
      </c>
      <c r="AG24" s="3398">
        <v>100</v>
      </c>
      <c r="AH24" s="3398">
        <v>100</v>
      </c>
      <c r="AI24" s="3398">
        <v>100</v>
      </c>
      <c r="AJ24" s="3398">
        <v>100</v>
      </c>
      <c r="AK24" s="3398">
        <v>100</v>
      </c>
      <c r="AM24" s="3397">
        <f t="shared" si="57"/>
        <v>94.589104320087685</v>
      </c>
      <c r="AN24" s="3397">
        <f t="shared" si="58"/>
        <v>96.722019450301175</v>
      </c>
      <c r="AO24" s="3397">
        <f t="shared" si="59"/>
        <v>100.87636401428567</v>
      </c>
      <c r="AP24" s="3397">
        <f t="shared" si="60"/>
        <v>93.640419601193685</v>
      </c>
      <c r="AQ24" s="3397">
        <f t="shared" si="61"/>
        <v>91.978897657510586</v>
      </c>
      <c r="AR24" s="3397">
        <f t="shared" si="62"/>
        <v>100.87636401428567</v>
      </c>
    </row>
    <row r="25" spans="1:44" ht="14.25" thickTop="1"/>
    <row r="26" spans="1:44">
      <c r="A26" s="3384" t="s">
        <v>3248</v>
      </c>
    </row>
    <row r="27" spans="1:44">
      <c r="I27" s="2744" t="s">
        <v>2778</v>
      </c>
    </row>
    <row r="29" spans="1:44">
      <c r="A29" s="2437"/>
      <c r="B29" s="3086" t="s">
        <v>3247</v>
      </c>
      <c r="C29" s="3087"/>
      <c r="D29" s="3087"/>
      <c r="E29" s="3087"/>
      <c r="F29" s="3087"/>
      <c r="G29" s="3087"/>
      <c r="H29" s="3087"/>
      <c r="I29" s="3087"/>
      <c r="J29" s="3088"/>
      <c r="K29" s="3087" t="s">
        <v>2771</v>
      </c>
      <c r="L29" s="3087"/>
      <c r="M29" s="3087"/>
      <c r="N29" s="3087"/>
      <c r="O29" s="3087"/>
      <c r="P29" s="3087"/>
      <c r="Q29" s="3088"/>
      <c r="R29" s="3770" t="s">
        <v>2786</v>
      </c>
      <c r="S29" s="3771"/>
      <c r="T29" s="3771"/>
      <c r="U29" s="3771"/>
      <c r="V29" s="3771"/>
      <c r="W29" s="3771"/>
      <c r="X29" s="3088"/>
      <c r="Y29" s="3770" t="s">
        <v>1920</v>
      </c>
      <c r="Z29" s="3771"/>
      <c r="AA29" s="3771"/>
      <c r="AB29" s="3771"/>
      <c r="AC29" s="3771"/>
      <c r="AD29" s="3771"/>
    </row>
    <row r="30" spans="1:44" ht="14.25" thickBot="1">
      <c r="A30" s="3081"/>
      <c r="B30" s="3089"/>
      <c r="C30" s="3090"/>
      <c r="D30" s="2421" t="s">
        <v>2773</v>
      </c>
      <c r="E30" s="2422" t="s">
        <v>2774</v>
      </c>
      <c r="F30" s="2422" t="s">
        <v>2775</v>
      </c>
      <c r="G30" s="2422" t="s">
        <v>1469</v>
      </c>
      <c r="H30" s="2422"/>
      <c r="I30" s="2422" t="s">
        <v>2719</v>
      </c>
      <c r="J30" s="3091"/>
      <c r="K30" s="2421" t="s">
        <v>2773</v>
      </c>
      <c r="L30" s="2422" t="s">
        <v>2774</v>
      </c>
      <c r="M30" s="2422" t="s">
        <v>2775</v>
      </c>
      <c r="N30" s="2422" t="s">
        <v>2776</v>
      </c>
      <c r="O30" s="2422"/>
      <c r="P30" s="2422" t="s">
        <v>2719</v>
      </c>
      <c r="Q30" s="3091"/>
      <c r="R30" s="2421" t="s">
        <v>2787</v>
      </c>
      <c r="S30" s="2422" t="s">
        <v>2788</v>
      </c>
      <c r="T30" s="2422" t="s">
        <v>2775</v>
      </c>
      <c r="U30" s="2422" t="s">
        <v>1469</v>
      </c>
      <c r="V30" s="2422"/>
      <c r="W30" s="2422" t="s">
        <v>2789</v>
      </c>
      <c r="X30" s="3091"/>
      <c r="Y30" s="2421" t="s">
        <v>2772</v>
      </c>
      <c r="Z30" s="2422" t="s">
        <v>2774</v>
      </c>
      <c r="AA30" s="2422" t="s">
        <v>2775</v>
      </c>
      <c r="AB30" s="2422" t="s">
        <v>1469</v>
      </c>
      <c r="AC30" s="2422"/>
      <c r="AD30" s="2422" t="s">
        <v>2792</v>
      </c>
      <c r="AG30" t="s">
        <v>2720</v>
      </c>
      <c r="AH30" t="s">
        <v>1212</v>
      </c>
      <c r="AI30" t="s">
        <v>851</v>
      </c>
      <c r="AK30" t="s">
        <v>2718</v>
      </c>
      <c r="AN30" t="s">
        <v>2720</v>
      </c>
      <c r="AO30" t="s">
        <v>1212</v>
      </c>
      <c r="AP30" t="s">
        <v>851</v>
      </c>
      <c r="AR30" t="s">
        <v>2718</v>
      </c>
    </row>
    <row r="31" spans="1:44">
      <c r="A31" s="3082" t="s">
        <v>2768</v>
      </c>
      <c r="B31" s="3092"/>
      <c r="C31" s="3093"/>
      <c r="D31" s="3093"/>
      <c r="E31" s="3093">
        <f>ROUND(AVERAGEIF(E32:E52,"&lt;&gt;0"),2)</f>
        <v>0.11</v>
      </c>
      <c r="F31" s="3093">
        <f>ROUND(AVERAGEIF(F32:F52,"&lt;&gt;0"),2)</f>
        <v>7.0000000000000007E-2</v>
      </c>
      <c r="G31" s="3093">
        <f>ROUND(AVERAGEIF(G32:G52,"&lt;&gt;0"),2)</f>
        <v>0.26</v>
      </c>
      <c r="H31" s="3093"/>
      <c r="I31" s="3093">
        <f>F31</f>
        <v>7.0000000000000007E-2</v>
      </c>
      <c r="J31" s="3094"/>
      <c r="K31" s="3095"/>
      <c r="L31" s="3096">
        <f>ROUND(AVERAGEIF(L32:L52,"&lt;&gt;0"),4)</f>
        <v>1.1000000000000001E-3</v>
      </c>
      <c r="M31" s="3096">
        <f>ROUND(AVERAGEIF(M32:M52,"&lt;&gt;0"),4)</f>
        <v>6.9999999999999999E-4</v>
      </c>
      <c r="N31" s="3096">
        <f>ROUND(AVERAGEIF(N32:N52,"&lt;&gt;0"),4)</f>
        <v>2.5999999999999999E-3</v>
      </c>
      <c r="O31" s="3096"/>
      <c r="P31" s="3096">
        <f>M31</f>
        <v>6.9999999999999999E-4</v>
      </c>
      <c r="Q31" s="3094"/>
      <c r="R31" s="3109"/>
      <c r="S31" s="3110">
        <f>ROUND(SUMPRODUCT(PRODUCT(1+L32:L52)),4)</f>
        <v>1.0185</v>
      </c>
      <c r="T31" s="3110">
        <f>ROUND(SUMPRODUCT(PRODUCT(1+M32:M52)),4)</f>
        <v>1.012</v>
      </c>
      <c r="U31" s="3110">
        <f>ROUND(SUMPRODUCT(PRODUCT(1+N32:N52)),4)</f>
        <v>1.0436000000000001</v>
      </c>
      <c r="V31" s="3110"/>
      <c r="W31" s="3109">
        <f>T31</f>
        <v>1.012</v>
      </c>
      <c r="X31" s="3094"/>
      <c r="Y31" s="3116"/>
      <c r="Z31" s="3117">
        <f>ROUND(AVERAGEIF(Z32:Z52,"&lt;&gt;0"),4)</f>
        <v>3.7000000000000002E-3</v>
      </c>
      <c r="AA31" s="3118">
        <f>ROUND(AVERAGEIF(AA32:AA52,"&lt;&gt;0"),4)</f>
        <v>3.0000000000000001E-3</v>
      </c>
      <c r="AB31" s="3116">
        <f>ROUND(AVERAGEIF(AB32:AB52,"&lt;&gt;0"),4)</f>
        <v>6.8999999999999999E-3</v>
      </c>
      <c r="AC31" s="3119"/>
      <c r="AD31" s="3116">
        <f>AA31</f>
        <v>3.0000000000000001E-3</v>
      </c>
    </row>
    <row r="32" spans="1:44">
      <c r="A32" s="2437"/>
      <c r="B32" s="3097"/>
      <c r="C32" s="2437"/>
      <c r="D32" s="2437"/>
      <c r="E32" s="2437"/>
      <c r="F32" s="2437"/>
      <c r="G32" s="2437"/>
      <c r="H32" s="2437"/>
      <c r="I32" s="2437"/>
      <c r="J32" s="3088"/>
      <c r="K32" s="3098"/>
      <c r="L32" s="3099"/>
      <c r="M32" s="3099"/>
      <c r="N32" s="3099"/>
      <c r="O32" s="3099"/>
      <c r="P32" s="3099"/>
      <c r="Q32" s="3088"/>
      <c r="R32" s="3111"/>
      <c r="S32" s="3112"/>
      <c r="T32" s="3113"/>
      <c r="U32" s="3111"/>
      <c r="V32" s="3114"/>
      <c r="W32" s="3111"/>
      <c r="X32" s="3088"/>
      <c r="Y32" s="3102"/>
      <c r="Z32" s="3120"/>
      <c r="AA32" s="3121"/>
      <c r="AB32" s="3102"/>
      <c r="AC32" s="3122"/>
      <c r="AD32" s="3102"/>
    </row>
    <row r="33" spans="1:44">
      <c r="A33" s="3385" t="s">
        <v>3296</v>
      </c>
      <c r="B33" s="3132">
        <v>2025</v>
      </c>
      <c r="C33" s="3133">
        <v>4</v>
      </c>
      <c r="D33" s="3133"/>
      <c r="E33" s="3133">
        <v>0</v>
      </c>
      <c r="F33" s="3133">
        <v>0</v>
      </c>
      <c r="G33" s="3133">
        <v>0</v>
      </c>
      <c r="H33" s="3133"/>
      <c r="I33" s="3134">
        <f t="shared" ref="I33" si="138">F33</f>
        <v>0</v>
      </c>
      <c r="J33" s="3100"/>
      <c r="K33" s="3101"/>
      <c r="L33" s="3102">
        <f t="shared" ref="L33" si="139">E33/100</f>
        <v>0</v>
      </c>
      <c r="M33" s="3102">
        <f t="shared" ref="M33" si="140">F33/100</f>
        <v>0</v>
      </c>
      <c r="N33" s="3102">
        <f t="shared" ref="N33" si="141">G33/100</f>
        <v>0</v>
      </c>
      <c r="O33" s="3102"/>
      <c r="P33" s="3102">
        <f t="shared" ref="P33:P39" si="142">M33</f>
        <v>0</v>
      </c>
      <c r="Q33" s="3100"/>
      <c r="R33" s="3111"/>
      <c r="S33" s="3111">
        <f>ROUND(IF(项目基本情况!$B$8="出让",SUMPRODUCT(PRODUCT(1+L33:L$52)),SUMPRODUCT(PRODUCT(1+L33:L$51))),4)</f>
        <v>1.0148999999999999</v>
      </c>
      <c r="T33" s="3111">
        <f>ROUND(IF(项目基本情况!$B$8="出让",SUMPRODUCT(PRODUCT(1+M33:M$52)),SUMPRODUCT(PRODUCT(1+M33:M$51))),4)</f>
        <v>1.0072000000000001</v>
      </c>
      <c r="U33" s="3111">
        <f>ROUND(IF(项目基本情况!$B$8="出让",SUMPRODUCT(PRODUCT(1+N33:N$52)),SUMPRODUCT(PRODUCT(1+N33:N$51))),4)</f>
        <v>1.0335000000000001</v>
      </c>
      <c r="V33" s="3111"/>
      <c r="W33" s="3111">
        <f t="shared" ref="W33:W39" si="143">T33</f>
        <v>1.0072000000000001</v>
      </c>
      <c r="X33" s="3100"/>
      <c r="Y33" s="3102"/>
      <c r="Z33" s="3120">
        <f t="shared" ref="Z33" si="144">IF(E33=0,0,ROUND(AVERAGE(E33:E46)/100,4))</f>
        <v>0</v>
      </c>
      <c r="AA33" s="3120">
        <f t="shared" ref="AA33" si="145">IF(F33=0,0,ROUND(AVERAGE(F33:F46)/100,4))</f>
        <v>0</v>
      </c>
      <c r="AB33" s="3120">
        <f t="shared" ref="AB33" si="146">IF(G33=0,0,ROUND(AVERAGE(G33:G46)/100,4))</f>
        <v>0</v>
      </c>
      <c r="AC33" s="3122"/>
      <c r="AD33" s="3102">
        <f t="shared" ref="AD33:AD39" si="147">IF(I33=0,0,ROUND(AVERAGE(I33:I46)/100,4))</f>
        <v>0</v>
      </c>
      <c r="AG33" s="3397">
        <f t="shared" ref="AG33:AG36" si="148">$AG$52*S33</f>
        <v>101.49</v>
      </c>
      <c r="AH33" s="3397">
        <f t="shared" ref="AH33:AH36" si="149">$AH$52*T33</f>
        <v>100.72000000000001</v>
      </c>
      <c r="AI33" s="3397">
        <f t="shared" ref="AI33:AI36" si="150">$AI$52*U33</f>
        <v>103.35000000000001</v>
      </c>
      <c r="AJ33" s="3397"/>
      <c r="AK33" s="3397">
        <f t="shared" ref="AK33:AK36" si="151">$AK$52*W33</f>
        <v>100.72000000000001</v>
      </c>
      <c r="AN33" s="3396">
        <v>100</v>
      </c>
      <c r="AO33" s="3396">
        <v>100</v>
      </c>
      <c r="AP33" s="3396">
        <v>100</v>
      </c>
      <c r="AQ33" s="3396"/>
      <c r="AR33" s="3396">
        <v>100</v>
      </c>
    </row>
    <row r="34" spans="1:44">
      <c r="A34" s="3385" t="s">
        <v>3295</v>
      </c>
      <c r="B34" s="3132">
        <v>2025</v>
      </c>
      <c r="C34" s="3133">
        <v>3</v>
      </c>
      <c r="D34" s="3133"/>
      <c r="E34" s="3133">
        <v>0</v>
      </c>
      <c r="F34" s="3133">
        <v>0</v>
      </c>
      <c r="G34" s="3133">
        <v>0</v>
      </c>
      <c r="H34" s="3133"/>
      <c r="I34" s="3134">
        <f t="shared" ref="I34" si="152">F34</f>
        <v>0</v>
      </c>
      <c r="J34" s="3100"/>
      <c r="K34" s="3101"/>
      <c r="L34" s="3102">
        <f t="shared" ref="L34" si="153">E34/100</f>
        <v>0</v>
      </c>
      <c r="M34" s="3102">
        <f t="shared" ref="M34" si="154">F34/100</f>
        <v>0</v>
      </c>
      <c r="N34" s="3102">
        <f t="shared" ref="N34" si="155">G34/100</f>
        <v>0</v>
      </c>
      <c r="O34" s="3102"/>
      <c r="P34" s="3102">
        <f t="shared" si="142"/>
        <v>0</v>
      </c>
      <c r="Q34" s="3100"/>
      <c r="R34" s="3111"/>
      <c r="S34" s="3111">
        <f>ROUND(IF(项目基本情况!$B$8="出让",SUMPRODUCT(PRODUCT(1+L34:L$52)),SUMPRODUCT(PRODUCT(1+L34:L$51))),4)</f>
        <v>1.0148999999999999</v>
      </c>
      <c r="T34" s="3111">
        <f>ROUND(IF(项目基本情况!$B$8="出让",SUMPRODUCT(PRODUCT(1+M34:M$52)),SUMPRODUCT(PRODUCT(1+M34:M$51))),4)</f>
        <v>1.0072000000000001</v>
      </c>
      <c r="U34" s="3111">
        <f>ROUND(IF(项目基本情况!$B$8="出让",SUMPRODUCT(PRODUCT(1+N34:N$52)),SUMPRODUCT(PRODUCT(1+N34:N$51))),4)</f>
        <v>1.0335000000000001</v>
      </c>
      <c r="V34" s="3111"/>
      <c r="W34" s="3111">
        <f t="shared" si="143"/>
        <v>1.0072000000000001</v>
      </c>
      <c r="X34" s="3100"/>
      <c r="Y34" s="3102"/>
      <c r="Z34" s="3120">
        <f t="shared" ref="Z34" si="156">IF(E34=0,0,ROUND(AVERAGE(E34:E47)/100,4))</f>
        <v>0</v>
      </c>
      <c r="AA34" s="3120">
        <f t="shared" ref="AA34" si="157">IF(F34=0,0,ROUND(AVERAGE(F34:F47)/100,4))</f>
        <v>0</v>
      </c>
      <c r="AB34" s="3120">
        <f t="shared" ref="AB34" si="158">IF(G34=0,0,ROUND(AVERAGE(G34:G47)/100,4))</f>
        <v>0</v>
      </c>
      <c r="AC34" s="3122"/>
      <c r="AD34" s="3102">
        <f t="shared" si="147"/>
        <v>0</v>
      </c>
      <c r="AG34" s="3397">
        <f t="shared" si="148"/>
        <v>101.49</v>
      </c>
      <c r="AH34" s="3397">
        <f t="shared" si="149"/>
        <v>100.72000000000001</v>
      </c>
      <c r="AI34" s="3397">
        <f t="shared" si="150"/>
        <v>103.35000000000001</v>
      </c>
      <c r="AJ34" s="3397"/>
      <c r="AK34" s="3397">
        <f t="shared" si="151"/>
        <v>100.72000000000001</v>
      </c>
      <c r="AN34" s="3397">
        <f>AN33/(1+E33/100)</f>
        <v>100</v>
      </c>
      <c r="AO34" s="3397">
        <f t="shared" ref="AO34:AR34" si="159">AO33/(1+F33/100)</f>
        <v>100</v>
      </c>
      <c r="AP34" s="3397">
        <f t="shared" si="159"/>
        <v>100</v>
      </c>
      <c r="AQ34" s="3397"/>
      <c r="AR34" s="3397">
        <f t="shared" si="159"/>
        <v>100</v>
      </c>
    </row>
    <row r="35" spans="1:44">
      <c r="A35" s="3084" t="s">
        <v>3299</v>
      </c>
      <c r="B35" s="3135">
        <v>2025</v>
      </c>
      <c r="C35" s="3136">
        <v>2</v>
      </c>
      <c r="D35" s="3136"/>
      <c r="E35" s="3136">
        <v>0</v>
      </c>
      <c r="F35" s="3136">
        <v>0</v>
      </c>
      <c r="G35" s="3136">
        <v>0</v>
      </c>
      <c r="H35" s="3137"/>
      <c r="I35" s="3138">
        <f t="shared" ref="I35" si="160">F35</f>
        <v>0</v>
      </c>
      <c r="J35" s="3103"/>
      <c r="K35" s="3104"/>
      <c r="L35" s="3105">
        <f t="shared" ref="L35" si="161">E35/100</f>
        <v>0</v>
      </c>
      <c r="M35" s="3105">
        <f t="shared" ref="M35" si="162">F35/100</f>
        <v>0</v>
      </c>
      <c r="N35" s="3105">
        <f t="shared" ref="N35" si="163">G35/100</f>
        <v>0</v>
      </c>
      <c r="O35" s="3105"/>
      <c r="P35" s="3105">
        <f t="shared" si="142"/>
        <v>0</v>
      </c>
      <c r="Q35" s="3103"/>
      <c r="R35" s="3103"/>
      <c r="S35" s="3103">
        <f>ROUND(IF(项目基本情况!$B$8="出让",SUMPRODUCT(PRODUCT(1+L35:L$52)),SUMPRODUCT(PRODUCT(1+L35:L$51))),4)</f>
        <v>1.0148999999999999</v>
      </c>
      <c r="T35" s="3103">
        <f>ROUND(IF(项目基本情况!$B$8="出让",SUMPRODUCT(PRODUCT(1+M35:M$52)),SUMPRODUCT(PRODUCT(1+M35:M$51))),4)</f>
        <v>1.0072000000000001</v>
      </c>
      <c r="U35" s="3103">
        <f>ROUND(IF(项目基本情况!$B$8="出让",SUMPRODUCT(PRODUCT(1+N35:N$52)),SUMPRODUCT(PRODUCT(1+N35:N$51))),4)</f>
        <v>1.0335000000000001</v>
      </c>
      <c r="V35" s="3103"/>
      <c r="W35" s="3103">
        <f t="shared" si="143"/>
        <v>1.0072000000000001</v>
      </c>
      <c r="X35" s="3100"/>
      <c r="Y35" s="3102"/>
      <c r="Z35" s="3120">
        <f t="shared" ref="Z35" si="164">IF(E35=0,0,ROUND(AVERAGE(E35:E48)/100,4))</f>
        <v>0</v>
      </c>
      <c r="AA35" s="3120">
        <f t="shared" ref="AA35" si="165">IF(F35=0,0,ROUND(AVERAGE(F35:F48)/100,4))</f>
        <v>0</v>
      </c>
      <c r="AB35" s="3120">
        <f t="shared" ref="AB35" si="166">IF(G35=0,0,ROUND(AVERAGE(G35:G48)/100,4))</f>
        <v>0</v>
      </c>
      <c r="AC35" s="3122"/>
      <c r="AD35" s="3102">
        <f t="shared" si="147"/>
        <v>0</v>
      </c>
      <c r="AG35" s="3397">
        <f t="shared" si="148"/>
        <v>101.49</v>
      </c>
      <c r="AH35" s="3397">
        <f t="shared" si="149"/>
        <v>100.72000000000001</v>
      </c>
      <c r="AI35" s="3397">
        <f t="shared" si="150"/>
        <v>103.35000000000001</v>
      </c>
      <c r="AJ35" s="3397"/>
      <c r="AK35" s="3397">
        <f t="shared" si="151"/>
        <v>100.72000000000001</v>
      </c>
      <c r="AN35" s="3397">
        <f t="shared" ref="AN35:AN52" si="167">AN34/(1+E34/100)</f>
        <v>100</v>
      </c>
      <c r="AO35" s="3397">
        <f t="shared" ref="AO35:AO52" si="168">AO34/(1+F34/100)</f>
        <v>100</v>
      </c>
      <c r="AP35" s="3397">
        <f t="shared" ref="AP35:AP52" si="169">AP34/(1+G34/100)</f>
        <v>100</v>
      </c>
      <c r="AQ35" s="3397"/>
      <c r="AR35" s="3397">
        <f t="shared" ref="AR35:AR52" si="170">AR34/(1+I34/100)</f>
        <v>100</v>
      </c>
    </row>
    <row r="36" spans="1:44">
      <c r="A36" s="3385" t="s">
        <v>3243</v>
      </c>
      <c r="B36" s="3132">
        <v>2025</v>
      </c>
      <c r="C36" s="3133">
        <v>1</v>
      </c>
      <c r="D36" s="3133"/>
      <c r="E36" s="3133">
        <v>-1.47</v>
      </c>
      <c r="F36" s="3133">
        <v>-0.98</v>
      </c>
      <c r="G36" s="3133">
        <v>-0.51</v>
      </c>
      <c r="H36" s="3133"/>
      <c r="I36" s="3134">
        <f t="shared" ref="I36" si="171">F36</f>
        <v>-0.98</v>
      </c>
      <c r="J36" s="3100"/>
      <c r="K36" s="3101"/>
      <c r="L36" s="3102">
        <f t="shared" ref="L36" si="172">E36/100</f>
        <v>-1.47E-2</v>
      </c>
      <c r="M36" s="3102">
        <f t="shared" ref="M36" si="173">F36/100</f>
        <v>-9.7999999999999997E-3</v>
      </c>
      <c r="N36" s="3102">
        <f t="shared" ref="N36" si="174">G36/100</f>
        <v>-5.1000000000000004E-3</v>
      </c>
      <c r="O36" s="3102"/>
      <c r="P36" s="3102">
        <f t="shared" si="142"/>
        <v>-9.7999999999999997E-3</v>
      </c>
      <c r="Q36" s="3100"/>
      <c r="R36" s="3111"/>
      <c r="S36" s="3111">
        <f>ROUND(IF(项目基本情况!$B$8="出让",SUMPRODUCT(PRODUCT(1+L36:L$52)),SUMPRODUCT(PRODUCT(1+L36:L$51))),4)</f>
        <v>1.0148999999999999</v>
      </c>
      <c r="T36" s="3111">
        <f>ROUND(IF(项目基本情况!$B$8="出让",SUMPRODUCT(PRODUCT(1+M36:M$52)),SUMPRODUCT(PRODUCT(1+M36:M$51))),4)</f>
        <v>1.0072000000000001</v>
      </c>
      <c r="U36" s="3111">
        <f>ROUND(IF(项目基本情况!$B$8="出让",SUMPRODUCT(PRODUCT(1+N36:N$52)),SUMPRODUCT(PRODUCT(1+N36:N$51))),4)</f>
        <v>1.0335000000000001</v>
      </c>
      <c r="V36" s="3111"/>
      <c r="W36" s="3111">
        <f t="shared" si="143"/>
        <v>1.0072000000000001</v>
      </c>
      <c r="X36" s="3100"/>
      <c r="Y36" s="3102"/>
      <c r="Z36" s="3120">
        <f t="shared" ref="Z36" si="175">IF(E36=0,0,ROUND(AVERAGE(E36:E49)/100,4))</f>
        <v>4.0000000000000002E-4</v>
      </c>
      <c r="AA36" s="3120">
        <f t="shared" ref="AA36" si="176">IF(F36=0,0,ROUND(AVERAGE(F36:F49)/100,4))</f>
        <v>0</v>
      </c>
      <c r="AB36" s="3120">
        <f t="shared" ref="AB36" si="177">IF(G36=0,0,ROUND(AVERAGE(G36:G49)/100,4))</f>
        <v>1E-3</v>
      </c>
      <c r="AC36" s="3122"/>
      <c r="AD36" s="3102">
        <f t="shared" si="147"/>
        <v>0</v>
      </c>
      <c r="AG36" s="3397">
        <f t="shared" si="148"/>
        <v>101.49</v>
      </c>
      <c r="AH36" s="3397">
        <f t="shared" si="149"/>
        <v>100.72000000000001</v>
      </c>
      <c r="AI36" s="3397">
        <f t="shared" si="150"/>
        <v>103.35000000000001</v>
      </c>
      <c r="AJ36" s="3397"/>
      <c r="AK36" s="3397">
        <f t="shared" si="151"/>
        <v>100.72000000000001</v>
      </c>
      <c r="AN36" s="3397">
        <f t="shared" si="167"/>
        <v>100</v>
      </c>
      <c r="AO36" s="3397">
        <f t="shared" si="168"/>
        <v>100</v>
      </c>
      <c r="AP36" s="3397">
        <f t="shared" si="169"/>
        <v>100</v>
      </c>
      <c r="AQ36" s="3397"/>
      <c r="AR36" s="3397">
        <f t="shared" si="170"/>
        <v>100</v>
      </c>
    </row>
    <row r="37" spans="1:44">
      <c r="A37" s="3385" t="s">
        <v>3298</v>
      </c>
      <c r="B37" s="3132">
        <v>2024</v>
      </c>
      <c r="C37" s="3133">
        <v>4</v>
      </c>
      <c r="D37" s="3133"/>
      <c r="E37" s="3133">
        <v>-0.61</v>
      </c>
      <c r="F37" s="3133">
        <v>-0.71</v>
      </c>
      <c r="G37" s="3133">
        <v>-0.88</v>
      </c>
      <c r="H37" s="3133"/>
      <c r="I37" s="3134">
        <f t="shared" ref="I37" si="178">F37</f>
        <v>-0.71</v>
      </c>
      <c r="J37" s="3100"/>
      <c r="K37" s="3101"/>
      <c r="L37" s="3102">
        <f t="shared" ref="L37" si="179">E37/100</f>
        <v>-6.0999999999999995E-3</v>
      </c>
      <c r="M37" s="3102">
        <f t="shared" ref="M37" si="180">F37/100</f>
        <v>-7.0999999999999995E-3</v>
      </c>
      <c r="N37" s="3102">
        <f t="shared" ref="N37" si="181">G37/100</f>
        <v>-8.8000000000000005E-3</v>
      </c>
      <c r="O37" s="3102"/>
      <c r="P37" s="3102">
        <f t="shared" si="142"/>
        <v>-7.0999999999999995E-3</v>
      </c>
      <c r="Q37" s="3100"/>
      <c r="R37" s="3111"/>
      <c r="S37" s="3111">
        <f>ROUND(IF(项目基本情况!$B$8="出让",SUMPRODUCT(PRODUCT(1+L37:L$52)),SUMPRODUCT(PRODUCT(1+L37:L$51))),4)</f>
        <v>1.0301</v>
      </c>
      <c r="T37" s="3111">
        <f>ROUND(IF(项目基本情况!$B$8="出让",SUMPRODUCT(PRODUCT(1+M37:M$52)),SUMPRODUCT(PRODUCT(1+M37:M$51))),4)</f>
        <v>1.0170999999999999</v>
      </c>
      <c r="U37" s="3111">
        <f>ROUND(IF(项目基本情况!$B$8="出让",SUMPRODUCT(PRODUCT(1+N37:N$52)),SUMPRODUCT(PRODUCT(1+N37:N$51))),4)</f>
        <v>1.0387999999999999</v>
      </c>
      <c r="V37" s="3111"/>
      <c r="W37" s="3111">
        <f t="shared" si="143"/>
        <v>1.0170999999999999</v>
      </c>
      <c r="X37" s="3103"/>
      <c r="Y37" s="3105"/>
      <c r="Z37" s="3123">
        <f t="shared" ref="Z37" si="182">IF(E37=0,0,ROUND(AVERAGE(E37:E50)/100,4))</f>
        <v>1.6999999999999999E-3</v>
      </c>
      <c r="AA37" s="3124">
        <f t="shared" ref="AA37" si="183">IF(F37=0,0,ROUND(AVERAGE(F37:F50)/100,4))</f>
        <v>8.9999999999999998E-4</v>
      </c>
      <c r="AB37" s="3105">
        <f t="shared" ref="AB37" si="184">IF(G37=0,0,ROUND(AVERAGE(G37:G50)/100,4))</f>
        <v>2E-3</v>
      </c>
      <c r="AC37" s="3125"/>
      <c r="AD37" s="3105">
        <f t="shared" si="147"/>
        <v>8.9999999999999998E-4</v>
      </c>
      <c r="AG37" s="3397">
        <f t="shared" ref="AG37:AG51" si="185">$AG$52*S37</f>
        <v>103.01</v>
      </c>
      <c r="AH37" s="3397">
        <f t="shared" ref="AH37:AH51" si="186">$AH$52*T37</f>
        <v>101.71</v>
      </c>
      <c r="AI37" s="3397">
        <f t="shared" ref="AI37:AI51" si="187">$AI$52*U37</f>
        <v>103.88</v>
      </c>
      <c r="AJ37" s="3397"/>
      <c r="AK37" s="3397">
        <f t="shared" ref="AK37:AK51" si="188">$AK$52*W37</f>
        <v>101.71</v>
      </c>
      <c r="AN37" s="3397">
        <f t="shared" si="167"/>
        <v>101.49193139145439</v>
      </c>
      <c r="AO37" s="3397">
        <f t="shared" si="168"/>
        <v>100.98969905069683</v>
      </c>
      <c r="AP37" s="3397">
        <f t="shared" si="169"/>
        <v>100.51261433309881</v>
      </c>
      <c r="AQ37" s="3397"/>
      <c r="AR37" s="3397">
        <f t="shared" si="170"/>
        <v>100.98969905069683</v>
      </c>
    </row>
    <row r="38" spans="1:44">
      <c r="A38" s="3385" t="s">
        <v>3239</v>
      </c>
      <c r="B38" s="3132">
        <v>2024</v>
      </c>
      <c r="C38" s="3133">
        <v>3</v>
      </c>
      <c r="D38" s="3133"/>
      <c r="E38" s="3133">
        <v>-0.66</v>
      </c>
      <c r="F38" s="3133">
        <v>-0.52</v>
      </c>
      <c r="G38" s="3133">
        <v>-2.87</v>
      </c>
      <c r="H38" s="3133"/>
      <c r="I38" s="3134">
        <f t="shared" ref="I38" si="189">F38</f>
        <v>-0.52</v>
      </c>
      <c r="J38" s="3100"/>
      <c r="K38" s="3101"/>
      <c r="L38" s="3102">
        <f t="shared" ref="L38" si="190">E38/100</f>
        <v>-6.6E-3</v>
      </c>
      <c r="M38" s="3102">
        <f t="shared" ref="M38" si="191">F38/100</f>
        <v>-5.1999999999999998E-3</v>
      </c>
      <c r="N38" s="3102">
        <f t="shared" ref="N38" si="192">G38/100</f>
        <v>-2.87E-2</v>
      </c>
      <c r="O38" s="3102"/>
      <c r="P38" s="3102">
        <f t="shared" si="142"/>
        <v>-5.1999999999999998E-3</v>
      </c>
      <c r="Q38" s="3100"/>
      <c r="R38" s="3111"/>
      <c r="S38" s="3111">
        <f>ROUND(IF(项目基本情况!$B$8="出让",SUMPRODUCT(PRODUCT(1+L38:L$52)),SUMPRODUCT(PRODUCT(1+L38:L$51))),4)</f>
        <v>1.0364</v>
      </c>
      <c r="T38" s="3111">
        <f>ROUND(IF(项目基本情况!$B$8="出让",SUMPRODUCT(PRODUCT(1+M38:M$52)),SUMPRODUCT(PRODUCT(1+M38:M$51))),4)</f>
        <v>1.0244</v>
      </c>
      <c r="U38" s="3111">
        <f>ROUND(IF(项目基本情况!$B$8="出让",SUMPRODUCT(PRODUCT(1+N38:N$52)),SUMPRODUCT(PRODUCT(1+N38:N$51))),4)</f>
        <v>1.048</v>
      </c>
      <c r="V38" s="3111"/>
      <c r="W38" s="3111">
        <f t="shared" si="143"/>
        <v>1.0244</v>
      </c>
      <c r="X38" s="3100"/>
      <c r="Y38" s="3102"/>
      <c r="Z38" s="3120">
        <f t="shared" ref="Z38:AB39" si="193">IF(E38=0,0,ROUND(AVERAGE(E38:E51)/100,4))</f>
        <v>2.5999999999999999E-3</v>
      </c>
      <c r="AA38" s="3120">
        <f t="shared" si="193"/>
        <v>1.6999999999999999E-3</v>
      </c>
      <c r="AB38" s="3120">
        <f t="shared" si="193"/>
        <v>3.3999999999999998E-3</v>
      </c>
      <c r="AC38" s="3122"/>
      <c r="AD38" s="3102">
        <f t="shared" si="147"/>
        <v>1.6999999999999999E-3</v>
      </c>
      <c r="AG38" s="3397">
        <f t="shared" si="185"/>
        <v>103.64</v>
      </c>
      <c r="AH38" s="3397">
        <f t="shared" si="186"/>
        <v>102.44</v>
      </c>
      <c r="AI38" s="3397">
        <f t="shared" si="187"/>
        <v>104.80000000000001</v>
      </c>
      <c r="AJ38" s="3397"/>
      <c r="AK38" s="3397">
        <f t="shared" si="188"/>
        <v>102.44</v>
      </c>
      <c r="AN38" s="3397">
        <f t="shared" si="167"/>
        <v>102.11483186583598</v>
      </c>
      <c r="AO38" s="3397">
        <f t="shared" si="168"/>
        <v>101.71185320847701</v>
      </c>
      <c r="AP38" s="3397">
        <f t="shared" si="169"/>
        <v>101.4049781407373</v>
      </c>
      <c r="AQ38" s="3397"/>
      <c r="AR38" s="3397">
        <f t="shared" si="170"/>
        <v>101.71185320847701</v>
      </c>
    </row>
    <row r="39" spans="1:44">
      <c r="A39" s="3083" t="s">
        <v>3245</v>
      </c>
      <c r="B39" s="3132">
        <v>2024</v>
      </c>
      <c r="C39" s="3133">
        <v>2</v>
      </c>
      <c r="D39" s="3133"/>
      <c r="E39" s="3133">
        <v>-0.31</v>
      </c>
      <c r="F39" s="3133">
        <v>-0.39</v>
      </c>
      <c r="G39" s="3133">
        <v>1.23</v>
      </c>
      <c r="H39" s="3139"/>
      <c r="I39" s="3134">
        <f t="shared" ref="I39:I52" si="194">F39</f>
        <v>-0.39</v>
      </c>
      <c r="J39" s="3100"/>
      <c r="K39" s="3101"/>
      <c r="L39" s="3102">
        <f t="shared" ref="L39:N52" si="195">E39/100</f>
        <v>-3.0999999999999999E-3</v>
      </c>
      <c r="M39" s="3102">
        <f t="shared" si="195"/>
        <v>-3.9000000000000003E-3</v>
      </c>
      <c r="N39" s="3102">
        <f t="shared" si="195"/>
        <v>1.23E-2</v>
      </c>
      <c r="O39" s="3102"/>
      <c r="P39" s="3102">
        <f t="shared" si="142"/>
        <v>-3.9000000000000003E-3</v>
      </c>
      <c r="Q39" s="3100"/>
      <c r="R39" s="3111"/>
      <c r="S39" s="3111">
        <f>ROUND(IF(项目基本情况!$B$8="出让",SUMPRODUCT(PRODUCT(1+L39:L$52)),SUMPRODUCT(PRODUCT(1+L39:L$51))),4)</f>
        <v>1.0432999999999999</v>
      </c>
      <c r="T39" s="3111">
        <f>ROUND(IF(项目基本情况!$B$8="出让",SUMPRODUCT(PRODUCT(1+M39:M$52)),SUMPRODUCT(PRODUCT(1+M39:M$51))),4)</f>
        <v>1.0298</v>
      </c>
      <c r="U39" s="3111">
        <f>ROUND(IF(项目基本情况!$B$8="出让",SUMPRODUCT(PRODUCT(1+N39:N$52)),SUMPRODUCT(PRODUCT(1+N39:N$51))),4)</f>
        <v>1.079</v>
      </c>
      <c r="V39" s="3111"/>
      <c r="W39" s="3111">
        <f t="shared" si="143"/>
        <v>1.0298</v>
      </c>
      <c r="X39" s="3100"/>
      <c r="Y39" s="3102"/>
      <c r="Z39" s="3120">
        <f t="shared" si="193"/>
        <v>3.3E-3</v>
      </c>
      <c r="AA39" s="3121">
        <f t="shared" si="193"/>
        <v>2.3999999999999998E-3</v>
      </c>
      <c r="AB39" s="3102">
        <f t="shared" si="193"/>
        <v>6.1999999999999998E-3</v>
      </c>
      <c r="AC39" s="3122"/>
      <c r="AD39" s="3102">
        <f t="shared" si="147"/>
        <v>2.3999999999999998E-3</v>
      </c>
      <c r="AG39" s="3397">
        <f t="shared" si="185"/>
        <v>104.32999999999998</v>
      </c>
      <c r="AH39" s="3397">
        <f t="shared" si="186"/>
        <v>102.98</v>
      </c>
      <c r="AI39" s="3397">
        <f t="shared" si="187"/>
        <v>107.89999999999999</v>
      </c>
      <c r="AJ39" s="3397"/>
      <c r="AK39" s="3397">
        <f t="shared" si="188"/>
        <v>102.98</v>
      </c>
      <c r="AN39" s="3397">
        <f t="shared" si="167"/>
        <v>102.79326743087979</v>
      </c>
      <c r="AO39" s="3397">
        <f t="shared" si="168"/>
        <v>102.24351950992863</v>
      </c>
      <c r="AP39" s="3397">
        <f t="shared" si="169"/>
        <v>104.40129531631555</v>
      </c>
      <c r="AQ39" s="3397"/>
      <c r="AR39" s="3397">
        <f t="shared" si="170"/>
        <v>102.24351950992863</v>
      </c>
    </row>
    <row r="40" spans="1:44">
      <c r="A40" s="3083" t="s">
        <v>3242</v>
      </c>
      <c r="B40" s="3132">
        <v>2024</v>
      </c>
      <c r="C40" s="3133">
        <v>1</v>
      </c>
      <c r="D40" s="3133"/>
      <c r="E40" s="3133">
        <v>0.25</v>
      </c>
      <c r="F40" s="3133">
        <v>0.4</v>
      </c>
      <c r="G40" s="3133">
        <v>-0.63</v>
      </c>
      <c r="H40" s="3139"/>
      <c r="I40" s="3134">
        <f t="shared" si="194"/>
        <v>0.4</v>
      </c>
      <c r="J40" s="3100"/>
      <c r="K40" s="3101"/>
      <c r="L40" s="3102">
        <f t="shared" ref="L40" si="196">E40/100</f>
        <v>2.5000000000000001E-3</v>
      </c>
      <c r="M40" s="3102">
        <f t="shared" ref="M40" si="197">F40/100</f>
        <v>4.0000000000000001E-3</v>
      </c>
      <c r="N40" s="3102">
        <f t="shared" ref="N40" si="198">G40/100</f>
        <v>-6.3E-3</v>
      </c>
      <c r="O40" s="3102"/>
      <c r="P40" s="3102">
        <f t="shared" ref="P40" si="199">M40</f>
        <v>4.0000000000000001E-3</v>
      </c>
      <c r="Q40" s="3100"/>
      <c r="R40" s="3111"/>
      <c r="S40" s="3111">
        <f>ROUND(IF(项目基本情况!$B$8="出让",SUMPRODUCT(PRODUCT(1+L40:L$52)),SUMPRODUCT(PRODUCT(1+L40:L$51))),4)</f>
        <v>1.0465</v>
      </c>
      <c r="T40" s="3111">
        <f>ROUND(IF(项目基本情况!$B$8="出让",SUMPRODUCT(PRODUCT(1+M40:M$52)),SUMPRODUCT(PRODUCT(1+M40:M$51))),4)</f>
        <v>1.0338000000000001</v>
      </c>
      <c r="U40" s="3111">
        <f>ROUND(IF(项目基本情况!$B$8="出让",SUMPRODUCT(PRODUCT(1+N40:N$52)),SUMPRODUCT(PRODUCT(1+N40:N$51))),4)</f>
        <v>1.0659000000000001</v>
      </c>
      <c r="V40" s="3111"/>
      <c r="W40" s="3111">
        <f t="shared" ref="W40" si="200">T40</f>
        <v>1.0338000000000001</v>
      </c>
      <c r="X40" s="3100"/>
      <c r="Y40" s="3102"/>
      <c r="Z40" s="3120">
        <f t="shared" ref="Z40" si="201">IF(E40=0,0,ROUND(AVERAGE(E40:E51)/100,4))</f>
        <v>3.8E-3</v>
      </c>
      <c r="AA40" s="3121">
        <f t="shared" ref="AA40" si="202">IF(F40=0,0,ROUND(AVERAGE(F40:F51)/100,4))</f>
        <v>2.8E-3</v>
      </c>
      <c r="AB40" s="3102">
        <f t="shared" ref="AB40" si="203">IF(G40=0,0,ROUND(AVERAGE(G40:G51)/100,4))</f>
        <v>5.3E-3</v>
      </c>
      <c r="AC40" s="3122"/>
      <c r="AD40" s="3102">
        <f t="shared" ref="AD40" si="204">IF(I40=0,0,ROUND(AVERAGE(I40:I51)/100,4))</f>
        <v>2.8E-3</v>
      </c>
      <c r="AG40" s="3397">
        <f t="shared" si="185"/>
        <v>104.65</v>
      </c>
      <c r="AH40" s="3397">
        <f t="shared" si="186"/>
        <v>103.38000000000001</v>
      </c>
      <c r="AI40" s="3397">
        <f t="shared" si="187"/>
        <v>106.59</v>
      </c>
      <c r="AJ40" s="3397"/>
      <c r="AK40" s="3397">
        <f t="shared" si="188"/>
        <v>103.38000000000001</v>
      </c>
      <c r="AN40" s="3397">
        <f t="shared" si="167"/>
        <v>103.11291747505246</v>
      </c>
      <c r="AO40" s="3397">
        <f t="shared" si="168"/>
        <v>102.64383044867849</v>
      </c>
      <c r="AP40" s="3397">
        <f t="shared" si="169"/>
        <v>103.13276233953923</v>
      </c>
      <c r="AQ40" s="3397"/>
      <c r="AR40" s="3397">
        <f t="shared" si="170"/>
        <v>102.64383044867849</v>
      </c>
    </row>
    <row r="41" spans="1:44">
      <c r="A41" s="3083" t="s">
        <v>3237</v>
      </c>
      <c r="B41" s="3132">
        <v>2023</v>
      </c>
      <c r="C41" s="3133">
        <v>4</v>
      </c>
      <c r="D41" s="3133"/>
      <c r="E41" s="3133">
        <v>7.0000000000000007E-2</v>
      </c>
      <c r="F41" s="3133">
        <v>0.09</v>
      </c>
      <c r="G41" s="3133">
        <v>0.03</v>
      </c>
      <c r="H41" s="3139"/>
      <c r="I41" s="3134">
        <f t="shared" ref="I41" si="205">F41</f>
        <v>0.09</v>
      </c>
      <c r="J41" s="3100"/>
      <c r="K41" s="3101"/>
      <c r="L41" s="3102">
        <f t="shared" si="195"/>
        <v>7.000000000000001E-4</v>
      </c>
      <c r="M41" s="3102">
        <f t="shared" si="195"/>
        <v>8.9999999999999998E-4</v>
      </c>
      <c r="N41" s="3102">
        <f t="shared" si="195"/>
        <v>2.9999999999999997E-4</v>
      </c>
      <c r="O41" s="3102"/>
      <c r="P41" s="3102">
        <f t="shared" ref="P41" si="206">M41</f>
        <v>8.9999999999999998E-4</v>
      </c>
      <c r="Q41" s="3100"/>
      <c r="R41" s="3111"/>
      <c r="S41" s="3111">
        <f>ROUND(IF(项目基本情况!$B$8="出让",SUMPRODUCT(PRODUCT(1+L41:L$52)),SUMPRODUCT(PRODUCT(1+L41:L$51))),4)</f>
        <v>1.0439000000000001</v>
      </c>
      <c r="T41" s="3111">
        <f>ROUND(IF(项目基本情况!$B$8="出让",SUMPRODUCT(PRODUCT(1+M41:M$52)),SUMPRODUCT(PRODUCT(1+M41:M$51))),4)</f>
        <v>1.0297000000000001</v>
      </c>
      <c r="U41" s="3111">
        <f>ROUND(IF(项目基本情况!$B$8="出让",SUMPRODUCT(PRODUCT(1+N41:N$52)),SUMPRODUCT(PRODUCT(1+N41:N$51))),4)</f>
        <v>1.0727</v>
      </c>
      <c r="V41" s="3111"/>
      <c r="W41" s="3111">
        <f t="shared" ref="W41" si="207">T41</f>
        <v>1.0297000000000001</v>
      </c>
      <c r="X41" s="3100"/>
      <c r="Y41" s="3102"/>
      <c r="Z41" s="3120">
        <f t="shared" ref="Z41" si="208">IF(E41=0,0,ROUND(AVERAGE(E41:E52)/100,4))</f>
        <v>3.8999999999999998E-3</v>
      </c>
      <c r="AA41" s="3121">
        <f t="shared" ref="AA41" si="209">IF(F41=0,0,ROUND(AVERAGE(F41:F52)/100,4))</f>
        <v>2.8E-3</v>
      </c>
      <c r="AB41" s="3102">
        <f t="shared" ref="AB41" si="210">IF(G41=0,0,ROUND(AVERAGE(G41:G52)/100,4))</f>
        <v>6.7000000000000002E-3</v>
      </c>
      <c r="AC41" s="3122"/>
      <c r="AD41" s="3102">
        <f t="shared" ref="AD41" si="211">IF(I41=0,0,ROUND(AVERAGE(I41:I52)/100,4))</f>
        <v>2.8E-3</v>
      </c>
      <c r="AG41" s="3397">
        <f t="shared" si="185"/>
        <v>104.39</v>
      </c>
      <c r="AH41" s="3397">
        <f t="shared" si="186"/>
        <v>102.97</v>
      </c>
      <c r="AI41" s="3397">
        <f t="shared" si="187"/>
        <v>107.27</v>
      </c>
      <c r="AJ41" s="3397"/>
      <c r="AK41" s="3397">
        <f t="shared" si="188"/>
        <v>102.97</v>
      </c>
      <c r="AN41" s="3397">
        <f t="shared" si="167"/>
        <v>102.85577802997751</v>
      </c>
      <c r="AO41" s="3397">
        <f t="shared" si="168"/>
        <v>102.23489088513793</v>
      </c>
      <c r="AP41" s="3397">
        <f t="shared" si="169"/>
        <v>103.78661803314806</v>
      </c>
      <c r="AQ41" s="3397"/>
      <c r="AR41" s="3397">
        <f t="shared" si="170"/>
        <v>102.23489088513793</v>
      </c>
    </row>
    <row r="42" spans="1:44">
      <c r="A42" s="3083" t="s">
        <v>3235</v>
      </c>
      <c r="B42" s="3132">
        <v>2023</v>
      </c>
      <c r="C42" s="3133">
        <v>3</v>
      </c>
      <c r="D42" s="3133"/>
      <c r="E42" s="3133">
        <v>0.35</v>
      </c>
      <c r="F42" s="3133">
        <v>0.17</v>
      </c>
      <c r="G42" s="3133">
        <v>0.52</v>
      </c>
      <c r="H42" s="3139"/>
      <c r="I42" s="3134">
        <f t="shared" si="194"/>
        <v>0.17</v>
      </c>
      <c r="J42" s="3100"/>
      <c r="K42" s="3101"/>
      <c r="L42" s="3102">
        <f t="shared" ref="L42:L44" si="212">E42/100</f>
        <v>3.4999999999999996E-3</v>
      </c>
      <c r="M42" s="3102">
        <f t="shared" ref="M42:M44" si="213">F42/100</f>
        <v>1.7000000000000001E-3</v>
      </c>
      <c r="N42" s="3102">
        <f t="shared" ref="N42:N44" si="214">G42/100</f>
        <v>5.1999999999999998E-3</v>
      </c>
      <c r="O42" s="3102"/>
      <c r="P42" s="3102">
        <f t="shared" ref="P42:P44" si="215">M42</f>
        <v>1.7000000000000001E-3</v>
      </c>
      <c r="Q42" s="3100"/>
      <c r="R42" s="3111"/>
      <c r="S42" s="3111">
        <f>ROUND(IF(项目基本情况!$B$8="出让",SUMPRODUCT(PRODUCT(1+L42:L$52)),SUMPRODUCT(PRODUCT(1+L42:L$51))),4)</f>
        <v>1.0431999999999999</v>
      </c>
      <c r="T42" s="3111">
        <f>ROUND(IF(项目基本情况!$B$8="出让",SUMPRODUCT(PRODUCT(1+M42:M$52)),SUMPRODUCT(PRODUCT(1+M42:M$51))),4)</f>
        <v>1.0286999999999999</v>
      </c>
      <c r="U42" s="3111">
        <f>ROUND(IF(项目基本情况!$B$8="出让",SUMPRODUCT(PRODUCT(1+N42:N$52)),SUMPRODUCT(PRODUCT(1+N42:N$51))),4)</f>
        <v>1.0723</v>
      </c>
      <c r="V42" s="3111"/>
      <c r="W42" s="3111">
        <f t="shared" ref="W42:W44" si="216">T42</f>
        <v>1.0286999999999999</v>
      </c>
      <c r="X42" s="3100"/>
      <c r="Y42" s="3102"/>
      <c r="Z42" s="3120">
        <f t="shared" ref="Z42:AB42" si="217">IF(E42=0,0,ROUND(AVERAGE(E42:E53)/100,4))</f>
        <v>4.1999999999999997E-3</v>
      </c>
      <c r="AA42" s="3121">
        <f t="shared" si="217"/>
        <v>3.0000000000000001E-3</v>
      </c>
      <c r="AB42" s="3102">
        <f t="shared" si="217"/>
        <v>7.3000000000000001E-3</v>
      </c>
      <c r="AC42" s="3122"/>
      <c r="AD42" s="3102">
        <f t="shared" ref="AD42:AD44" si="218">IF(I42=0,0,ROUND(AVERAGE(I42:I53)/100,4))</f>
        <v>3.0000000000000001E-3</v>
      </c>
      <c r="AG42" s="3397">
        <f t="shared" si="185"/>
        <v>104.32</v>
      </c>
      <c r="AH42" s="3397">
        <f t="shared" si="186"/>
        <v>102.86999999999999</v>
      </c>
      <c r="AI42" s="3397">
        <f t="shared" si="187"/>
        <v>107.23</v>
      </c>
      <c r="AJ42" s="3397"/>
      <c r="AK42" s="3397">
        <f t="shared" si="188"/>
        <v>102.86999999999999</v>
      </c>
      <c r="AN42" s="3397">
        <f t="shared" si="167"/>
        <v>102.78382934943292</v>
      </c>
      <c r="AO42" s="3397">
        <f t="shared" si="168"/>
        <v>102.14296221914071</v>
      </c>
      <c r="AP42" s="3397">
        <f t="shared" si="169"/>
        <v>103.75549138573234</v>
      </c>
      <c r="AQ42" s="3397"/>
      <c r="AR42" s="3397">
        <f t="shared" si="170"/>
        <v>102.14296221914071</v>
      </c>
    </row>
    <row r="43" spans="1:44">
      <c r="A43" s="3083" t="s">
        <v>3234</v>
      </c>
      <c r="B43" s="3132">
        <v>2023</v>
      </c>
      <c r="C43" s="3133">
        <v>2</v>
      </c>
      <c r="D43" s="3133"/>
      <c r="E43" s="3133">
        <v>0.5</v>
      </c>
      <c r="F43" s="3133">
        <v>0.45</v>
      </c>
      <c r="G43" s="3133">
        <v>0.89</v>
      </c>
      <c r="H43" s="3139"/>
      <c r="I43" s="3134">
        <f t="shared" si="194"/>
        <v>0.45</v>
      </c>
      <c r="J43" s="3100"/>
      <c r="K43" s="3101"/>
      <c r="L43" s="3102">
        <f t="shared" si="212"/>
        <v>5.0000000000000001E-3</v>
      </c>
      <c r="M43" s="3102">
        <f t="shared" si="213"/>
        <v>4.5000000000000005E-3</v>
      </c>
      <c r="N43" s="3102">
        <f t="shared" si="214"/>
        <v>8.8999999999999999E-3</v>
      </c>
      <c r="O43" s="3102"/>
      <c r="P43" s="3102">
        <f t="shared" si="215"/>
        <v>4.5000000000000005E-3</v>
      </c>
      <c r="Q43" s="3100"/>
      <c r="R43" s="3111"/>
      <c r="S43" s="3111">
        <f>ROUND(IF(项目基本情况!$B$8="出让",SUMPRODUCT(PRODUCT(1+L43:L$52)),SUMPRODUCT(PRODUCT(1+L43:L$51))),4)</f>
        <v>1.0396000000000001</v>
      </c>
      <c r="T43" s="3111">
        <f>ROUND(IF(项目基本情况!$B$8="出让",SUMPRODUCT(PRODUCT(1+M43:M$52)),SUMPRODUCT(PRODUCT(1+M43:M$51))),4)</f>
        <v>1.0269999999999999</v>
      </c>
      <c r="U43" s="3111">
        <f>ROUND(IF(项目基本情况!$B$8="出让",SUMPRODUCT(PRODUCT(1+N43:N$52)),SUMPRODUCT(PRODUCT(1+N43:N$51))),4)</f>
        <v>1.0668</v>
      </c>
      <c r="V43" s="3111"/>
      <c r="W43" s="3111">
        <f t="shared" si="216"/>
        <v>1.0269999999999999</v>
      </c>
      <c r="X43" s="3100"/>
      <c r="Y43" s="3102"/>
      <c r="Z43" s="3120">
        <f t="shared" ref="Z43:AB43" si="219">IF(E43=0,0,ROUND(AVERAGE(E43:E54)/100,4))</f>
        <v>4.1999999999999997E-3</v>
      </c>
      <c r="AA43" s="3121">
        <f t="shared" si="219"/>
        <v>3.2000000000000002E-3</v>
      </c>
      <c r="AB43" s="3102">
        <f t="shared" si="219"/>
        <v>7.4999999999999997E-3</v>
      </c>
      <c r="AC43" s="3122"/>
      <c r="AD43" s="3102">
        <f t="shared" si="218"/>
        <v>3.2000000000000002E-3</v>
      </c>
      <c r="AG43" s="3397">
        <f t="shared" si="185"/>
        <v>103.96000000000001</v>
      </c>
      <c r="AH43" s="3397">
        <f t="shared" si="186"/>
        <v>102.69999999999999</v>
      </c>
      <c r="AI43" s="3397">
        <f t="shared" si="187"/>
        <v>106.67999999999999</v>
      </c>
      <c r="AJ43" s="3397"/>
      <c r="AK43" s="3397">
        <f t="shared" si="188"/>
        <v>102.69999999999999</v>
      </c>
      <c r="AN43" s="3397">
        <f t="shared" si="167"/>
        <v>102.42534065713295</v>
      </c>
      <c r="AO43" s="3397">
        <f t="shared" si="168"/>
        <v>101.96961387555227</v>
      </c>
      <c r="AP43" s="3397">
        <f t="shared" si="169"/>
        <v>103.21875386563104</v>
      </c>
      <c r="AQ43" s="3397"/>
      <c r="AR43" s="3397">
        <f t="shared" si="170"/>
        <v>101.96961387555227</v>
      </c>
    </row>
    <row r="44" spans="1:44">
      <c r="A44" s="3083" t="s">
        <v>3232</v>
      </c>
      <c r="B44" s="3132">
        <v>2023</v>
      </c>
      <c r="C44" s="3133">
        <v>1</v>
      </c>
      <c r="D44" s="3133"/>
      <c r="E44" s="3133">
        <v>0.55000000000000004</v>
      </c>
      <c r="F44" s="3133">
        <v>0.59</v>
      </c>
      <c r="G44" s="3133">
        <v>0.64</v>
      </c>
      <c r="H44" s="3139"/>
      <c r="I44" s="3134">
        <f t="shared" si="194"/>
        <v>0.59</v>
      </c>
      <c r="J44" s="3100"/>
      <c r="K44" s="3101"/>
      <c r="L44" s="3102">
        <f t="shared" si="212"/>
        <v>5.5000000000000005E-3</v>
      </c>
      <c r="M44" s="3102">
        <f t="shared" si="213"/>
        <v>5.8999999999999999E-3</v>
      </c>
      <c r="N44" s="3102">
        <f t="shared" si="214"/>
        <v>6.4000000000000003E-3</v>
      </c>
      <c r="O44" s="3102"/>
      <c r="P44" s="3102">
        <f t="shared" si="215"/>
        <v>5.8999999999999999E-3</v>
      </c>
      <c r="Q44" s="3100"/>
      <c r="R44" s="3111"/>
      <c r="S44" s="3111">
        <f>ROUND(IF(项目基本情况!$B$8="出让",SUMPRODUCT(PRODUCT(1+L44:L$52)),SUMPRODUCT(PRODUCT(1+L44:L$51))),4)</f>
        <v>1.0344</v>
      </c>
      <c r="T44" s="3111">
        <f>ROUND(IF(项目基本情况!$B$8="出让",SUMPRODUCT(PRODUCT(1+M44:M$52)),SUMPRODUCT(PRODUCT(1+M44:M$51))),4)</f>
        <v>1.0224</v>
      </c>
      <c r="U44" s="3111">
        <f>ROUND(IF(项目基本情况!$B$8="出让",SUMPRODUCT(PRODUCT(1+N44:N$52)),SUMPRODUCT(PRODUCT(1+N44:N$51))),4)</f>
        <v>1.0573999999999999</v>
      </c>
      <c r="V44" s="3111"/>
      <c r="W44" s="3111">
        <f t="shared" si="216"/>
        <v>1.0224</v>
      </c>
      <c r="X44" s="3100"/>
      <c r="Y44" s="3102"/>
      <c r="Z44" s="3120">
        <f t="shared" ref="Z44:AB44" si="220">IF(E44=0,0,ROUND(AVERAGE(E44:E55)/100,4))</f>
        <v>4.1999999999999997E-3</v>
      </c>
      <c r="AA44" s="3121">
        <f t="shared" si="220"/>
        <v>3.0000000000000001E-3</v>
      </c>
      <c r="AB44" s="3102">
        <f t="shared" si="220"/>
        <v>7.3000000000000001E-3</v>
      </c>
      <c r="AC44" s="3122"/>
      <c r="AD44" s="3102">
        <f t="shared" si="218"/>
        <v>3.0000000000000001E-3</v>
      </c>
      <c r="AG44" s="3397">
        <f t="shared" si="185"/>
        <v>103.44</v>
      </c>
      <c r="AH44" s="3397">
        <f t="shared" si="186"/>
        <v>102.24</v>
      </c>
      <c r="AI44" s="3397">
        <f t="shared" si="187"/>
        <v>105.74</v>
      </c>
      <c r="AJ44" s="3397"/>
      <c r="AK44" s="3397">
        <f t="shared" si="188"/>
        <v>102.24</v>
      </c>
      <c r="AN44" s="3397">
        <f t="shared" si="167"/>
        <v>101.91576184789349</v>
      </c>
      <c r="AO44" s="3397">
        <f t="shared" si="168"/>
        <v>101.5128062474388</v>
      </c>
      <c r="AP44" s="3397">
        <f t="shared" si="169"/>
        <v>102.30821078960358</v>
      </c>
      <c r="AQ44" s="3397"/>
      <c r="AR44" s="3397">
        <f t="shared" si="170"/>
        <v>101.5128062474388</v>
      </c>
    </row>
    <row r="45" spans="1:44">
      <c r="A45" s="3083" t="s">
        <v>3230</v>
      </c>
      <c r="B45" s="3132">
        <v>2022</v>
      </c>
      <c r="C45" s="3133">
        <v>4</v>
      </c>
      <c r="D45" s="3133"/>
      <c r="E45" s="3133">
        <v>0.45</v>
      </c>
      <c r="F45" s="3133">
        <v>0.2</v>
      </c>
      <c r="G45" s="3133">
        <v>0.38</v>
      </c>
      <c r="H45" s="3139"/>
      <c r="I45" s="3134">
        <f t="shared" si="194"/>
        <v>0.2</v>
      </c>
      <c r="J45" s="3100"/>
      <c r="K45" s="3101"/>
      <c r="L45" s="3102">
        <f t="shared" si="195"/>
        <v>4.5000000000000005E-3</v>
      </c>
      <c r="M45" s="3102">
        <f t="shared" si="195"/>
        <v>2E-3</v>
      </c>
      <c r="N45" s="3102">
        <f t="shared" si="195"/>
        <v>3.8E-3</v>
      </c>
      <c r="O45" s="3102"/>
      <c r="P45" s="3102">
        <f t="shared" ref="P45:P52" si="221">M45</f>
        <v>2E-3</v>
      </c>
      <c r="Q45" s="3100"/>
      <c r="R45" s="3111"/>
      <c r="S45" s="3111">
        <f>ROUND(IF(项目基本情况!$B$8="出让",SUMPRODUCT(PRODUCT(1+L45:L$52)),SUMPRODUCT(PRODUCT(1+L45:L$51))),4)</f>
        <v>1.0286999999999999</v>
      </c>
      <c r="T45" s="3111">
        <f>ROUND(IF(项目基本情况!$B$8="出让",SUMPRODUCT(PRODUCT(1+M45:M$52)),SUMPRODUCT(PRODUCT(1+M45:M$51))),4)</f>
        <v>1.0164</v>
      </c>
      <c r="U45" s="3111">
        <f>ROUND(IF(项目基本情况!$B$8="出让",SUMPRODUCT(PRODUCT(1+N45:N$52)),SUMPRODUCT(PRODUCT(1+N45:N$51))),4)</f>
        <v>1.0506</v>
      </c>
      <c r="V45" s="3111"/>
      <c r="W45" s="3111">
        <f t="shared" ref="W45:W52" si="222">T45</f>
        <v>1.0164</v>
      </c>
      <c r="X45" s="3100"/>
      <c r="Y45" s="3102"/>
      <c r="Z45" s="3120">
        <f t="shared" ref="Z45:AD52" si="223">IF(E45=0,0,ROUND(AVERAGE(E45:E53)/100,4))</f>
        <v>4.0000000000000001E-3</v>
      </c>
      <c r="AA45" s="3121">
        <f t="shared" si="223"/>
        <v>2.5999999999999999E-3</v>
      </c>
      <c r="AB45" s="3102">
        <f t="shared" si="223"/>
        <v>7.4000000000000003E-3</v>
      </c>
      <c r="AC45" s="3122"/>
      <c r="AD45" s="3102">
        <f t="shared" si="223"/>
        <v>2.5999999999999999E-3</v>
      </c>
      <c r="AG45" s="3397">
        <f t="shared" si="185"/>
        <v>102.86999999999999</v>
      </c>
      <c r="AH45" s="3397">
        <f t="shared" si="186"/>
        <v>101.64</v>
      </c>
      <c r="AI45" s="3397">
        <f t="shared" si="187"/>
        <v>105.06</v>
      </c>
      <c r="AJ45" s="3397"/>
      <c r="AK45" s="3397">
        <f t="shared" si="188"/>
        <v>101.64</v>
      </c>
      <c r="AN45" s="3397">
        <f t="shared" si="167"/>
        <v>101.35829124604027</v>
      </c>
      <c r="AO45" s="3397">
        <f t="shared" si="168"/>
        <v>100.91739362505101</v>
      </c>
      <c r="AP45" s="3397">
        <f t="shared" si="169"/>
        <v>101.6576021359336</v>
      </c>
      <c r="AQ45" s="3397"/>
      <c r="AR45" s="3397">
        <f t="shared" si="170"/>
        <v>100.91739362505101</v>
      </c>
    </row>
    <row r="46" spans="1:44">
      <c r="A46" s="3083" t="s">
        <v>3228</v>
      </c>
      <c r="B46" s="3132">
        <v>2022</v>
      </c>
      <c r="C46" s="3133">
        <v>3</v>
      </c>
      <c r="D46" s="3133"/>
      <c r="E46" s="3133">
        <v>0.3</v>
      </c>
      <c r="F46" s="3133">
        <v>0.28999999999999998</v>
      </c>
      <c r="G46" s="3133">
        <v>0.83</v>
      </c>
      <c r="H46" s="3139"/>
      <c r="I46" s="3134">
        <f t="shared" si="194"/>
        <v>0.28999999999999998</v>
      </c>
      <c r="J46" s="3100"/>
      <c r="K46" s="3101"/>
      <c r="L46" s="3102">
        <f t="shared" si="195"/>
        <v>3.0000000000000001E-3</v>
      </c>
      <c r="M46" s="3102">
        <f t="shared" si="195"/>
        <v>2.8999999999999998E-3</v>
      </c>
      <c r="N46" s="3102">
        <f t="shared" si="195"/>
        <v>8.3000000000000001E-3</v>
      </c>
      <c r="O46" s="3102"/>
      <c r="P46" s="3102">
        <f t="shared" si="221"/>
        <v>2.8999999999999998E-3</v>
      </c>
      <c r="Q46" s="3100"/>
      <c r="R46" s="3111"/>
      <c r="S46" s="3111">
        <f>ROUND(IF(项目基本情况!$B$8="出让",SUMPRODUCT(PRODUCT(1+L46:L$52)),SUMPRODUCT(PRODUCT(1+L46:L$51))),4)</f>
        <v>1.0241</v>
      </c>
      <c r="T46" s="3111">
        <f>ROUND(IF(项目基本情况!$B$8="出让",SUMPRODUCT(PRODUCT(1+M46:M$52)),SUMPRODUCT(PRODUCT(1+M46:M$51))),4)</f>
        <v>1.0144</v>
      </c>
      <c r="U46" s="3111">
        <f>ROUND(IF(项目基本情况!$B$8="出让",SUMPRODUCT(PRODUCT(1+N46:N$52)),SUMPRODUCT(PRODUCT(1+N46:N$51))),4)</f>
        <v>1.0467</v>
      </c>
      <c r="V46" s="3111"/>
      <c r="W46" s="3111">
        <f t="shared" si="222"/>
        <v>1.0144</v>
      </c>
      <c r="X46" s="3100"/>
      <c r="Y46" s="3102"/>
      <c r="Z46" s="3120">
        <f t="shared" si="223"/>
        <v>3.8999999999999998E-3</v>
      </c>
      <c r="AA46" s="3121">
        <f t="shared" si="223"/>
        <v>2.7000000000000001E-3</v>
      </c>
      <c r="AB46" s="3102">
        <f t="shared" si="223"/>
        <v>7.9000000000000008E-3</v>
      </c>
      <c r="AC46" s="3122"/>
      <c r="AD46" s="3102">
        <f t="shared" si="223"/>
        <v>2.7000000000000001E-3</v>
      </c>
      <c r="AG46" s="3397">
        <f t="shared" si="185"/>
        <v>102.41</v>
      </c>
      <c r="AH46" s="3397">
        <f t="shared" si="186"/>
        <v>101.44</v>
      </c>
      <c r="AI46" s="3397">
        <f t="shared" si="187"/>
        <v>104.67</v>
      </c>
      <c r="AJ46" s="3397"/>
      <c r="AK46" s="3397">
        <f t="shared" si="188"/>
        <v>101.44</v>
      </c>
      <c r="AN46" s="3397">
        <f t="shared" si="167"/>
        <v>100.90422224593357</v>
      </c>
      <c r="AO46" s="3397">
        <f t="shared" si="168"/>
        <v>100.71596170164771</v>
      </c>
      <c r="AP46" s="3397">
        <f t="shared" si="169"/>
        <v>101.2727656265527</v>
      </c>
      <c r="AQ46" s="3397"/>
      <c r="AR46" s="3397">
        <f t="shared" si="170"/>
        <v>100.71596170164771</v>
      </c>
    </row>
    <row r="47" spans="1:44">
      <c r="A47" s="3083" t="s">
        <v>3227</v>
      </c>
      <c r="B47" s="3132">
        <v>2022</v>
      </c>
      <c r="C47" s="3133">
        <v>2</v>
      </c>
      <c r="D47" s="3133"/>
      <c r="E47" s="3133">
        <v>-0.11</v>
      </c>
      <c r="F47" s="3133">
        <v>-0.13</v>
      </c>
      <c r="G47" s="3133">
        <v>0.53</v>
      </c>
      <c r="H47" s="3139"/>
      <c r="I47" s="3134">
        <f t="shared" si="194"/>
        <v>-0.13</v>
      </c>
      <c r="J47" s="3100"/>
      <c r="K47" s="3101"/>
      <c r="L47" s="3102">
        <f t="shared" si="195"/>
        <v>-1.1000000000000001E-3</v>
      </c>
      <c r="M47" s="3102">
        <f t="shared" si="195"/>
        <v>-1.2999999999999999E-3</v>
      </c>
      <c r="N47" s="3102">
        <f t="shared" si="195"/>
        <v>5.3E-3</v>
      </c>
      <c r="O47" s="3102"/>
      <c r="P47" s="3102">
        <f t="shared" si="221"/>
        <v>-1.2999999999999999E-3</v>
      </c>
      <c r="Q47" s="3100"/>
      <c r="R47" s="3111"/>
      <c r="S47" s="3111">
        <f>ROUND(IF(项目基本情况!$B$8="出让",SUMPRODUCT(PRODUCT(1+L47:L$52)),SUMPRODUCT(PRODUCT(1+L47:L$51))),4)</f>
        <v>1.0210999999999999</v>
      </c>
      <c r="T47" s="3111">
        <f>ROUND(IF(项目基本情况!$B$8="出让",SUMPRODUCT(PRODUCT(1+M47:M$52)),SUMPRODUCT(PRODUCT(1+M47:M$51))),4)</f>
        <v>1.0114000000000001</v>
      </c>
      <c r="U47" s="3111">
        <f>ROUND(IF(项目基本情况!$B$8="出让",SUMPRODUCT(PRODUCT(1+N47:N$52)),SUMPRODUCT(PRODUCT(1+N47:N$51))),4)</f>
        <v>1.0381</v>
      </c>
      <c r="V47" s="3111"/>
      <c r="W47" s="3111">
        <f t="shared" si="222"/>
        <v>1.0114000000000001</v>
      </c>
      <c r="X47" s="3100"/>
      <c r="Y47" s="3102"/>
      <c r="Z47" s="3120">
        <f t="shared" si="223"/>
        <v>4.1000000000000003E-3</v>
      </c>
      <c r="AA47" s="3121">
        <f t="shared" si="223"/>
        <v>2.7000000000000001E-3</v>
      </c>
      <c r="AB47" s="3102">
        <f t="shared" si="223"/>
        <v>7.9000000000000008E-3</v>
      </c>
      <c r="AC47" s="3122"/>
      <c r="AD47" s="3102">
        <f t="shared" si="223"/>
        <v>2.7000000000000001E-3</v>
      </c>
      <c r="AG47" s="3397">
        <f t="shared" si="185"/>
        <v>102.10999999999999</v>
      </c>
      <c r="AH47" s="3397">
        <f t="shared" si="186"/>
        <v>101.14000000000001</v>
      </c>
      <c r="AI47" s="3397">
        <f t="shared" si="187"/>
        <v>103.81</v>
      </c>
      <c r="AJ47" s="3397"/>
      <c r="AK47" s="3397">
        <f t="shared" si="188"/>
        <v>101.14000000000001</v>
      </c>
      <c r="AN47" s="3397">
        <f t="shared" si="167"/>
        <v>100.60241500093079</v>
      </c>
      <c r="AO47" s="3397">
        <f t="shared" si="168"/>
        <v>100.42472998469212</v>
      </c>
      <c r="AP47" s="3397">
        <f t="shared" si="169"/>
        <v>100.43912092289268</v>
      </c>
      <c r="AQ47" s="3397"/>
      <c r="AR47" s="3397">
        <f t="shared" si="170"/>
        <v>100.42472998469212</v>
      </c>
    </row>
    <row r="48" spans="1:44">
      <c r="A48" s="3083" t="s">
        <v>2763</v>
      </c>
      <c r="B48" s="3132">
        <v>2022</v>
      </c>
      <c r="C48" s="3133">
        <v>1</v>
      </c>
      <c r="D48" s="3133"/>
      <c r="E48" s="3133">
        <v>0.6</v>
      </c>
      <c r="F48" s="3133">
        <v>0.45</v>
      </c>
      <c r="G48" s="3133">
        <v>0.53</v>
      </c>
      <c r="H48" s="3139"/>
      <c r="I48" s="3134">
        <f t="shared" si="194"/>
        <v>0.45</v>
      </c>
      <c r="J48" s="3100"/>
      <c r="K48" s="3101"/>
      <c r="L48" s="3102">
        <f t="shared" si="195"/>
        <v>6.0000000000000001E-3</v>
      </c>
      <c r="M48" s="3102">
        <f t="shared" si="195"/>
        <v>4.5000000000000005E-3</v>
      </c>
      <c r="N48" s="3102">
        <f t="shared" si="195"/>
        <v>5.3E-3</v>
      </c>
      <c r="O48" s="3102"/>
      <c r="P48" s="3102">
        <f t="shared" si="221"/>
        <v>4.5000000000000005E-3</v>
      </c>
      <c r="Q48" s="3100"/>
      <c r="R48" s="3111"/>
      <c r="S48" s="3111">
        <f>ROUND(IF(项目基本情况!$B$8="出让",SUMPRODUCT(PRODUCT(1+L48:L$52)),SUMPRODUCT(PRODUCT(1+L48:L$51))),4)</f>
        <v>1.0222</v>
      </c>
      <c r="T48" s="3111">
        <f>ROUND(IF(项目基本情况!$B$8="出让",SUMPRODUCT(PRODUCT(1+M48:M$52)),SUMPRODUCT(PRODUCT(1+M48:M$51))),4)</f>
        <v>1.0127999999999999</v>
      </c>
      <c r="U48" s="3111">
        <f>ROUND(IF(项目基本情况!$B$8="出让",SUMPRODUCT(PRODUCT(1+N48:N$52)),SUMPRODUCT(PRODUCT(1+N48:N$51))),4)</f>
        <v>1.0326</v>
      </c>
      <c r="V48" s="3111"/>
      <c r="W48" s="3111">
        <f t="shared" si="222"/>
        <v>1.0127999999999999</v>
      </c>
      <c r="X48" s="3100"/>
      <c r="Y48" s="3102"/>
      <c r="Z48" s="3120">
        <f t="shared" si="223"/>
        <v>5.1000000000000004E-3</v>
      </c>
      <c r="AA48" s="3121">
        <f t="shared" si="223"/>
        <v>3.5000000000000001E-3</v>
      </c>
      <c r="AB48" s="3102">
        <f t="shared" si="223"/>
        <v>8.3999999999999995E-3</v>
      </c>
      <c r="AC48" s="3122"/>
      <c r="AD48" s="3102">
        <f t="shared" si="223"/>
        <v>3.5000000000000001E-3</v>
      </c>
      <c r="AG48" s="3397">
        <f t="shared" si="185"/>
        <v>102.22</v>
      </c>
      <c r="AH48" s="3397">
        <f t="shared" si="186"/>
        <v>101.27999999999999</v>
      </c>
      <c r="AI48" s="3397">
        <f t="shared" si="187"/>
        <v>103.25999999999999</v>
      </c>
      <c r="AJ48" s="3397"/>
      <c r="AK48" s="3397">
        <f t="shared" si="188"/>
        <v>101.27999999999999</v>
      </c>
      <c r="AN48" s="3397">
        <f t="shared" si="167"/>
        <v>100.71319952040324</v>
      </c>
      <c r="AO48" s="3397">
        <f t="shared" si="168"/>
        <v>100.55545207238622</v>
      </c>
      <c r="AP48" s="3397">
        <f t="shared" si="169"/>
        <v>99.90960004266654</v>
      </c>
      <c r="AQ48" s="3397"/>
      <c r="AR48" s="3397">
        <f t="shared" si="170"/>
        <v>100.55545207238622</v>
      </c>
    </row>
    <row r="49" spans="1:44">
      <c r="A49" s="3083" t="s">
        <v>2764</v>
      </c>
      <c r="B49" s="3132">
        <v>2021</v>
      </c>
      <c r="C49" s="3133">
        <v>4</v>
      </c>
      <c r="D49" s="3133"/>
      <c r="E49" s="3133">
        <v>0.57999999999999996</v>
      </c>
      <c r="F49" s="3133">
        <v>0.08</v>
      </c>
      <c r="G49" s="3133">
        <v>0.68</v>
      </c>
      <c r="H49" s="3139"/>
      <c r="I49" s="3134">
        <f t="shared" si="194"/>
        <v>0.08</v>
      </c>
      <c r="J49" s="3100"/>
      <c r="K49" s="3101"/>
      <c r="L49" s="3102">
        <f t="shared" si="195"/>
        <v>5.7999999999999996E-3</v>
      </c>
      <c r="M49" s="3102">
        <f t="shared" si="195"/>
        <v>8.0000000000000004E-4</v>
      </c>
      <c r="N49" s="3102">
        <f t="shared" si="195"/>
        <v>6.8000000000000005E-3</v>
      </c>
      <c r="O49" s="3102"/>
      <c r="P49" s="3102">
        <f t="shared" si="221"/>
        <v>8.0000000000000004E-4</v>
      </c>
      <c r="Q49" s="3100"/>
      <c r="R49" s="3111"/>
      <c r="S49" s="3111">
        <f>ROUND(IF(项目基本情况!$B$8="出让",SUMPRODUCT(PRODUCT(1+L49:L$52)),SUMPRODUCT(PRODUCT(1+L49:L$51))),4)</f>
        <v>1.0161</v>
      </c>
      <c r="T49" s="3111">
        <f>ROUND(IF(项目基本情况!$B$8="出让",SUMPRODUCT(PRODUCT(1+M49:M$52)),SUMPRODUCT(PRODUCT(1+M49:M$51))),4)</f>
        <v>1.0082</v>
      </c>
      <c r="U49" s="3111">
        <f>ROUND(IF(项目基本情况!$B$8="出让",SUMPRODUCT(PRODUCT(1+N49:N$52)),SUMPRODUCT(PRODUCT(1+N49:N$51))),4)</f>
        <v>1.0270999999999999</v>
      </c>
      <c r="V49" s="3111"/>
      <c r="W49" s="3111">
        <f t="shared" si="222"/>
        <v>1.0082</v>
      </c>
      <c r="X49" s="3100"/>
      <c r="Y49" s="3102"/>
      <c r="Z49" s="3120">
        <f t="shared" si="223"/>
        <v>4.8999999999999998E-3</v>
      </c>
      <c r="AA49" s="3121">
        <f t="shared" si="223"/>
        <v>3.3E-3</v>
      </c>
      <c r="AB49" s="3102">
        <f t="shared" si="223"/>
        <v>9.1999999999999998E-3</v>
      </c>
      <c r="AC49" s="3122"/>
      <c r="AD49" s="3102">
        <f t="shared" si="223"/>
        <v>3.3E-3</v>
      </c>
      <c r="AG49" s="3397">
        <f t="shared" si="185"/>
        <v>101.61</v>
      </c>
      <c r="AH49" s="3397">
        <f t="shared" si="186"/>
        <v>100.82</v>
      </c>
      <c r="AI49" s="3397">
        <f t="shared" si="187"/>
        <v>102.71</v>
      </c>
      <c r="AJ49" s="3397"/>
      <c r="AK49" s="3397">
        <f t="shared" si="188"/>
        <v>100.82</v>
      </c>
      <c r="AN49" s="3397">
        <f t="shared" si="167"/>
        <v>100.11252437415828</v>
      </c>
      <c r="AO49" s="3397">
        <f t="shared" si="168"/>
        <v>100.10497966389867</v>
      </c>
      <c r="AP49" s="3397">
        <f t="shared" si="169"/>
        <v>99.382870827281934</v>
      </c>
      <c r="AQ49" s="3397"/>
      <c r="AR49" s="3397">
        <f t="shared" si="170"/>
        <v>100.10497966389867</v>
      </c>
    </row>
    <row r="50" spans="1:44">
      <c r="A50" s="3083" t="s">
        <v>2765</v>
      </c>
      <c r="B50" s="3132">
        <v>2021</v>
      </c>
      <c r="C50" s="3133">
        <v>3</v>
      </c>
      <c r="D50" s="3133"/>
      <c r="E50" s="3133">
        <v>0.47</v>
      </c>
      <c r="F50" s="3133">
        <v>0.28000000000000003</v>
      </c>
      <c r="G50" s="3133">
        <v>0.91</v>
      </c>
      <c r="H50" s="3139"/>
      <c r="I50" s="3134">
        <f t="shared" si="194"/>
        <v>0.28000000000000003</v>
      </c>
      <c r="J50" s="3100"/>
      <c r="K50" s="3101"/>
      <c r="L50" s="3102">
        <f t="shared" si="195"/>
        <v>4.6999999999999993E-3</v>
      </c>
      <c r="M50" s="3102">
        <f t="shared" si="195"/>
        <v>2.8000000000000004E-3</v>
      </c>
      <c r="N50" s="3102">
        <f t="shared" si="195"/>
        <v>9.1000000000000004E-3</v>
      </c>
      <c r="O50" s="3102"/>
      <c r="P50" s="3102">
        <f t="shared" si="221"/>
        <v>2.8000000000000004E-3</v>
      </c>
      <c r="Q50" s="3100"/>
      <c r="R50" s="3111"/>
      <c r="S50" s="3111">
        <f>ROUND(IF(项目基本情况!$B$8="出让",SUMPRODUCT(PRODUCT(1+L50:L$52)),SUMPRODUCT(PRODUCT(1+L50:L$51))),4)</f>
        <v>1.0102</v>
      </c>
      <c r="T50" s="3111">
        <f>ROUND(IF(项目基本情况!$B$8="出让",SUMPRODUCT(PRODUCT(1+M50:M$52)),SUMPRODUCT(PRODUCT(1+M50:M$51))),4)</f>
        <v>1.0074000000000001</v>
      </c>
      <c r="U50" s="3111">
        <f>ROUND(IF(项目基本情况!$B$8="出让",SUMPRODUCT(PRODUCT(1+N50:N$52)),SUMPRODUCT(PRODUCT(1+N50:N$51))),4)</f>
        <v>1.0202</v>
      </c>
      <c r="V50" s="3111"/>
      <c r="W50" s="3111">
        <f t="shared" si="222"/>
        <v>1.0074000000000001</v>
      </c>
      <c r="X50" s="3100"/>
      <c r="Y50" s="3102"/>
      <c r="Z50" s="3120">
        <f t="shared" si="223"/>
        <v>4.5999999999999999E-3</v>
      </c>
      <c r="AA50" s="3121">
        <f t="shared" si="223"/>
        <v>4.1000000000000003E-3</v>
      </c>
      <c r="AB50" s="3102">
        <f t="shared" si="223"/>
        <v>0.01</v>
      </c>
      <c r="AC50" s="3122"/>
      <c r="AD50" s="3102">
        <f t="shared" si="223"/>
        <v>4.1000000000000003E-3</v>
      </c>
      <c r="AG50" s="3397">
        <f t="shared" si="185"/>
        <v>101.02</v>
      </c>
      <c r="AH50" s="3397">
        <f t="shared" si="186"/>
        <v>100.74000000000001</v>
      </c>
      <c r="AI50" s="3397">
        <f t="shared" si="187"/>
        <v>102.02</v>
      </c>
      <c r="AJ50" s="3397"/>
      <c r="AK50" s="3397">
        <f t="shared" si="188"/>
        <v>100.74000000000001</v>
      </c>
      <c r="AN50" s="3397">
        <f t="shared" si="167"/>
        <v>99.535220097592244</v>
      </c>
      <c r="AO50" s="3397">
        <f t="shared" si="168"/>
        <v>100.02495969614176</v>
      </c>
      <c r="AP50" s="3397">
        <f t="shared" si="169"/>
        <v>98.711631731507694</v>
      </c>
      <c r="AQ50" s="3397"/>
      <c r="AR50" s="3397">
        <f t="shared" si="170"/>
        <v>100.02495969614176</v>
      </c>
    </row>
    <row r="51" spans="1:44">
      <c r="A51" s="3083" t="s">
        <v>2769</v>
      </c>
      <c r="B51" s="3132">
        <v>2021</v>
      </c>
      <c r="C51" s="3133">
        <v>2</v>
      </c>
      <c r="D51" s="3133"/>
      <c r="E51" s="3133">
        <v>0.55000000000000004</v>
      </c>
      <c r="F51" s="3133">
        <v>0.46</v>
      </c>
      <c r="G51" s="3133">
        <v>1.1000000000000001</v>
      </c>
      <c r="H51" s="3139"/>
      <c r="I51" s="3134">
        <f t="shared" si="194"/>
        <v>0.46</v>
      </c>
      <c r="J51" s="3100"/>
      <c r="K51" s="3101"/>
      <c r="L51" s="3102">
        <f t="shared" si="195"/>
        <v>5.5000000000000005E-3</v>
      </c>
      <c r="M51" s="3102">
        <f t="shared" si="195"/>
        <v>4.5999999999999999E-3</v>
      </c>
      <c r="N51" s="3102">
        <f t="shared" si="195"/>
        <v>1.1000000000000001E-2</v>
      </c>
      <c r="O51" s="3102"/>
      <c r="P51" s="3102">
        <f t="shared" si="221"/>
        <v>4.5999999999999999E-3</v>
      </c>
      <c r="Q51" s="3100"/>
      <c r="R51" s="3111"/>
      <c r="S51" s="3111">
        <f>ROUND(IF(项目基本情况!$B$8="出让",SUMPRODUCT(PRODUCT(1+L51:L$52)),SUMPRODUCT(PRODUCT(1+L51:L$51))),4)</f>
        <v>1.0055000000000001</v>
      </c>
      <c r="T51" s="3111">
        <f>ROUND(IF(项目基本情况!$B$8="出让",SUMPRODUCT(PRODUCT(1+M51:M$52)),SUMPRODUCT(PRODUCT(1+M51:M$51))),4)</f>
        <v>1.0045999999999999</v>
      </c>
      <c r="U51" s="3111">
        <f>ROUND(IF(项目基本情况!$B$8="出让",SUMPRODUCT(PRODUCT(1+N51:N$52)),SUMPRODUCT(PRODUCT(1+N51:N$51))),4)</f>
        <v>1.0109999999999999</v>
      </c>
      <c r="V51" s="3111"/>
      <c r="W51" s="3111">
        <f t="shared" si="222"/>
        <v>1.0045999999999999</v>
      </c>
      <c r="X51" s="3100"/>
      <c r="Y51" s="3102"/>
      <c r="Z51" s="3120">
        <f t="shared" si="223"/>
        <v>4.4999999999999997E-3</v>
      </c>
      <c r="AA51" s="3121">
        <f t="shared" si="223"/>
        <v>4.7000000000000002E-3</v>
      </c>
      <c r="AB51" s="3102">
        <f t="shared" si="223"/>
        <v>1.04E-2</v>
      </c>
      <c r="AC51" s="3122"/>
      <c r="AD51" s="3102">
        <f t="shared" si="223"/>
        <v>4.7000000000000002E-3</v>
      </c>
      <c r="AG51" s="3397">
        <f t="shared" si="185"/>
        <v>100.55000000000001</v>
      </c>
      <c r="AH51" s="3397">
        <f t="shared" si="186"/>
        <v>100.46</v>
      </c>
      <c r="AI51" s="3397">
        <f t="shared" si="187"/>
        <v>101.1</v>
      </c>
      <c r="AJ51" s="3397"/>
      <c r="AK51" s="3397">
        <f t="shared" si="188"/>
        <v>100.46</v>
      </c>
      <c r="AN51" s="3397">
        <f t="shared" si="167"/>
        <v>99.069593010443171</v>
      </c>
      <c r="AO51" s="3397">
        <f t="shared" si="168"/>
        <v>99.745671815059609</v>
      </c>
      <c r="AP51" s="3397">
        <f t="shared" si="169"/>
        <v>97.821456477561867</v>
      </c>
      <c r="AQ51" s="3397"/>
      <c r="AR51" s="3397">
        <f t="shared" si="170"/>
        <v>99.745671815059609</v>
      </c>
    </row>
    <row r="52" spans="1:44" ht="14.25" thickBot="1">
      <c r="A52" s="3085" t="s">
        <v>2770</v>
      </c>
      <c r="B52" s="3140">
        <v>2021</v>
      </c>
      <c r="C52" s="3141">
        <v>1</v>
      </c>
      <c r="D52" s="3141"/>
      <c r="E52" s="3141">
        <v>0.35</v>
      </c>
      <c r="F52" s="3141">
        <v>0.48</v>
      </c>
      <c r="G52" s="3141">
        <v>0.98</v>
      </c>
      <c r="H52" s="3142"/>
      <c r="I52" s="3143">
        <f t="shared" si="194"/>
        <v>0.48</v>
      </c>
      <c r="J52" s="3106"/>
      <c r="K52" s="3107"/>
      <c r="L52" s="3108">
        <f t="shared" si="195"/>
        <v>3.4999999999999996E-3</v>
      </c>
      <c r="M52" s="3108">
        <f>F52/100</f>
        <v>4.7999999999999996E-3</v>
      </c>
      <c r="N52" s="3108">
        <f t="shared" si="195"/>
        <v>9.7999999999999997E-3</v>
      </c>
      <c r="O52" s="3108"/>
      <c r="P52" s="3108">
        <f t="shared" si="221"/>
        <v>4.7999999999999996E-3</v>
      </c>
      <c r="Q52" s="3106"/>
      <c r="R52" s="3115"/>
      <c r="S52" s="3115">
        <v>1</v>
      </c>
      <c r="T52" s="3115">
        <v>1</v>
      </c>
      <c r="U52" s="3115">
        <v>1</v>
      </c>
      <c r="V52" s="3115"/>
      <c r="W52" s="3115">
        <f t="shared" si="222"/>
        <v>1</v>
      </c>
      <c r="X52" s="3106"/>
      <c r="Y52" s="3108"/>
      <c r="Z52" s="3126">
        <f t="shared" si="223"/>
        <v>3.5000000000000001E-3</v>
      </c>
      <c r="AA52" s="3127">
        <f t="shared" si="223"/>
        <v>4.7999999999999996E-3</v>
      </c>
      <c r="AB52" s="3108">
        <f t="shared" si="223"/>
        <v>9.7999999999999997E-3</v>
      </c>
      <c r="AC52" s="3128"/>
      <c r="AD52" s="3108">
        <f t="shared" si="223"/>
        <v>4.7999999999999996E-3</v>
      </c>
      <c r="AG52" s="3398">
        <v>100</v>
      </c>
      <c r="AH52" s="3398">
        <v>100</v>
      </c>
      <c r="AI52" s="3398">
        <v>100</v>
      </c>
      <c r="AJ52" s="3398"/>
      <c r="AK52" s="3398">
        <v>100</v>
      </c>
      <c r="AN52" s="3397">
        <f t="shared" si="167"/>
        <v>98.527690711529758</v>
      </c>
      <c r="AO52" s="3397">
        <f t="shared" si="168"/>
        <v>99.288942678737428</v>
      </c>
      <c r="AP52" s="3397">
        <f t="shared" si="169"/>
        <v>96.757128068805017</v>
      </c>
      <c r="AQ52" s="3397"/>
      <c r="AR52" s="3397">
        <f t="shared" si="170"/>
        <v>99.288942678737428</v>
      </c>
    </row>
    <row r="53" spans="1:44" ht="14.25" thickTop="1"/>
    <row r="54" spans="1:44">
      <c r="A54" s="3384" t="s">
        <v>3249</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2193</v>
      </c>
      <c r="B1" s="2742"/>
      <c r="C1" s="2742"/>
      <c r="D1" s="2742"/>
      <c r="E1" s="2742"/>
      <c r="F1" s="2742"/>
      <c r="G1" s="2743"/>
      <c r="H1" s="2743"/>
      <c r="I1" s="2743"/>
      <c r="J1" s="2743"/>
      <c r="K1" s="2743"/>
      <c r="L1" s="2743"/>
      <c r="M1" s="2743"/>
      <c r="N1" s="2743"/>
    </row>
    <row r="2" spans="1:14" ht="14.25">
      <c r="A2" s="2748" t="s">
        <v>2188</v>
      </c>
      <c r="B2" s="2753">
        <f ca="1">SUMIF(B7:B14,"&lt;&gt;#ref!",B7:B14)</f>
        <v>0</v>
      </c>
      <c r="C2" s="2748" t="s">
        <v>2189</v>
      </c>
      <c r="D2" s="2745"/>
      <c r="E2" s="2745"/>
      <c r="F2" s="2745"/>
      <c r="G2" s="2743"/>
      <c r="H2" s="2743"/>
      <c r="I2" s="2743"/>
      <c r="J2" s="2743"/>
      <c r="K2" s="2743"/>
      <c r="L2" s="2743"/>
      <c r="M2" s="2743"/>
      <c r="N2" s="2743"/>
    </row>
    <row r="3" spans="1:14" ht="14.25">
      <c r="A3" s="2748" t="s">
        <v>2217</v>
      </c>
      <c r="B3" s="2753" t="e">
        <f ca="1">ROUND(B2*10000/E3,0)</f>
        <v>#DIV/0!</v>
      </c>
      <c r="C3" s="2748" t="s">
        <v>1593</v>
      </c>
      <c r="D3" s="2748" t="s">
        <v>2190</v>
      </c>
      <c r="E3" s="2746">
        <f ca="1">SUMIF(E7:E14,"&lt;&gt;#ref!",E7:E14)</f>
        <v>0</v>
      </c>
      <c r="F3" s="2745"/>
      <c r="G3" s="2743"/>
      <c r="H3" s="2743"/>
      <c r="I3" s="2743"/>
      <c r="J3" s="2743"/>
      <c r="K3" s="2743"/>
      <c r="L3" s="2743"/>
      <c r="M3" s="2743"/>
      <c r="N3" s="2743"/>
    </row>
    <row r="4" spans="1:14" ht="14.25">
      <c r="A4" s="2748" t="s">
        <v>2196</v>
      </c>
      <c r="B4" s="2753" t="e">
        <f ca="1">ROUND(B2*10000/E4,0)</f>
        <v>#DIV/0!</v>
      </c>
      <c r="C4" s="2748" t="s">
        <v>1593</v>
      </c>
      <c r="D4" s="2748" t="s">
        <v>2197</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2194</v>
      </c>
      <c r="B6" s="2748" t="s">
        <v>2191</v>
      </c>
      <c r="C6" s="2352"/>
      <c r="D6" s="2745"/>
      <c r="E6" s="2748" t="s">
        <v>2192</v>
      </c>
      <c r="F6" s="2748" t="s">
        <v>2195</v>
      </c>
      <c r="G6" s="2743"/>
      <c r="H6" s="2743"/>
      <c r="I6" s="2743"/>
      <c r="J6" s="2743"/>
      <c r="K6" s="2743"/>
      <c r="L6" s="2743"/>
      <c r="M6" s="2743"/>
      <c r="N6" s="2743"/>
    </row>
    <row r="7" spans="1:14" ht="14.25">
      <c r="A7" s="2751"/>
      <c r="B7" s="2753" t="e">
        <f ca="1">SUMIF(INDIRECT("'"&amp;A7&amp;"'"&amp;"!A:A"),"总价",INDIRECT("'"&amp;A7&amp;"'"&amp;"!B:B"))</f>
        <v>#REF!</v>
      </c>
      <c r="C7" s="2748" t="s">
        <v>2189</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2189</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2189</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2189</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2189</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2189</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2189</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2189</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8.375" style="1669" customWidth="1"/>
    <col min="16" max="16" width="30.25" style="1669" customWidth="1"/>
    <col min="17" max="17" width="13.75" style="1669" customWidth="1"/>
    <col min="18" max="18" width="22.25" style="1669" customWidth="1"/>
    <col min="19" max="19" width="1.5" style="1669" customWidth="1"/>
    <col min="20" max="25" width="9" style="1669"/>
    <col min="26" max="16384" width="9" style="1670"/>
  </cols>
  <sheetData>
    <row r="1" spans="1:25" s="1664" customFormat="1" ht="21">
      <c r="A1" s="707" t="s">
        <v>576</v>
      </c>
      <c r="B1" s="675"/>
      <c r="C1" s="708"/>
      <c r="D1" s="1660"/>
      <c r="E1" s="1944" t="s">
        <v>1723</v>
      </c>
      <c r="F1" s="1945">
        <f ca="1">J54</f>
        <v>-3</v>
      </c>
      <c r="G1" s="709">
        <f>MATCH(C1,'数据-取费表'!A6:A16,0)+5</f>
        <v>10</v>
      </c>
      <c r="H1" s="1142"/>
      <c r="I1" s="1661"/>
      <c r="J1" s="1661"/>
      <c r="K1" s="1662"/>
      <c r="L1" s="1661"/>
      <c r="M1" s="1661"/>
      <c r="N1" s="1663"/>
      <c r="O1" s="1663"/>
      <c r="P1" s="1663"/>
      <c r="Q1" s="1663"/>
      <c r="R1" s="1663"/>
      <c r="S1" s="1663"/>
      <c r="T1" s="1663"/>
      <c r="U1" s="1663"/>
      <c r="V1" s="1663"/>
      <c r="W1" s="1663"/>
      <c r="X1" s="1663"/>
      <c r="Y1" s="1663"/>
    </row>
    <row r="2" spans="1:25" ht="18" customHeight="1">
      <c r="A2" s="1362" t="s">
        <v>577</v>
      </c>
      <c r="B2" s="710">
        <f ca="1">IF(ISERROR(C45+J31),0,C45+J31)</f>
        <v>0</v>
      </c>
      <c r="C2" s="1143"/>
      <c r="D2" s="1665"/>
      <c r="E2" s="1666"/>
      <c r="F2" s="1666"/>
      <c r="G2" s="1321"/>
      <c r="H2" s="1155"/>
      <c r="I2" s="1667"/>
      <c r="J2" s="1667"/>
      <c r="K2" s="1668"/>
      <c r="L2" s="1667"/>
      <c r="M2" s="1667"/>
    </row>
    <row r="3" spans="1:25" ht="18" customHeight="1">
      <c r="A3" s="1363" t="s">
        <v>1219</v>
      </c>
      <c r="B3" s="1175">
        <f ca="1">ROUND(B2*10000/'数据-汇总表'!E3,0)</f>
        <v>0</v>
      </c>
      <c r="C3" s="1143"/>
      <c r="D3" s="1665"/>
      <c r="E3" s="1666"/>
      <c r="F3" s="1666"/>
      <c r="G3" s="1321"/>
      <c r="H3" s="711" t="s">
        <v>642</v>
      </c>
      <c r="I3" s="1667"/>
      <c r="J3" s="1667"/>
      <c r="K3" s="1668"/>
      <c r="L3" s="1667"/>
      <c r="M3" s="1667"/>
    </row>
    <row r="4" spans="1:25" ht="18" customHeight="1">
      <c r="A4" s="1364" t="s">
        <v>643</v>
      </c>
      <c r="B4" s="1144">
        <f ca="1">ROUND(B2*10000/'数据-汇总表'!D3,0)</f>
        <v>0</v>
      </c>
      <c r="C4" s="398"/>
      <c r="D4" s="1665"/>
      <c r="E4" s="1666"/>
      <c r="F4" s="1666"/>
      <c r="G4" s="1321"/>
      <c r="H4" s="711"/>
      <c r="I4" s="1667"/>
      <c r="J4" s="1667"/>
      <c r="K4" s="1668"/>
      <c r="L4" s="1667"/>
      <c r="M4" s="1667"/>
    </row>
    <row r="5" spans="1:25" ht="18" customHeight="1" thickBot="1">
      <c r="A5" s="1365"/>
      <c r="B5" s="400">
        <f ca="1">ROUND(B2/('数据-汇总表'!D3/666.67),0)</f>
        <v>0</v>
      </c>
      <c r="C5" s="401" t="s">
        <v>644</v>
      </c>
      <c r="D5" s="1665"/>
      <c r="E5" s="1666"/>
      <c r="F5" s="1666"/>
      <c r="G5" s="1321"/>
      <c r="H5" s="711"/>
      <c r="I5" s="1667"/>
      <c r="J5" s="1667"/>
      <c r="K5" s="1668"/>
      <c r="L5" s="1667"/>
      <c r="M5" s="1667"/>
    </row>
    <row r="6" spans="1:25" ht="18" customHeight="1">
      <c r="A6" s="1516" t="s">
        <v>645</v>
      </c>
      <c r="B6" s="1510" t="s">
        <v>646</v>
      </c>
      <c r="C6" s="1510" t="s">
        <v>580</v>
      </c>
      <c r="D6" s="1510" t="s">
        <v>581</v>
      </c>
      <c r="E6" s="714" t="s">
        <v>582</v>
      </c>
      <c r="F6" s="715"/>
      <c r="G6" s="1143"/>
      <c r="H6" s="1516" t="s">
        <v>578</v>
      </c>
      <c r="I6" s="1510" t="s">
        <v>579</v>
      </c>
      <c r="J6" s="1510" t="s">
        <v>580</v>
      </c>
      <c r="K6" s="1510" t="s">
        <v>581</v>
      </c>
      <c r="L6" s="714" t="s">
        <v>582</v>
      </c>
      <c r="M6" s="715"/>
    </row>
    <row r="7" spans="1:25" ht="18" customHeight="1">
      <c r="A7" s="716">
        <v>1</v>
      </c>
      <c r="B7" s="717" t="s">
        <v>1797</v>
      </c>
      <c r="C7" s="49">
        <f ca="1">C8+C12+C14</f>
        <v>0</v>
      </c>
      <c r="D7" s="1998" t="s">
        <v>1800</v>
      </c>
      <c r="E7" s="1992"/>
      <c r="F7" s="1993"/>
      <c r="G7" s="1143"/>
      <c r="H7" s="716">
        <v>1</v>
      </c>
      <c r="I7" s="717" t="s">
        <v>1797</v>
      </c>
      <c r="J7" s="49">
        <f ca="1">J8+J12+J14</f>
        <v>0</v>
      </c>
      <c r="K7" s="1998" t="s">
        <v>1800</v>
      </c>
      <c r="L7" s="1992"/>
      <c r="M7" s="1993"/>
    </row>
    <row r="8" spans="1:25" ht="18" customHeight="1">
      <c r="A8" s="1518" t="s">
        <v>1353</v>
      </c>
      <c r="B8" s="3773" t="s">
        <v>1802</v>
      </c>
      <c r="C8" s="1513">
        <f ca="1">ROUND(F8*F10*F9*(1-F11)/10000,0)</f>
        <v>0</v>
      </c>
      <c r="D8" s="317" t="s">
        <v>1812</v>
      </c>
      <c r="E8" s="57" t="s">
        <v>585</v>
      </c>
      <c r="F8" s="720">
        <f ca="1">INDIRECT("'数据-取费表'!u"&amp;$G$1)</f>
        <v>0</v>
      </c>
      <c r="G8" s="1143"/>
      <c r="H8" s="2006" t="s">
        <v>1353</v>
      </c>
      <c r="I8" s="3773" t="s">
        <v>1802</v>
      </c>
      <c r="J8" s="718">
        <f ca="1">ROUND(M8*M10*M9*(1-M11)/10000,0)</f>
        <v>0</v>
      </c>
      <c r="K8" s="315" t="s">
        <v>1812</v>
      </c>
      <c r="L8" s="719" t="s">
        <v>1267</v>
      </c>
      <c r="M8" s="720">
        <f ca="1">INDIRECT("'数据-取费表'!z"&amp;$G$1)</f>
        <v>0</v>
      </c>
    </row>
    <row r="9" spans="1:25" ht="18" customHeight="1">
      <c r="A9" s="2002"/>
      <c r="B9" s="3774"/>
      <c r="C9" s="1514"/>
      <c r="D9" s="330"/>
      <c r="E9" s="57" t="s">
        <v>586</v>
      </c>
      <c r="F9" s="720">
        <f ca="1">IF(INDIRECT("'数据-取费表'!ah"&amp;$G$1)="",INDIRECT("'数据-取费表'!k"&amp;$G$1),INDIRECT("'数据-取费表'!ah"&amp;$G$1))</f>
        <v>0</v>
      </c>
      <c r="G9" s="1143"/>
      <c r="H9" s="1991"/>
      <c r="I9" s="3774"/>
      <c r="J9" s="723"/>
      <c r="K9" s="724"/>
      <c r="L9" s="719" t="s">
        <v>1268</v>
      </c>
      <c r="M9" s="720">
        <f ca="1">F9</f>
        <v>0</v>
      </c>
    </row>
    <row r="10" spans="1:25" ht="18" customHeight="1">
      <c r="A10" s="1995"/>
      <c r="B10" s="3775"/>
      <c r="C10" s="1514"/>
      <c r="D10" s="330"/>
      <c r="E10" s="57" t="s">
        <v>587</v>
      </c>
      <c r="F10" s="720">
        <f ca="1">INDIRECT("'数据-取费表'!ai"&amp;$G$1)</f>
        <v>0</v>
      </c>
      <c r="G10" s="1143"/>
      <c r="H10" s="1991"/>
      <c r="I10" s="3775"/>
      <c r="J10" s="723"/>
      <c r="K10" s="724"/>
      <c r="L10" s="719" t="s">
        <v>1269</v>
      </c>
      <c r="M10" s="720">
        <f ca="1">INDIRECT("'数据-取费表'!ai"&amp;$G$1)</f>
        <v>0</v>
      </c>
    </row>
    <row r="11" spans="1:25" ht="18" customHeight="1">
      <c r="A11" s="721"/>
      <c r="B11" s="3776"/>
      <c r="C11" s="1514"/>
      <c r="D11" s="330"/>
      <c r="E11" s="57" t="s">
        <v>588</v>
      </c>
      <c r="F11" s="729">
        <f ca="1">INDIRECT("'数据-取费表'!w"&amp;$G$1)</f>
        <v>0</v>
      </c>
      <c r="G11" s="1143"/>
      <c r="H11" s="2007"/>
      <c r="I11" s="3775"/>
      <c r="J11" s="723"/>
      <c r="K11" s="724"/>
      <c r="L11" s="730" t="s">
        <v>1270</v>
      </c>
      <c r="M11" s="731">
        <f ca="1">INDIRECT("'数据-取费表'!ab"&amp;$G$1)</f>
        <v>0</v>
      </c>
    </row>
    <row r="12" spans="1:25" ht="18" customHeight="1">
      <c r="A12" s="1518" t="s">
        <v>1354</v>
      </c>
      <c r="B12" s="1996" t="s">
        <v>1798</v>
      </c>
      <c r="C12" s="734">
        <f ca="1">ROUND(IF(F12="押一",C8/12*F13,IF(F12="押二",C8/12*2*F13,IF(F12="押三",C8/12*3*F13,C13*F13))),0)</f>
        <v>0</v>
      </c>
      <c r="D12" s="2003" t="s">
        <v>2214</v>
      </c>
      <c r="E12" s="2000" t="s">
        <v>1803</v>
      </c>
      <c r="F12" s="2073"/>
      <c r="G12" s="1143"/>
      <c r="H12" s="2034" t="s">
        <v>1354</v>
      </c>
      <c r="I12" s="2038" t="s">
        <v>1798</v>
      </c>
      <c r="J12" s="718">
        <f ca="1">ROUND(IF(M12="押一",J8/12*M13,IF(M12="押二",J8/12*2*M13,IF(M12="押三",J8/12*3*M13,J13*M13))),0)</f>
        <v>0</v>
      </c>
      <c r="K12" s="2003" t="s">
        <v>2214</v>
      </c>
      <c r="L12" s="2000" t="s">
        <v>1803</v>
      </c>
      <c r="M12" s="2073"/>
    </row>
    <row r="13" spans="1:25" ht="18" customHeight="1">
      <c r="A13" s="725"/>
      <c r="B13" s="1997" t="s">
        <v>1851</v>
      </c>
      <c r="C13" s="2001"/>
      <c r="D13" s="724"/>
      <c r="E13" s="2000" t="s">
        <v>1796</v>
      </c>
      <c r="F13" s="731">
        <f ca="1">'数据-取费表'!B39</f>
        <v>1.4999999999999999E-2</v>
      </c>
      <c r="G13" s="1143"/>
      <c r="H13" s="2035"/>
      <c r="I13" s="1997" t="s">
        <v>1851</v>
      </c>
      <c r="J13" s="2001"/>
      <c r="K13" s="287"/>
      <c r="L13" s="2000" t="s">
        <v>1796</v>
      </c>
      <c r="M13" s="1994">
        <f ca="1">'数据-取费表'!B39</f>
        <v>1.4999999999999999E-2</v>
      </c>
    </row>
    <row r="14" spans="1:25" ht="18" customHeight="1" thickBot="1">
      <c r="A14" s="2010" t="s">
        <v>1806</v>
      </c>
      <c r="B14" s="2011" t="s">
        <v>1799</v>
      </c>
      <c r="C14" s="2012"/>
      <c r="D14" s="2013"/>
      <c r="E14" s="2014"/>
      <c r="F14" s="2015"/>
      <c r="G14" s="1143"/>
      <c r="H14" s="2024" t="s">
        <v>1806</v>
      </c>
      <c r="I14" s="2036" t="s">
        <v>1799</v>
      </c>
      <c r="J14" s="2037"/>
      <c r="K14" s="2013"/>
      <c r="L14" s="2014"/>
      <c r="M14" s="2027"/>
    </row>
    <row r="15" spans="1:25" ht="18" customHeight="1" thickTop="1">
      <c r="A15" s="1517" t="s">
        <v>1399</v>
      </c>
      <c r="B15" s="1515" t="s">
        <v>589</v>
      </c>
      <c r="C15" s="727">
        <f ca="1">ROUND(C31*F15,0)</f>
        <v>0</v>
      </c>
      <c r="D15" s="1522" t="s">
        <v>590</v>
      </c>
      <c r="E15" s="730" t="s">
        <v>591</v>
      </c>
      <c r="F15" s="735">
        <f ca="1">INDIRECT("'数据-取费表'!y"&amp;$G$1)</f>
        <v>0</v>
      </c>
      <c r="G15" s="1143"/>
      <c r="H15" s="1517" t="s">
        <v>1355</v>
      </c>
      <c r="I15" s="1515" t="s">
        <v>592</v>
      </c>
      <c r="J15" s="1509">
        <f ca="1">ROUND(J16*J17,0)</f>
        <v>0</v>
      </c>
      <c r="K15" s="1511" t="s">
        <v>590</v>
      </c>
      <c r="L15" s="736"/>
      <c r="M15" s="737"/>
    </row>
    <row r="16" spans="1:25" ht="18" customHeight="1">
      <c r="A16" s="738" t="s">
        <v>1400</v>
      </c>
      <c r="B16" s="719" t="s">
        <v>593</v>
      </c>
      <c r="C16" s="739">
        <f ca="1">INDIRECT("'数据-取费表'!m"&amp;$G$1)+INDIRECT("'数据-取费表'!t"&amp;$G$1)</f>
        <v>0</v>
      </c>
      <c r="D16" s="904" t="s">
        <v>594</v>
      </c>
      <c r="E16" s="903"/>
      <c r="F16" s="740"/>
      <c r="G16" s="1143"/>
      <c r="H16" s="738" t="s">
        <v>1584</v>
      </c>
      <c r="I16" s="1822" t="s">
        <v>2097</v>
      </c>
      <c r="J16" s="49">
        <f ca="1">C31</f>
        <v>0</v>
      </c>
      <c r="K16" s="22"/>
      <c r="L16" s="736"/>
      <c r="M16" s="737"/>
    </row>
    <row r="17" spans="1:25" s="1673" customFormat="1" ht="18" customHeight="1">
      <c r="A17" s="738" t="s">
        <v>1378</v>
      </c>
      <c r="B17" s="719" t="s">
        <v>595</v>
      </c>
      <c r="C17" s="49">
        <f ca="1">ROUND(C16*F17,0)</f>
        <v>0</v>
      </c>
      <c r="D17" s="741" t="s">
        <v>596</v>
      </c>
      <c r="E17" s="741" t="s">
        <v>597</v>
      </c>
      <c r="F17" s="742">
        <f>'数据-取费表'!B33</f>
        <v>7.0000000000000007E-2</v>
      </c>
      <c r="G17" s="1323"/>
      <c r="H17" s="738" t="s">
        <v>1585</v>
      </c>
      <c r="I17" s="719" t="s">
        <v>591</v>
      </c>
      <c r="J17" s="743">
        <f ca="1">INDIRECT("'数据-取费表'!ad"&amp;$G$1)</f>
        <v>0</v>
      </c>
      <c r="K17" s="22"/>
      <c r="L17" s="736"/>
      <c r="M17" s="737"/>
      <c r="N17" s="1672"/>
      <c r="O17" s="1672"/>
      <c r="P17" s="1672"/>
      <c r="Q17" s="1672"/>
      <c r="R17" s="1672"/>
      <c r="S17" s="1672"/>
      <c r="T17" s="1672"/>
      <c r="U17" s="1672"/>
      <c r="V17" s="1672"/>
      <c r="W17" s="1672"/>
      <c r="X17" s="1672"/>
      <c r="Y17" s="1672"/>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3"/>
      <c r="H18" s="732" t="s">
        <v>1356</v>
      </c>
      <c r="I18" s="733" t="s">
        <v>599</v>
      </c>
      <c r="J18" s="734">
        <f ca="1">ROUND(J19+J24+J25+J26,0)</f>
        <v>0</v>
      </c>
      <c r="K18" s="22" t="s">
        <v>600</v>
      </c>
      <c r="L18" s="913"/>
      <c r="M18" s="52"/>
    </row>
    <row r="19" spans="1:25" s="1673"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1584</v>
      </c>
      <c r="I19" s="719"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5" t="s">
        <v>609</v>
      </c>
      <c r="L20" s="719" t="s">
        <v>597</v>
      </c>
      <c r="M20" s="744">
        <f>'数据-取费表'!B41</f>
        <v>5.6000000000000001E-2</v>
      </c>
      <c r="N20" s="1672"/>
      <c r="O20" s="1672"/>
      <c r="P20" s="1672"/>
      <c r="Q20" s="1672"/>
      <c r="R20" s="1672"/>
      <c r="S20" s="1672"/>
      <c r="T20" s="1672"/>
      <c r="U20" s="1672"/>
      <c r="V20" s="1672"/>
      <c r="W20" s="1672"/>
      <c r="X20" s="1672"/>
      <c r="Y20" s="1672"/>
    </row>
    <row r="21" spans="1:25" ht="18" customHeight="1">
      <c r="A21" s="738" t="s">
        <v>1401</v>
      </c>
      <c r="B21" s="719" t="s">
        <v>610</v>
      </c>
      <c r="C21" s="49">
        <f ca="1">SUM(C16:C20)</f>
        <v>0</v>
      </c>
      <c r="D21" s="241" t="s">
        <v>611</v>
      </c>
      <c r="E21" s="913"/>
      <c r="F21" s="52"/>
      <c r="G21" s="1143"/>
      <c r="H21" s="1518" t="s">
        <v>1378</v>
      </c>
      <c r="I21" s="719" t="s">
        <v>612</v>
      </c>
      <c r="J21" s="49">
        <f ca="1">IF(K21="按租金收入计税",ROUND(J8*M21/(1+'数据-取费表'!C42),1),ROUND(C31*F35*0.7,1))</f>
        <v>0</v>
      </c>
      <c r="K21" s="745" t="s">
        <v>3225</v>
      </c>
      <c r="L21" s="719" t="s">
        <v>597</v>
      </c>
      <c r="M21" s="744">
        <f>IF(K21="按租金收入计税",'数据-取费表'!B51,'数据-取费表'!B50)</f>
        <v>0.12</v>
      </c>
    </row>
    <row r="22" spans="1:25" s="1673" customFormat="1" ht="18" customHeight="1">
      <c r="A22" s="738" t="s">
        <v>1402</v>
      </c>
      <c r="B22" s="719" t="s">
        <v>613</v>
      </c>
      <c r="C22" s="49">
        <f ca="1">ROUND(C21*F22,0)</f>
        <v>0</v>
      </c>
      <c r="D22" s="746" t="s">
        <v>614</v>
      </c>
      <c r="E22" s="719" t="s">
        <v>597</v>
      </c>
      <c r="F22" s="744">
        <f>'数据-取费表'!B37</f>
        <v>0.02</v>
      </c>
      <c r="G22" s="1323"/>
      <c r="H22" s="1520" t="s">
        <v>1379</v>
      </c>
      <c r="I22" s="317" t="s">
        <v>615</v>
      </c>
      <c r="J22" s="50">
        <f ca="1">ROUND(M22*M23/10000,0)</f>
        <v>0</v>
      </c>
      <c r="K22" s="748" t="s">
        <v>616</v>
      </c>
      <c r="L22" s="719" t="s">
        <v>617</v>
      </c>
      <c r="M22" s="587">
        <f>'数据-取费表'!B52</f>
        <v>3</v>
      </c>
      <c r="N22" s="1672"/>
      <c r="O22" s="1672"/>
      <c r="P22" s="1672"/>
      <c r="Q22" s="1672"/>
      <c r="R22" s="1672"/>
      <c r="S22" s="1672"/>
      <c r="T22" s="1672"/>
      <c r="U22" s="1672"/>
      <c r="V22" s="1672"/>
      <c r="W22" s="1672"/>
      <c r="X22" s="1672"/>
      <c r="Y22" s="1672"/>
    </row>
    <row r="23" spans="1:25" s="1673" customFormat="1" ht="18" customHeight="1">
      <c r="A23" s="738" t="s">
        <v>1403</v>
      </c>
      <c r="B23" s="719" t="s">
        <v>618</v>
      </c>
      <c r="C23" s="49" t="s">
        <v>0</v>
      </c>
      <c r="D23" s="746" t="s">
        <v>619</v>
      </c>
      <c r="E23" s="719" t="s">
        <v>620</v>
      </c>
      <c r="F23" s="744">
        <f>'数据-取费表'!B38</f>
        <v>0.03</v>
      </c>
      <c r="G23" s="1323"/>
      <c r="H23" s="1521"/>
      <c r="I23" s="1512"/>
      <c r="J23" s="65"/>
      <c r="K23" s="750"/>
      <c r="L23" s="719" t="s">
        <v>621</v>
      </c>
      <c r="M23" s="720">
        <f ca="1">INDIRECT("'数据-取费表'!r"&amp;$G$1)</f>
        <v>0</v>
      </c>
      <c r="N23" s="1672"/>
      <c r="O23" s="1672"/>
      <c r="P23" s="1672"/>
      <c r="Q23" s="1672"/>
      <c r="R23" s="1672"/>
      <c r="S23" s="1672"/>
      <c r="T23" s="1672"/>
      <c r="U23" s="1672"/>
      <c r="V23" s="1672"/>
      <c r="W23" s="1672"/>
      <c r="X23" s="1672"/>
      <c r="Y23" s="1672"/>
    </row>
    <row r="24" spans="1:25" ht="18" customHeight="1">
      <c r="A24" s="738" t="s">
        <v>1404</v>
      </c>
      <c r="B24" s="719" t="s">
        <v>622</v>
      </c>
      <c r="C24" s="49"/>
      <c r="D24" s="2042" t="str">
        <f>IF(F25&lt;=1,"单利计息。","复利计息。")&amp;"建造成本、管理费用、销售费用产生的利息。"</f>
        <v>复利计息。建造成本、管理费用、销售费用产生的利息。</v>
      </c>
      <c r="E24" s="913"/>
      <c r="F24" s="52"/>
      <c r="G24" s="1143"/>
      <c r="H24" s="1519" t="s">
        <v>1585</v>
      </c>
      <c r="I24" s="719" t="s">
        <v>623</v>
      </c>
      <c r="J24" s="49">
        <f ca="1">ROUND(J16*M24,0)</f>
        <v>0</v>
      </c>
      <c r="K24" s="905" t="s">
        <v>624</v>
      </c>
      <c r="L24" s="719" t="s">
        <v>597</v>
      </c>
      <c r="M24" s="751">
        <f ca="1">INDIRECT("'数据-取费表'!Ak"&amp;$G$1)</f>
        <v>0</v>
      </c>
    </row>
    <row r="25" spans="1:25" s="1673" customFormat="1" ht="18" customHeight="1">
      <c r="A25" s="738" t="s">
        <v>1400</v>
      </c>
      <c r="B25" s="719" t="s">
        <v>1779</v>
      </c>
      <c r="C25" s="49">
        <f ca="1">ROUND(IF('数据-取费表'!B22&lt;=1,(C21+C22)*F26*F25/2,(C21+C22)*(POWER((1+F26),F25/2)-1)),0)</f>
        <v>0</v>
      </c>
      <c r="D25" s="2041" t="str">
        <f>IF(F25&lt;=1,"(建造成本+管理费用)×利率×(建设周期÷2)","(建造成本+管理费用)×((1+利率)^(建设周期÷2)-1)")</f>
        <v>(建造成本+管理费用)×((1+利率)^(建设周期÷2)-1)</v>
      </c>
      <c r="E25" s="719" t="s">
        <v>625</v>
      </c>
      <c r="F25" s="587">
        <f>'数据-取费表'!B20</f>
        <v>3</v>
      </c>
      <c r="G25" s="1323"/>
      <c r="H25" s="738" t="s">
        <v>1403</v>
      </c>
      <c r="I25" s="719" t="s">
        <v>626</v>
      </c>
      <c r="J25" s="49">
        <f ca="1">ROUND(J15*M25,0)</f>
        <v>0</v>
      </c>
      <c r="K25" s="905" t="s">
        <v>627</v>
      </c>
      <c r="L25" s="719" t="s">
        <v>597</v>
      </c>
      <c r="M25" s="752">
        <f ca="1">INDIRECT("'数据-取费表'!Al"&amp;$G$1)</f>
        <v>0</v>
      </c>
      <c r="N25" s="1672"/>
      <c r="O25" s="1672"/>
      <c r="P25" s="1672"/>
      <c r="Q25" s="1672"/>
      <c r="R25" s="1672"/>
      <c r="S25" s="1672"/>
      <c r="T25" s="1672"/>
      <c r="U25" s="1672"/>
      <c r="V25" s="1672"/>
      <c r="W25" s="1672"/>
      <c r="X25" s="1672"/>
      <c r="Y25" s="1672"/>
    </row>
    <row r="26" spans="1:25" s="1673" customFormat="1" ht="18" customHeight="1">
      <c r="A26" s="738" t="s">
        <v>1378</v>
      </c>
      <c r="B26" s="719" t="s">
        <v>628</v>
      </c>
      <c r="C26" s="49">
        <f ca="1">ROUND(IF('数据-取费表'!B22&lt;=1,F23*F26*F25/2,F23*(POWER((1+F26),F25/2)-1)),4)</f>
        <v>1.4E-3</v>
      </c>
      <c r="D26" s="2041" t="str">
        <f>IF(F25&lt;=1,"销售费用×利率×(建设周期÷2)","销售费用×((1+利率)^(建设周期÷2)-1)")</f>
        <v>销售费用×((1+利率)^(建设周期÷2)-1)</v>
      </c>
      <c r="E26" s="719" t="s">
        <v>629</v>
      </c>
      <c r="F26" s="753">
        <f ca="1">'数据-取费表'!B40</f>
        <v>3.1E-2</v>
      </c>
      <c r="G26" s="1323"/>
      <c r="H26" s="738" t="s">
        <v>1404</v>
      </c>
      <c r="I26" s="719" t="s">
        <v>613</v>
      </c>
      <c r="J26" s="49">
        <f ca="1">ROUND(J7*M26,0)</f>
        <v>0</v>
      </c>
      <c r="K26" s="905" t="s">
        <v>630</v>
      </c>
      <c r="L26" s="719" t="s">
        <v>597</v>
      </c>
      <c r="M26" s="729">
        <f ca="1">INDIRECT("'数据-取费表'!Am"&amp;$G$1)</f>
        <v>0</v>
      </c>
      <c r="N26" s="1672"/>
      <c r="O26" s="1672"/>
      <c r="P26" s="1672"/>
      <c r="Q26" s="1672"/>
      <c r="R26" s="1672"/>
      <c r="S26" s="1672"/>
      <c r="T26" s="1672"/>
      <c r="U26" s="1672"/>
      <c r="V26" s="1672"/>
      <c r="W26" s="1672"/>
      <c r="X26" s="1672"/>
      <c r="Y26" s="1672"/>
    </row>
    <row r="27" spans="1:25" ht="18" customHeight="1">
      <c r="A27" s="738" t="s">
        <v>1406</v>
      </c>
      <c r="B27" s="719" t="s">
        <v>631</v>
      </c>
      <c r="C27" s="49"/>
      <c r="D27" s="241" t="s">
        <v>632</v>
      </c>
      <c r="E27" s="913"/>
      <c r="F27" s="52"/>
      <c r="G27" s="1143"/>
      <c r="H27" s="732" t="s">
        <v>1357</v>
      </c>
      <c r="I27" s="2295" t="s">
        <v>2094</v>
      </c>
      <c r="J27" s="734">
        <f ca="1">J7-J18</f>
        <v>0</v>
      </c>
      <c r="K27" s="904" t="s">
        <v>647</v>
      </c>
      <c r="L27" s="902"/>
      <c r="M27" s="754"/>
    </row>
    <row r="28" spans="1:25" ht="18" customHeight="1">
      <c r="A28" s="738" t="s">
        <v>1400</v>
      </c>
      <c r="B28" s="719" t="s">
        <v>1780</v>
      </c>
      <c r="C28" s="49">
        <f ca="1">ROUND((C21+C22)*F28,0)</f>
        <v>0</v>
      </c>
      <c r="D28" s="746" t="s">
        <v>648</v>
      </c>
      <c r="E28" s="730" t="s">
        <v>649</v>
      </c>
      <c r="F28" s="729">
        <f ca="1">INDIRECT("'数据-取费表'!q"&amp;$G$1)</f>
        <v>0</v>
      </c>
      <c r="G28" s="1143"/>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3"/>
      <c r="H29" s="721"/>
      <c r="I29" s="722"/>
      <c r="J29" s="723"/>
      <c r="K29" s="755" t="s">
        <v>654</v>
      </c>
      <c r="L29" s="719" t="s">
        <v>655</v>
      </c>
      <c r="M29" s="756">
        <f ca="1">INDIRECT("'数据-取费表'!ag"&amp;$G$1)</f>
        <v>0</v>
      </c>
    </row>
    <row r="30" spans="1:25" s="1673"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2095</v>
      </c>
      <c r="C31" s="2017">
        <f ca="1">ROUND((C21+C22+C25+C28)/(1-F23-C26-C29-C30),0)</f>
        <v>0</v>
      </c>
      <c r="D31" s="2018"/>
      <c r="E31" s="2019"/>
      <c r="F31" s="2020"/>
      <c r="G31" s="1323"/>
      <c r="H31" s="757" t="s">
        <v>1397</v>
      </c>
      <c r="I31" s="2296" t="s">
        <v>2096</v>
      </c>
      <c r="J31" s="759">
        <f ca="1">ROUND(J28/(1+F45)^F46,0)</f>
        <v>0</v>
      </c>
      <c r="K31" s="760" t="s">
        <v>635</v>
      </c>
      <c r="L31" s="761"/>
      <c r="M31" s="762">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7">
        <f ca="1">ROUND(C33+C38+C39+C40,0)</f>
        <v>0</v>
      </c>
      <c r="D32" s="1511" t="s">
        <v>600</v>
      </c>
      <c r="E32" s="907"/>
      <c r="F32" s="1993"/>
      <c r="G32" s="1665"/>
      <c r="H32" s="1674"/>
      <c r="I32" s="1675"/>
      <c r="J32" s="1676"/>
      <c r="K32" s="1633"/>
      <c r="L32" s="1677"/>
      <c r="M32" s="1678"/>
    </row>
    <row r="33" spans="1:18" ht="18" customHeight="1">
      <c r="A33" s="738" t="s">
        <v>1401</v>
      </c>
      <c r="B33" s="719"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5"/>
      <c r="H33" s="2754" t="s">
        <v>2261</v>
      </c>
      <c r="I33" s="1675"/>
      <c r="J33" s="1676"/>
      <c r="K33" s="1633"/>
      <c r="L33" s="1677"/>
      <c r="M33" s="1678"/>
    </row>
    <row r="34" spans="1:18" ht="18" customHeight="1">
      <c r="A34" s="738" t="s">
        <v>1400</v>
      </c>
      <c r="B34" s="719" t="s">
        <v>608</v>
      </c>
      <c r="C34" s="49">
        <f ca="1">ROUND(C8*F34/(1+'数据-取费表'!C42),2)</f>
        <v>0</v>
      </c>
      <c r="D34" s="905" t="s">
        <v>609</v>
      </c>
      <c r="E34" s="719" t="s">
        <v>597</v>
      </c>
      <c r="F34" s="744">
        <f>'数据-取费表'!B41</f>
        <v>5.6000000000000001E-2</v>
      </c>
      <c r="G34" s="1665"/>
      <c r="H34" s="1679"/>
      <c r="I34" s="1680"/>
      <c r="J34" s="1681"/>
      <c r="K34" s="1682"/>
      <c r="L34" s="1683"/>
      <c r="M34" s="1684"/>
    </row>
    <row r="35" spans="1:18" ht="18" customHeight="1">
      <c r="A35" s="738" t="s">
        <v>1378</v>
      </c>
      <c r="B35" s="719" t="s">
        <v>612</v>
      </c>
      <c r="C35" s="49">
        <f ca="1">IF(D35="按租金收入计税",ROUND(C8*F35/(1+'数据-取费表'!C42),2),IF(D35="按房产原值计税",ROUND(C31*F35*0.7,2),INDIRECT("'数据-取费表'!Aj"&amp;$G$1)))</f>
        <v>0</v>
      </c>
      <c r="D35" s="745" t="s">
        <v>3225</v>
      </c>
      <c r="E35" s="719" t="s">
        <v>597</v>
      </c>
      <c r="F35" s="744">
        <f>IF(D35="按租金收入计税",'数据-取费表'!B51,'数据-取费表'!B50)</f>
        <v>0.12</v>
      </c>
      <c r="G35" s="1665"/>
      <c r="H35" s="1685"/>
      <c r="I35" s="1685"/>
      <c r="J35" s="1685"/>
      <c r="K35" s="1686"/>
      <c r="L35" s="1685"/>
      <c r="M35" s="1685"/>
    </row>
    <row r="36" spans="1:18" ht="18" customHeight="1">
      <c r="A36" s="747" t="s">
        <v>1405</v>
      </c>
      <c r="B36" s="315" t="s">
        <v>615</v>
      </c>
      <c r="C36" s="50">
        <f ca="1">ROUND(F36*F37/10000,2)</f>
        <v>0</v>
      </c>
      <c r="D36" s="748" t="s">
        <v>616</v>
      </c>
      <c r="E36" s="719" t="s">
        <v>617</v>
      </c>
      <c r="F36" s="587">
        <f>'数据-取费表'!B52</f>
        <v>3</v>
      </c>
      <c r="G36" s="1665"/>
      <c r="H36" s="1674"/>
      <c r="I36" s="3772"/>
      <c r="J36" s="1687"/>
      <c r="K36" s="1688"/>
      <c r="L36" s="1687"/>
      <c r="M36" s="1687"/>
    </row>
    <row r="37" spans="1:18" ht="18" customHeight="1">
      <c r="A37" s="749"/>
      <c r="B37" s="728"/>
      <c r="C37" s="65"/>
      <c r="D37" s="750"/>
      <c r="E37" s="719" t="s">
        <v>621</v>
      </c>
      <c r="F37" s="720">
        <f ca="1">INDIRECT("'数据-取费表'!r"&amp;$G$1)</f>
        <v>0</v>
      </c>
      <c r="G37" s="1665"/>
      <c r="H37" s="1674"/>
      <c r="I37" s="3772"/>
      <c r="J37" s="1685"/>
      <c r="K37" s="1686"/>
      <c r="L37" s="1685"/>
      <c r="M37" s="1685"/>
    </row>
    <row r="38" spans="1:18" ht="18" customHeight="1">
      <c r="A38" s="738" t="s">
        <v>1402</v>
      </c>
      <c r="B38" s="719" t="s">
        <v>623</v>
      </c>
      <c r="C38" s="49">
        <f ca="1">ROUND(C31*F38,2)</f>
        <v>0</v>
      </c>
      <c r="D38" s="905" t="s">
        <v>638</v>
      </c>
      <c r="E38" s="719" t="s">
        <v>597</v>
      </c>
      <c r="F38" s="751">
        <f ca="1">INDIRECT("'数据-取费表'!Ak"&amp;$G$1)</f>
        <v>0</v>
      </c>
      <c r="G38" s="1665"/>
      <c r="H38" s="1685"/>
      <c r="I38" s="2554"/>
      <c r="J38" s="1633"/>
      <c r="K38" s="1689"/>
      <c r="L38" s="1685"/>
      <c r="M38" s="1685"/>
    </row>
    <row r="39" spans="1:18" ht="18" customHeight="1">
      <c r="A39" s="738" t="s">
        <v>1403</v>
      </c>
      <c r="B39" s="719" t="s">
        <v>626</v>
      </c>
      <c r="C39" s="49">
        <f ca="1">ROUND(C15*F39,2)</f>
        <v>0</v>
      </c>
      <c r="D39" s="905" t="s">
        <v>627</v>
      </c>
      <c r="E39" s="719" t="s">
        <v>597</v>
      </c>
      <c r="F39" s="752">
        <f ca="1">INDIRECT("'数据-取费表'!Al"&amp;$G$1)</f>
        <v>0</v>
      </c>
      <c r="G39" s="1665"/>
      <c r="H39" s="1685"/>
      <c r="I39" s="2554"/>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4"/>
      <c r="J40" s="1633"/>
      <c r="K40" s="1690"/>
      <c r="L40" s="1685"/>
      <c r="M40" s="1685"/>
    </row>
    <row r="41" spans="1:18" ht="18" customHeight="1" thickTop="1">
      <c r="A41" s="1517">
        <v>4</v>
      </c>
      <c r="B41" s="1515" t="s">
        <v>639</v>
      </c>
      <c r="C41" s="1145"/>
      <c r="D41" s="1146"/>
      <c r="E41" s="1146"/>
      <c r="F41" s="1147"/>
      <c r="G41" s="1665"/>
      <c r="H41" s="1665"/>
      <c r="I41" s="1665"/>
      <c r="J41" s="1665"/>
      <c r="K41" s="1690"/>
      <c r="L41" s="1665"/>
      <c r="M41" s="1665"/>
    </row>
    <row r="42" spans="1:18" ht="18" customHeight="1">
      <c r="A42" s="738" t="s">
        <v>1401</v>
      </c>
      <c r="B42" s="769" t="s">
        <v>640</v>
      </c>
      <c r="C42" s="763">
        <f ca="1">C7-C32</f>
        <v>0</v>
      </c>
      <c r="D42" s="904" t="s">
        <v>641</v>
      </c>
      <c r="E42" s="902"/>
      <c r="F42" s="754"/>
      <c r="G42" s="1665"/>
      <c r="H42" s="1665"/>
      <c r="I42" s="1665"/>
      <c r="J42" s="1665"/>
      <c r="K42" s="1690"/>
      <c r="L42" s="1665"/>
      <c r="M42" s="1665"/>
    </row>
    <row r="43" spans="1:18" ht="18" customHeight="1">
      <c r="A43" s="738" t="s">
        <v>1402</v>
      </c>
      <c r="B43" s="769" t="s">
        <v>658</v>
      </c>
      <c r="C43" s="770">
        <f ca="1">ROUND(C15*F43,0)</f>
        <v>0</v>
      </c>
      <c r="D43" s="1148" t="s">
        <v>659</v>
      </c>
      <c r="E43" s="2357" t="s">
        <v>2204</v>
      </c>
      <c r="F43" s="2358">
        <f ca="1">INDIRECT("'数据-取费表'!j"&amp;$G$1)</f>
        <v>0</v>
      </c>
      <c r="G43" s="1665"/>
      <c r="H43" s="1665"/>
      <c r="I43" s="1665"/>
      <c r="J43" s="1665"/>
      <c r="K43" s="1690"/>
      <c r="L43" s="1665"/>
      <c r="M43" s="1665"/>
    </row>
    <row r="44" spans="1:18" ht="18" customHeight="1">
      <c r="A44" s="738" t="s">
        <v>1403</v>
      </c>
      <c r="B44" s="769" t="s">
        <v>660</v>
      </c>
      <c r="C44" s="1149">
        <f ca="1">C42-C43</f>
        <v>0</v>
      </c>
      <c r="D44" s="432" t="s">
        <v>661</v>
      </c>
      <c r="E44" s="433"/>
      <c r="F44" s="434"/>
      <c r="G44" s="1665"/>
      <c r="H44" s="1665"/>
      <c r="I44" s="1665"/>
      <c r="J44" s="1665"/>
      <c r="K44" s="1690"/>
      <c r="L44" s="1665"/>
      <c r="M44" s="1665"/>
    </row>
    <row r="45" spans="1:18" ht="18" customHeight="1">
      <c r="A45" s="738" t="s">
        <v>1404</v>
      </c>
      <c r="B45" s="1148" t="s">
        <v>662</v>
      </c>
      <c r="C45" s="718">
        <f ca="1">ROUND(-PV(F45,F46,C44,0),0)</f>
        <v>0</v>
      </c>
      <c r="D45" s="1150" t="s">
        <v>663</v>
      </c>
      <c r="E45" s="741" t="s">
        <v>664</v>
      </c>
      <c r="F45" s="764">
        <f ca="1">INDIRECT("'数据-取费表'!h"&amp;$G$1)</f>
        <v>0</v>
      </c>
      <c r="G45" s="1665"/>
      <c r="H45" s="1665"/>
      <c r="I45" s="1665"/>
      <c r="J45" s="1665"/>
      <c r="K45" s="1690"/>
      <c r="L45" s="1665"/>
      <c r="M45" s="1665"/>
    </row>
    <row r="46" spans="1:18" ht="18" customHeight="1" thickBot="1">
      <c r="A46" s="765"/>
      <c r="B46" s="1151"/>
      <c r="C46" s="1152"/>
      <c r="D46" s="1153"/>
      <c r="E46" s="2359" t="s">
        <v>2207</v>
      </c>
      <c r="F46" s="762">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1692</v>
      </c>
      <c r="J47" s="1937"/>
      <c r="K47" s="1938"/>
      <c r="L47" s="2372" t="e">
        <f ca="1">IF(M48="住宅",0,IF(L49&gt;J52,L61,J61))</f>
        <v>#DIV/0!</v>
      </c>
      <c r="O47" s="1950" t="s">
        <v>1759</v>
      </c>
      <c r="P47" s="1143"/>
      <c r="Q47" s="1328"/>
      <c r="R47" s="1143"/>
    </row>
    <row r="48" spans="1:18" s="1669" customFormat="1" ht="18" customHeight="1" thickBot="1">
      <c r="A48" s="1691"/>
      <c r="C48" s="1694"/>
      <c r="D48" s="1692"/>
      <c r="E48" s="1692"/>
      <c r="F48" s="1695"/>
      <c r="G48" s="1696"/>
      <c r="I48" s="2364" t="s">
        <v>1693</v>
      </c>
      <c r="J48" s="1939"/>
      <c r="K48" s="2369" t="s">
        <v>1698</v>
      </c>
      <c r="L48" s="2373">
        <f ca="1">INDIRECT("'数据-取费表'!d"&amp;$G$1)</f>
        <v>0</v>
      </c>
      <c r="M48" s="2356" t="str">
        <f>IF(ISNUMBER(FIND("住宅",C1)),"住宅","非住宅")</f>
        <v>非住宅</v>
      </c>
      <c r="O48" s="1951" t="s">
        <v>1724</v>
      </c>
      <c r="P48" s="1952" t="s">
        <v>1725</v>
      </c>
      <c r="Q48" s="1953" t="s">
        <v>1726</v>
      </c>
      <c r="R48" s="1952" t="s">
        <v>1727</v>
      </c>
    </row>
    <row r="49" spans="1:18" s="1669" customFormat="1" ht="18" customHeight="1" thickBot="1">
      <c r="A49" s="1691"/>
      <c r="D49" s="1697"/>
      <c r="E49" s="1698"/>
      <c r="F49" s="1695"/>
      <c r="G49" s="1696"/>
      <c r="H49" s="1699"/>
      <c r="I49" s="2361" t="s">
        <v>1694</v>
      </c>
      <c r="J49" s="1940"/>
      <c r="K49" s="2370" t="s">
        <v>1700</v>
      </c>
      <c r="L49" s="1564">
        <f ca="1">INDIRECT("'数据-取费表'!f"&amp;$G$1)</f>
        <v>0</v>
      </c>
      <c r="O49" s="1954" t="s">
        <v>1728</v>
      </c>
      <c r="P49" s="1955" t="s">
        <v>1754</v>
      </c>
      <c r="Q49" s="1956">
        <f ca="1">C41+J31</f>
        <v>0</v>
      </c>
      <c r="R49" s="1955" t="s">
        <v>1729</v>
      </c>
    </row>
    <row r="50" spans="1:18" s="1669" customFormat="1" ht="18" customHeight="1" thickBot="1">
      <c r="A50" s="1691"/>
      <c r="D50" s="1700"/>
      <c r="E50" s="1700"/>
      <c r="F50" s="1692"/>
      <c r="H50" s="1699"/>
      <c r="I50" s="2361" t="s">
        <v>1695</v>
      </c>
      <c r="J50" s="1941"/>
      <c r="K50" s="2371" t="s">
        <v>1701</v>
      </c>
      <c r="L50" s="1563"/>
      <c r="O50" s="1954" t="s">
        <v>1730</v>
      </c>
      <c r="P50" s="1955" t="s">
        <v>1755</v>
      </c>
      <c r="Q50" s="1956" t="e">
        <f ca="1">J61</f>
        <v>#DIV/0!</v>
      </c>
      <c r="R50" s="1955" t="s">
        <v>1731</v>
      </c>
    </row>
    <row r="51" spans="1:18" s="1669" customFormat="1" ht="18" customHeight="1" thickBot="1">
      <c r="A51" s="1701"/>
      <c r="D51" s="1700"/>
      <c r="E51" s="1700"/>
      <c r="F51" s="1692"/>
      <c r="H51" s="1699"/>
      <c r="I51" s="2361" t="s">
        <v>1696</v>
      </c>
      <c r="J51" s="2368">
        <f>SUMPRODUCT((I64:I66=J48)*(J63:L63=J49)*(J64:L66))</f>
        <v>0</v>
      </c>
      <c r="K51" s="2371" t="s">
        <v>1702</v>
      </c>
      <c r="L51" s="1563"/>
      <c r="O51" s="1957" t="s">
        <v>1732</v>
      </c>
      <c r="P51" s="1955" t="s">
        <v>1756</v>
      </c>
      <c r="Q51" s="1956">
        <f ca="1">C31</f>
        <v>0</v>
      </c>
      <c r="R51" s="1955" t="s">
        <v>1729</v>
      </c>
    </row>
    <row r="52" spans="1:18" s="1669" customFormat="1" ht="18" customHeight="1" thickBot="1">
      <c r="A52" s="1701"/>
      <c r="F52" s="1692"/>
      <c r="I52" s="2365" t="s">
        <v>1697</v>
      </c>
      <c r="J52" s="1564">
        <f>IF(J50="",J51,J50+J51-YEAR('数据-取费表'!B3))</f>
        <v>0</v>
      </c>
      <c r="K52" s="2361" t="s">
        <v>1703</v>
      </c>
      <c r="L52" s="2374">
        <f ca="1">C45</f>
        <v>0</v>
      </c>
      <c r="O52" s="1957" t="s">
        <v>1733</v>
      </c>
      <c r="P52" s="1955" t="s">
        <v>1734</v>
      </c>
      <c r="Q52" s="1958" t="e">
        <f ca="1">J59</f>
        <v>#DIV/0!</v>
      </c>
      <c r="R52" s="1959"/>
    </row>
    <row r="53" spans="1:18" s="1669" customFormat="1" ht="18" customHeight="1" thickBot="1">
      <c r="A53" s="1701"/>
      <c r="F53" s="1692"/>
      <c r="I53" s="2366" t="s">
        <v>1770</v>
      </c>
      <c r="J53" s="1942"/>
      <c r="K53" s="2366" t="s">
        <v>1769</v>
      </c>
      <c r="L53" s="1942"/>
      <c r="O53" s="1957" t="s">
        <v>1735</v>
      </c>
      <c r="P53" s="1955" t="s">
        <v>1736</v>
      </c>
      <c r="Q53" s="1958">
        <f>J53</f>
        <v>0</v>
      </c>
      <c r="R53" s="1959"/>
    </row>
    <row r="54" spans="1:18" s="1669" customFormat="1" ht="29.25" thickBot="1">
      <c r="A54" s="1701"/>
      <c r="I54" s="2367" t="s">
        <v>2218</v>
      </c>
      <c r="J54" s="2413">
        <f ca="1">IF(M48="住宅",MAX(J52,L49-'数据-取费表'!B20),MIN(J52,L49-'数据-取费表'!B20))</f>
        <v>-3</v>
      </c>
      <c r="K54" s="3777"/>
      <c r="L54" s="3778"/>
      <c r="O54" s="1957" t="s">
        <v>1737</v>
      </c>
      <c r="P54" s="1955" t="s">
        <v>1738</v>
      </c>
      <c r="Q54" s="1956">
        <f ca="1">J54</f>
        <v>-3</v>
      </c>
      <c r="R54" s="1955" t="s">
        <v>1739</v>
      </c>
    </row>
    <row r="55" spans="1:18" s="1669" customFormat="1" ht="18" customHeight="1" thickBot="1">
      <c r="A55" s="1701"/>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4" t="s">
        <v>1740</v>
      </c>
      <c r="P55" s="1955" t="s">
        <v>1757</v>
      </c>
      <c r="Q55" s="1956" t="e">
        <f ca="1">Q49+Q50</f>
        <v>#DIV/0!</v>
      </c>
      <c r="R55" s="1959" t="s">
        <v>1741</v>
      </c>
    </row>
    <row r="56" spans="1:18" s="1669" customFormat="1" ht="16.5" thickBot="1">
      <c r="A56" s="1701"/>
      <c r="B56" s="1702"/>
      <c r="C56" s="1702"/>
      <c r="I56" s="2377" t="s">
        <v>1704</v>
      </c>
      <c r="J56" s="2350" t="e">
        <f ca="1">ROUND(IF(J48="钢混",J58/J51,1-(1-2%)*(J51-J58)/J51),3)</f>
        <v>#DIV/0!</v>
      </c>
      <c r="K56" s="2378" t="s">
        <v>1705</v>
      </c>
      <c r="L56" s="1943"/>
      <c r="O56" s="1960" t="s">
        <v>1760</v>
      </c>
      <c r="P56" s="1143"/>
      <c r="Q56" s="1328"/>
      <c r="R56" s="1143"/>
    </row>
    <row r="57" spans="1:18" s="1669" customFormat="1" ht="43.5" thickBot="1">
      <c r="A57" s="1701"/>
      <c r="B57" s="1702"/>
      <c r="C57" s="1702"/>
      <c r="I57" s="2379" t="s">
        <v>1706</v>
      </c>
      <c r="J57" s="2389"/>
      <c r="K57" s="2361" t="s">
        <v>1711</v>
      </c>
      <c r="L57" s="1564">
        <f ca="1">IF(L49&lt;J52,"——",L49-J52)</f>
        <v>0</v>
      </c>
      <c r="O57" s="1951" t="s">
        <v>1724</v>
      </c>
      <c r="P57" s="1952" t="s">
        <v>1725</v>
      </c>
      <c r="Q57" s="1953" t="s">
        <v>1726</v>
      </c>
      <c r="R57" s="1952" t="s">
        <v>1727</v>
      </c>
    </row>
    <row r="58" spans="1:18" s="1669" customFormat="1" ht="29.25" thickBot="1">
      <c r="A58" s="1701"/>
      <c r="B58" s="1702"/>
      <c r="C58" s="1702"/>
      <c r="I58" s="2380" t="s">
        <v>1707</v>
      </c>
      <c r="J58" s="2381">
        <f ca="1">IF(OR(M48="住宅",J52&lt;L49,J57="是"),"——",J52-L49)</f>
        <v>0</v>
      </c>
      <c r="K58" s="2361" t="s">
        <v>1712</v>
      </c>
      <c r="L58" s="1564">
        <f ca="1">IF(L49&lt;J52,"——",IF(L56="比较法",L50,IF(L56="基准地价",L51,L52)))</f>
        <v>0</v>
      </c>
      <c r="O58" s="1954" t="s">
        <v>1728</v>
      </c>
      <c r="P58" s="1955" t="s">
        <v>1754</v>
      </c>
      <c r="Q58" s="1956">
        <f ca="1">C41+J31</f>
        <v>0</v>
      </c>
      <c r="R58" s="1955" t="s">
        <v>1729</v>
      </c>
    </row>
    <row r="59" spans="1:18" s="1669" customFormat="1" ht="29.25" thickBot="1">
      <c r="A59" s="1701"/>
      <c r="B59" s="1702"/>
      <c r="C59" s="1702"/>
      <c r="I59" s="2380" t="s">
        <v>1708</v>
      </c>
      <c r="J59" s="2351" t="e">
        <f ca="1">IF(J56&lt;0.4,0.4,J56)</f>
        <v>#DIV/0!</v>
      </c>
      <c r="K59" s="2361" t="s">
        <v>1713</v>
      </c>
      <c r="L59" s="1564">
        <f ca="1">IF(ISERROR(POWER(1+L53,L48-L49)*(POWER(1+L53,L49)-1)/(POWER(1+L53,L48)-1)),0,POWER(1+L53,L48-L49)*(POWER(1+L53,L49)-1)/(POWER(1+L53,L48)-1))</f>
        <v>0</v>
      </c>
      <c r="O59" s="1954" t="s">
        <v>1730</v>
      </c>
      <c r="P59" s="1955" t="s">
        <v>1761</v>
      </c>
      <c r="Q59" s="1956" t="e">
        <f ca="1">L61</f>
        <v>#DIV/0!</v>
      </c>
      <c r="R59" s="1959" t="s">
        <v>1763</v>
      </c>
    </row>
    <row r="60" spans="1:18" s="1669" customFormat="1" ht="29.25" thickBot="1">
      <c r="A60" s="1701"/>
      <c r="B60" s="1702"/>
      <c r="C60" s="1702"/>
      <c r="I60" s="2380" t="s">
        <v>1709</v>
      </c>
      <c r="J60" s="2381" t="e">
        <f ca="1">IF(OR(M48="住宅",J52&lt;L49,J57="是"),"——",ROUND(C30*J59,0))</f>
        <v>#DIV/0!</v>
      </c>
      <c r="K60" s="2361" t="s">
        <v>1714</v>
      </c>
      <c r="L60" s="1564">
        <f ca="1">IF(ISERROR(POWER(1+L53,L48-J52)*(POWER(1+L53,J52)-1)/(POWER(1+L53,L48)-1)),0,POWER(1+L53,L48-J52)*(POWER(1+L53,J52)-1)/(POWER(1+L53,L48)-1))</f>
        <v>0</v>
      </c>
      <c r="O60" s="1957" t="s">
        <v>1732</v>
      </c>
      <c r="P60" s="1955" t="s">
        <v>1762</v>
      </c>
      <c r="Q60" s="1956">
        <f>IF(L56="比较法",L50,IF(L56="基准地价",L51,0))</f>
        <v>0</v>
      </c>
      <c r="R60" s="1955" t="s">
        <v>1729</v>
      </c>
    </row>
    <row r="61" spans="1:18" s="1669" customFormat="1" ht="15.75" thickBot="1">
      <c r="A61" s="1701"/>
      <c r="B61" s="1702"/>
      <c r="C61" s="1702"/>
      <c r="I61" s="2382" t="s">
        <v>1710</v>
      </c>
      <c r="J61" s="2383" t="e">
        <f ca="1">IF(OR(M48="住宅",J52&lt;L49,J57="是"),"0",ROUND(J60/(1+J53)^J54,0))</f>
        <v>#DIV/0!</v>
      </c>
      <c r="K61" s="2384" t="s">
        <v>1715</v>
      </c>
      <c r="L61" s="2383" t="e">
        <f ca="1">IF(OR(M48="住宅",L49&lt;J52),0,ROUND(L58*(L59/L60-1),0))</f>
        <v>#DIV/0!</v>
      </c>
      <c r="O61" s="1957" t="s">
        <v>1733</v>
      </c>
      <c r="P61" s="1955" t="s">
        <v>1742</v>
      </c>
      <c r="Q61" s="1958">
        <f>L53</f>
        <v>0</v>
      </c>
      <c r="R61" s="1959"/>
    </row>
    <row r="62" spans="1:18" s="1669" customFormat="1" ht="20.25" thickBot="1">
      <c r="A62" s="1701"/>
      <c r="B62" s="1702"/>
      <c r="C62" s="1702"/>
      <c r="K62" s="1693"/>
      <c r="O62" s="1957" t="s">
        <v>1735</v>
      </c>
      <c r="P62" s="1955" t="s">
        <v>1743</v>
      </c>
      <c r="Q62" s="1956">
        <f ca="1">L59</f>
        <v>0</v>
      </c>
      <c r="R62" s="1959" t="s">
        <v>1744</v>
      </c>
    </row>
    <row r="63" spans="1:18" s="1669" customFormat="1" ht="20.25" thickBot="1">
      <c r="A63" s="1701"/>
      <c r="B63" s="1702"/>
      <c r="C63" s="1702"/>
      <c r="I63" s="2385" t="s">
        <v>1716</v>
      </c>
      <c r="J63" s="2386" t="s">
        <v>1717</v>
      </c>
      <c r="K63" s="2386" t="s">
        <v>1718</v>
      </c>
      <c r="L63" s="2386" t="s">
        <v>1699</v>
      </c>
      <c r="M63" s="2387" t="s">
        <v>2187</v>
      </c>
      <c r="O63" s="1957" t="s">
        <v>1737</v>
      </c>
      <c r="P63" s="1955" t="s">
        <v>1745</v>
      </c>
      <c r="Q63" s="1956">
        <f ca="1">L60</f>
        <v>0</v>
      </c>
      <c r="R63" s="1959" t="s">
        <v>1746</v>
      </c>
    </row>
    <row r="64" spans="1:18" s="1669" customFormat="1" ht="15.75" thickBot="1">
      <c r="A64" s="1701"/>
      <c r="B64" s="1702"/>
      <c r="C64" s="1702"/>
      <c r="I64" s="2385" t="s">
        <v>1719</v>
      </c>
      <c r="J64" s="2386">
        <v>70</v>
      </c>
      <c r="K64" s="2386">
        <v>50</v>
      </c>
      <c r="L64" s="2386">
        <v>80</v>
      </c>
      <c r="M64" s="2388">
        <v>0.02</v>
      </c>
      <c r="O64" s="1954" t="s">
        <v>1740</v>
      </c>
      <c r="P64" s="1955" t="s">
        <v>1757</v>
      </c>
      <c r="Q64" s="1956" t="e">
        <f ca="1">Q58+Q59</f>
        <v>#DIV/0!</v>
      </c>
      <c r="R64" s="1959" t="s">
        <v>1741</v>
      </c>
    </row>
    <row r="65" spans="1:18" s="1669" customFormat="1" ht="16.5" thickBot="1">
      <c r="A65" s="1701"/>
      <c r="B65" s="1702"/>
      <c r="C65" s="1702"/>
      <c r="I65" s="2385" t="s">
        <v>1720</v>
      </c>
      <c r="J65" s="2386">
        <v>50</v>
      </c>
      <c r="K65" s="2386">
        <v>35</v>
      </c>
      <c r="L65" s="2386">
        <v>60</v>
      </c>
      <c r="M65" s="780">
        <v>0</v>
      </c>
      <c r="O65" s="1960" t="s">
        <v>1764</v>
      </c>
      <c r="P65" s="1143"/>
      <c r="Q65" s="1328"/>
      <c r="R65" s="1143"/>
    </row>
    <row r="66" spans="1:18" s="1669" customFormat="1" ht="15.75" thickBot="1">
      <c r="A66" s="1701"/>
      <c r="B66" s="1702"/>
      <c r="C66" s="1702"/>
      <c r="I66" s="2385" t="s">
        <v>1721</v>
      </c>
      <c r="J66" s="2386">
        <v>40</v>
      </c>
      <c r="K66" s="2386">
        <v>30</v>
      </c>
      <c r="L66" s="2386">
        <v>50</v>
      </c>
      <c r="M66" s="2388">
        <v>0.02</v>
      </c>
      <c r="O66" s="1951" t="s">
        <v>1724</v>
      </c>
      <c r="P66" s="1952" t="s">
        <v>1725</v>
      </c>
      <c r="Q66" s="1953" t="s">
        <v>1726</v>
      </c>
      <c r="R66" s="1952" t="s">
        <v>1727</v>
      </c>
    </row>
    <row r="67" spans="1:18" s="1669" customFormat="1" ht="15.75" thickBot="1">
      <c r="A67" s="1701"/>
      <c r="B67" s="1702"/>
      <c r="C67" s="1702"/>
      <c r="K67" s="1693"/>
      <c r="O67" s="1954" t="s">
        <v>1728</v>
      </c>
      <c r="P67" s="1955" t="s">
        <v>1754</v>
      </c>
      <c r="Q67" s="1956">
        <f ca="1">C41+J31</f>
        <v>0</v>
      </c>
      <c r="R67" s="1955" t="s">
        <v>1729</v>
      </c>
    </row>
    <row r="68" spans="1:18" s="1669" customFormat="1" ht="20.25" thickBot="1">
      <c r="A68" s="1701"/>
      <c r="B68" s="1702"/>
      <c r="C68" s="1702"/>
      <c r="K68" s="1693"/>
      <c r="O68" s="1954" t="s">
        <v>1730</v>
      </c>
      <c r="P68" s="1955" t="s">
        <v>1761</v>
      </c>
      <c r="Q68" s="1956" t="e">
        <f ca="1">L61</f>
        <v>#DIV/0!</v>
      </c>
      <c r="R68" s="1959" t="s">
        <v>1763</v>
      </c>
    </row>
    <row r="69" spans="1:18" s="1669" customFormat="1" ht="21.75" thickBot="1">
      <c r="A69" s="1701"/>
      <c r="B69" s="1702"/>
      <c r="C69" s="1702"/>
      <c r="K69" s="1693"/>
      <c r="O69" s="1957" t="s">
        <v>1732</v>
      </c>
      <c r="P69" s="1955" t="s">
        <v>1762</v>
      </c>
      <c r="Q69" s="1961">
        <f ca="1">L52</f>
        <v>0</v>
      </c>
      <c r="R69" s="1962" t="s">
        <v>1765</v>
      </c>
    </row>
    <row r="70" spans="1:18" s="1669" customFormat="1" ht="20.25" thickBot="1">
      <c r="A70" s="1701"/>
      <c r="B70" s="1702"/>
      <c r="C70" s="1702"/>
      <c r="K70" s="1693"/>
      <c r="O70" s="1957" t="s">
        <v>1733</v>
      </c>
      <c r="P70" s="1963" t="s">
        <v>1747</v>
      </c>
      <c r="Q70" s="1956">
        <f ca="1">ROUND(Q71-Q72*Q73,0)</f>
        <v>0</v>
      </c>
      <c r="R70" s="1959"/>
    </row>
    <row r="71" spans="1:18" s="1669" customFormat="1" ht="15.75" thickBot="1">
      <c r="A71" s="1701"/>
      <c r="B71" s="1702"/>
      <c r="C71" s="1702"/>
      <c r="K71" s="1693"/>
      <c r="O71" s="1957" t="s">
        <v>1748</v>
      </c>
      <c r="P71" s="1963" t="s">
        <v>1749</v>
      </c>
      <c r="Q71" s="1956">
        <f ca="1">C42</f>
        <v>0</v>
      </c>
      <c r="R71" s="1955" t="s">
        <v>1729</v>
      </c>
    </row>
    <row r="72" spans="1:18" s="1669" customFormat="1" ht="15.75" thickBot="1">
      <c r="A72" s="1701"/>
      <c r="B72" s="1702"/>
      <c r="C72" s="1702"/>
      <c r="K72" s="1693"/>
      <c r="O72" s="1957" t="s">
        <v>1750</v>
      </c>
      <c r="P72" s="1963" t="s">
        <v>1751</v>
      </c>
      <c r="Q72" s="1956">
        <f ca="1">C15</f>
        <v>0</v>
      </c>
      <c r="R72" s="1955" t="s">
        <v>1729</v>
      </c>
    </row>
    <row r="73" spans="1:18" s="1669" customFormat="1" ht="15.75" thickBot="1">
      <c r="A73" s="1701"/>
      <c r="B73" s="1702"/>
      <c r="C73" s="1702"/>
      <c r="K73" s="1693"/>
      <c r="O73" s="1957" t="s">
        <v>1752</v>
      </c>
      <c r="P73" s="1963" t="s">
        <v>1753</v>
      </c>
      <c r="Q73" s="1958">
        <f ca="1">F43</f>
        <v>0</v>
      </c>
      <c r="R73" s="1959"/>
    </row>
    <row r="74" spans="1:18" s="1669" customFormat="1" ht="15.75" thickBot="1">
      <c r="A74" s="1701"/>
      <c r="B74" s="1702"/>
      <c r="C74" s="1702"/>
      <c r="K74" s="1693"/>
      <c r="O74" s="1957" t="s">
        <v>1735</v>
      </c>
      <c r="P74" s="1955" t="s">
        <v>1742</v>
      </c>
      <c r="Q74" s="1958">
        <f>L53</f>
        <v>0</v>
      </c>
      <c r="R74" s="1959"/>
    </row>
    <row r="75" spans="1:18" s="1669" customFormat="1" ht="20.25" thickBot="1">
      <c r="A75" s="1701"/>
      <c r="B75" s="1702"/>
      <c r="C75" s="1702"/>
      <c r="K75" s="1693"/>
      <c r="O75" s="1957" t="s">
        <v>1737</v>
      </c>
      <c r="P75" s="1955" t="s">
        <v>1743</v>
      </c>
      <c r="Q75" s="1956">
        <f ca="1">L59</f>
        <v>0</v>
      </c>
      <c r="R75" s="1959" t="s">
        <v>1744</v>
      </c>
    </row>
    <row r="76" spans="1:18" s="1669" customFormat="1" ht="20.25" thickBot="1">
      <c r="A76" s="1701"/>
      <c r="B76" s="1702"/>
      <c r="C76" s="1702"/>
      <c r="K76" s="1693"/>
      <c r="O76" s="1957" t="s">
        <v>1766</v>
      </c>
      <c r="P76" s="1955" t="s">
        <v>1745</v>
      </c>
      <c r="Q76" s="1956">
        <f ca="1">L60</f>
        <v>0</v>
      </c>
      <c r="R76" s="1959" t="s">
        <v>1746</v>
      </c>
    </row>
    <row r="77" spans="1:18" s="1669" customFormat="1" ht="15.75" thickBot="1">
      <c r="A77" s="1701"/>
      <c r="B77" s="1702"/>
      <c r="C77" s="1702"/>
      <c r="K77" s="1693"/>
      <c r="O77" s="1954" t="s">
        <v>1740</v>
      </c>
      <c r="P77" s="1955" t="s">
        <v>1757</v>
      </c>
      <c r="Q77" s="1956" t="e">
        <f ca="1">Q67+Q68</f>
        <v>#DIV/0!</v>
      </c>
      <c r="R77" s="1959" t="s">
        <v>1741</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2422</v>
      </c>
      <c r="B1" s="2812"/>
      <c r="C1" s="2825"/>
      <c r="D1" s="2825"/>
      <c r="E1" s="2813"/>
      <c r="F1" s="2814"/>
      <c r="G1" s="2815"/>
      <c r="J1" s="2818" t="s">
        <v>2279</v>
      </c>
      <c r="K1" s="2819"/>
      <c r="L1" s="2819"/>
      <c r="M1" s="2819"/>
      <c r="N1" s="2819"/>
      <c r="O1" s="2819"/>
      <c r="P1" s="2819"/>
      <c r="Q1" s="2819"/>
      <c r="R1" s="2820"/>
      <c r="S1" s="2821"/>
      <c r="T1" s="2821"/>
      <c r="U1" s="2821"/>
    </row>
    <row r="2" spans="1:22" s="2834" customFormat="1" ht="13.15" customHeight="1">
      <c r="A2" s="2823" t="s">
        <v>2280</v>
      </c>
      <c r="B2" s="2824" t="e">
        <f>C40</f>
        <v>#DIV/0!</v>
      </c>
      <c r="C2" s="2825" t="s">
        <v>2281</v>
      </c>
      <c r="D2" s="2825"/>
      <c r="E2" s="2826"/>
      <c r="F2" s="2827"/>
      <c r="G2" s="2828"/>
      <c r="H2" s="2829"/>
      <c r="I2" s="2830"/>
      <c r="J2" s="3785" t="s">
        <v>2282</v>
      </c>
      <c r="K2" s="3786"/>
      <c r="L2" s="2831" t="s">
        <v>2283</v>
      </c>
      <c r="M2" s="2831" t="s">
        <v>2284</v>
      </c>
      <c r="N2" s="2831" t="s">
        <v>2285</v>
      </c>
      <c r="O2" s="2831" t="s">
        <v>2286</v>
      </c>
      <c r="P2" s="2831" t="s">
        <v>2287</v>
      </c>
      <c r="Q2" s="2832" t="s">
        <v>2288</v>
      </c>
      <c r="R2" s="2833" t="s">
        <v>2289</v>
      </c>
      <c r="S2" s="2821"/>
      <c r="T2" s="2821"/>
      <c r="U2" s="2821"/>
      <c r="V2" s="2830"/>
    </row>
    <row r="3" spans="1:22" s="2834" customFormat="1" ht="13.15" customHeight="1">
      <c r="A3" s="2835" t="s">
        <v>2290</v>
      </c>
      <c r="B3" s="2836" t="e">
        <f>ROUND(B2*10000/B4,0)</f>
        <v>#DIV/0!</v>
      </c>
      <c r="C3" s="2825" t="s">
        <v>2291</v>
      </c>
      <c r="D3" s="2825"/>
      <c r="E3" s="2826"/>
      <c r="F3" s="2827"/>
      <c r="G3" s="2828"/>
      <c r="H3" s="2829"/>
      <c r="I3" s="2830"/>
      <c r="J3" s="3787" t="s">
        <v>2292</v>
      </c>
      <c r="K3" s="3788"/>
      <c r="L3" s="2837"/>
      <c r="M3" s="2837"/>
      <c r="N3" s="2837"/>
      <c r="O3" s="2837"/>
      <c r="P3" s="2837"/>
      <c r="Q3" s="2838"/>
      <c r="R3" s="2839">
        <f>SUM(L3:Q3)</f>
        <v>0</v>
      </c>
      <c r="S3" s="2821"/>
      <c r="T3" s="2821"/>
      <c r="U3" s="2821"/>
      <c r="V3" s="2830"/>
    </row>
    <row r="4" spans="1:22" s="2834" customFormat="1" ht="13.15" customHeight="1">
      <c r="A4" s="2840" t="s">
        <v>2293</v>
      </c>
      <c r="B4" s="2841"/>
      <c r="C4" s="2825"/>
      <c r="D4" s="2825"/>
      <c r="E4" s="2826"/>
      <c r="F4" s="2827"/>
      <c r="G4" s="2828"/>
      <c r="H4" s="2829"/>
      <c r="I4" s="2830"/>
      <c r="J4" s="3787" t="s">
        <v>2294</v>
      </c>
      <c r="K4" s="3788"/>
      <c r="L4" s="2842"/>
      <c r="M4" s="2842"/>
      <c r="N4" s="2842"/>
      <c r="O4" s="2842"/>
      <c r="P4" s="2842"/>
      <c r="Q4" s="2843"/>
      <c r="R4" s="2844">
        <f>SUM(L4:Q4)</f>
        <v>0</v>
      </c>
      <c r="S4" s="2821"/>
      <c r="T4" s="2821"/>
      <c r="U4" s="2821"/>
      <c r="V4" s="2830"/>
    </row>
    <row r="5" spans="1:22" s="2834" customFormat="1" ht="13.15" customHeight="1" thickBot="1">
      <c r="A5" s="2845" t="s">
        <v>2295</v>
      </c>
      <c r="B5" s="2846"/>
      <c r="C5" s="2825"/>
      <c r="D5" s="2847"/>
      <c r="E5" s="2827"/>
      <c r="F5" s="2827"/>
      <c r="G5" s="2828"/>
      <c r="H5" s="2829"/>
      <c r="I5" s="2830"/>
      <c r="J5" s="2848" t="s">
        <v>2296</v>
      </c>
      <c r="K5" s="2849"/>
      <c r="L5" s="2849"/>
      <c r="M5" s="2850"/>
      <c r="N5" s="2850"/>
      <c r="O5" s="2850"/>
      <c r="P5" s="2850"/>
      <c r="Q5" s="2850"/>
      <c r="R5" s="2833">
        <f>SUM(R14,R19,R24,R25,R27,R28)</f>
        <v>0</v>
      </c>
      <c r="S5" s="2821"/>
      <c r="T5" s="2821" t="s">
        <v>2297</v>
      </c>
      <c r="U5" s="2821" t="e">
        <f>ROUND(R5*10000/365/R3,1)</f>
        <v>#DIV/0!</v>
      </c>
      <c r="V5" s="2830"/>
    </row>
    <row r="6" spans="1:22" s="2834" customFormat="1" ht="13.15" customHeight="1" thickBot="1">
      <c r="A6" s="3793" t="s">
        <v>2298</v>
      </c>
      <c r="B6" s="3794"/>
      <c r="C6" s="3795"/>
      <c r="D6" s="2851"/>
      <c r="E6" s="2852"/>
      <c r="F6" s="2853"/>
      <c r="G6" s="2854"/>
      <c r="H6" s="2829"/>
      <c r="I6" s="2830"/>
      <c r="J6" s="3779">
        <v>1</v>
      </c>
      <c r="K6" s="3780" t="s">
        <v>2299</v>
      </c>
      <c r="L6" s="2855" t="s">
        <v>2300</v>
      </c>
      <c r="M6" s="2856" t="s">
        <v>2301</v>
      </c>
      <c r="N6" s="2856" t="s">
        <v>2302</v>
      </c>
      <c r="O6" s="2856" t="s">
        <v>2303</v>
      </c>
      <c r="P6" s="2856" t="s">
        <v>2304</v>
      </c>
      <c r="Q6" s="2856" t="s">
        <v>2305</v>
      </c>
      <c r="R6" s="2839" t="s">
        <v>2306</v>
      </c>
      <c r="S6" s="2821"/>
      <c r="T6" s="2821" t="s">
        <v>2307</v>
      </c>
      <c r="U6" s="2821"/>
      <c r="V6" s="2830"/>
    </row>
    <row r="7" spans="1:22" s="2834" customFormat="1" ht="13.15" customHeight="1">
      <c r="A7" s="2857" t="s">
        <v>2308</v>
      </c>
      <c r="B7" s="2858"/>
      <c r="C7" s="2859"/>
      <c r="D7" s="2860">
        <f>SUM(D9,D10,D11,D17,0)</f>
        <v>0</v>
      </c>
      <c r="E7" s="2861" t="e">
        <f>E9+E10+E11+E17</f>
        <v>#DIV/0!</v>
      </c>
      <c r="F7" s="2862"/>
      <c r="G7" s="2863"/>
      <c r="H7" s="2829"/>
      <c r="I7" s="2830"/>
      <c r="J7" s="3779"/>
      <c r="K7" s="3781"/>
      <c r="L7" s="2864" t="s">
        <v>2309</v>
      </c>
      <c r="M7" s="2865"/>
      <c r="N7" s="2841"/>
      <c r="O7" s="2866"/>
      <c r="P7" s="2866"/>
      <c r="Q7" s="2867">
        <v>365</v>
      </c>
      <c r="R7" s="2868">
        <f>ROUND(M7*N7*O7*P7*Q7/10000,0)</f>
        <v>0</v>
      </c>
      <c r="S7" s="2821"/>
      <c r="T7" s="2821" t="s">
        <v>2310</v>
      </c>
      <c r="U7" s="2821"/>
      <c r="V7" s="2830"/>
    </row>
    <row r="8" spans="1:22" s="2834" customFormat="1" ht="13.15" customHeight="1">
      <c r="A8" s="2869" t="s">
        <v>2311</v>
      </c>
      <c r="B8" s="3796" t="s">
        <v>2312</v>
      </c>
      <c r="C8" s="3797"/>
      <c r="D8" s="2870" t="s">
        <v>2313</v>
      </c>
      <c r="E8" s="2871" t="s">
        <v>2314</v>
      </c>
      <c r="F8" s="2872" t="s">
        <v>2315</v>
      </c>
      <c r="G8" s="2873"/>
      <c r="H8" s="2829"/>
      <c r="I8" s="2830"/>
      <c r="J8" s="3779"/>
      <c r="K8" s="3781"/>
      <c r="L8" s="2864" t="s">
        <v>2316</v>
      </c>
      <c r="M8" s="2865"/>
      <c r="N8" s="2841"/>
      <c r="O8" s="2866"/>
      <c r="P8" s="2866"/>
      <c r="Q8" s="2867">
        <v>365</v>
      </c>
      <c r="R8" s="2868">
        <f t="shared" ref="R8:R13" si="0">ROUND(M8*N8*O8*P8*Q8/10000,0)</f>
        <v>0</v>
      </c>
      <c r="S8" s="2821"/>
      <c r="T8" s="2821" t="s">
        <v>2317</v>
      </c>
      <c r="U8" s="2821"/>
      <c r="V8" s="2830"/>
    </row>
    <row r="9" spans="1:22" s="2834" customFormat="1" ht="13.15" customHeight="1">
      <c r="A9" s="2869">
        <v>1</v>
      </c>
      <c r="B9" s="3796" t="s">
        <v>2318</v>
      </c>
      <c r="C9" s="3797"/>
      <c r="D9" s="2870">
        <f>ROUND(D6*E9,0)</f>
        <v>0</v>
      </c>
      <c r="E9" s="2874"/>
      <c r="F9" s="2875" t="s">
        <v>2319</v>
      </c>
      <c r="G9" s="2854"/>
      <c r="H9" s="2829"/>
      <c r="I9" s="2830"/>
      <c r="J9" s="3779"/>
      <c r="K9" s="3781"/>
      <c r="L9" s="2864" t="s">
        <v>2320</v>
      </c>
      <c r="M9" s="2865"/>
      <c r="N9" s="2841"/>
      <c r="O9" s="2866"/>
      <c r="P9" s="2866"/>
      <c r="Q9" s="2867">
        <v>365</v>
      </c>
      <c r="R9" s="2868">
        <f t="shared" si="0"/>
        <v>0</v>
      </c>
      <c r="S9" s="2821"/>
      <c r="T9" s="2821"/>
      <c r="U9" s="2821"/>
      <c r="V9" s="2830"/>
    </row>
    <row r="10" spans="1:22" s="2834" customFormat="1" ht="13.15" customHeight="1">
      <c r="A10" s="2869">
        <v>2</v>
      </c>
      <c r="B10" s="3796" t="s">
        <v>2321</v>
      </c>
      <c r="C10" s="3797"/>
      <c r="D10" s="2870">
        <f>ROUND(D6*E10,0)</f>
        <v>0</v>
      </c>
      <c r="E10" s="2874"/>
      <c r="F10" s="2875" t="s">
        <v>2322</v>
      </c>
      <c r="G10" s="2854"/>
      <c r="H10" s="2829"/>
      <c r="I10" s="2830"/>
      <c r="J10" s="3779"/>
      <c r="K10" s="3781"/>
      <c r="L10" s="2864" t="s">
        <v>2323</v>
      </c>
      <c r="M10" s="2865"/>
      <c r="N10" s="2841"/>
      <c r="O10" s="2866"/>
      <c r="P10" s="2866"/>
      <c r="Q10" s="2867">
        <v>365</v>
      </c>
      <c r="R10" s="2868">
        <f t="shared" si="0"/>
        <v>0</v>
      </c>
      <c r="S10" s="2821"/>
      <c r="T10" s="2821"/>
      <c r="U10" s="2821"/>
      <c r="V10" s="2830"/>
    </row>
    <row r="11" spans="1:22" s="2834" customFormat="1" ht="13.15" customHeight="1">
      <c r="A11" s="2869">
        <v>3</v>
      </c>
      <c r="B11" s="3796" t="s">
        <v>2324</v>
      </c>
      <c r="C11" s="3797"/>
      <c r="D11" s="2870">
        <f>D12+D14+D15+D16</f>
        <v>0</v>
      </c>
      <c r="E11" s="2876" t="e">
        <f>D11/D6</f>
        <v>#DIV/0!</v>
      </c>
      <c r="F11" s="2872"/>
      <c r="G11" s="2873"/>
      <c r="H11" s="2829"/>
      <c r="I11" s="2830"/>
      <c r="J11" s="3779"/>
      <c r="K11" s="3781"/>
      <c r="L11" s="2864" t="s">
        <v>2325</v>
      </c>
      <c r="M11" s="2865"/>
      <c r="N11" s="2841"/>
      <c r="O11" s="2866"/>
      <c r="P11" s="2866"/>
      <c r="Q11" s="2867">
        <v>365</v>
      </c>
      <c r="R11" s="2868">
        <f t="shared" si="0"/>
        <v>0</v>
      </c>
      <c r="S11" s="2821"/>
      <c r="T11" s="2821"/>
      <c r="U11" s="2821"/>
      <c r="V11" s="2830"/>
    </row>
    <row r="12" spans="1:22" s="2834" customFormat="1" ht="13.15" customHeight="1">
      <c r="A12" s="2877" t="s">
        <v>2326</v>
      </c>
      <c r="B12" s="3789" t="s">
        <v>2327</v>
      </c>
      <c r="C12" s="3790"/>
      <c r="D12" s="2878">
        <f>ROUND(D13*1.2%*(1-30%),0)</f>
        <v>0</v>
      </c>
      <c r="E12" s="2879">
        <v>1.2E-2</v>
      </c>
      <c r="F12" s="2872" t="s">
        <v>2328</v>
      </c>
      <c r="G12" s="2873"/>
      <c r="H12" s="2829"/>
      <c r="I12" s="2830"/>
      <c r="J12" s="3779"/>
      <c r="K12" s="3781"/>
      <c r="L12" s="2864" t="s">
        <v>2329</v>
      </c>
      <c r="M12" s="2865"/>
      <c r="N12" s="2841"/>
      <c r="O12" s="2866"/>
      <c r="P12" s="2866"/>
      <c r="Q12" s="2867">
        <v>365</v>
      </c>
      <c r="R12" s="2868">
        <f t="shared" si="0"/>
        <v>0</v>
      </c>
      <c r="S12" s="2821"/>
      <c r="T12" s="2821"/>
      <c r="U12" s="2821"/>
      <c r="V12" s="2830"/>
    </row>
    <row r="13" spans="1:22" s="2834" customFormat="1" ht="13.15" customHeight="1">
      <c r="A13" s="2877"/>
      <c r="B13" s="2880"/>
      <c r="C13" s="2881" t="s">
        <v>2330</v>
      </c>
      <c r="D13" s="2882"/>
      <c r="E13" s="2883"/>
      <c r="F13" s="2872"/>
      <c r="G13" s="2873"/>
      <c r="H13" s="2829"/>
      <c r="I13" s="2830"/>
      <c r="J13" s="3779"/>
      <c r="K13" s="3781"/>
      <c r="L13" s="2864" t="s">
        <v>2331</v>
      </c>
      <c r="M13" s="2865"/>
      <c r="N13" s="2841"/>
      <c r="O13" s="2866"/>
      <c r="P13" s="2866"/>
      <c r="Q13" s="2867">
        <v>365</v>
      </c>
      <c r="R13" s="2868">
        <f t="shared" si="0"/>
        <v>0</v>
      </c>
      <c r="S13" s="2821"/>
      <c r="T13" s="2821"/>
      <c r="U13" s="2821"/>
      <c r="V13" s="2830"/>
    </row>
    <row r="14" spans="1:22" s="2834" customFormat="1" ht="13.15" customHeight="1">
      <c r="A14" s="2877" t="s">
        <v>2332</v>
      </c>
      <c r="B14" s="3789" t="s">
        <v>2333</v>
      </c>
      <c r="C14" s="3790"/>
      <c r="D14" s="2878">
        <f>ROUND(E14*B5/10000,0)</f>
        <v>0</v>
      </c>
      <c r="E14" s="2867"/>
      <c r="F14" s="2872" t="s">
        <v>2334</v>
      </c>
      <c r="G14" s="2873"/>
      <c r="H14" s="2829"/>
      <c r="I14" s="2830"/>
      <c r="J14" s="3779"/>
      <c r="K14" s="3782"/>
      <c r="L14" s="2884" t="s">
        <v>2335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2336</v>
      </c>
      <c r="B15" s="3789" t="s">
        <v>2337</v>
      </c>
      <c r="C15" s="3790"/>
      <c r="D15" s="2878">
        <f>ROUND(D6*E15,0)</f>
        <v>0</v>
      </c>
      <c r="E15" s="2879">
        <v>5.5E-2</v>
      </c>
      <c r="F15" s="2872" t="s">
        <v>2338</v>
      </c>
      <c r="G15" s="2854"/>
      <c r="H15" s="2829"/>
      <c r="I15" s="2830"/>
      <c r="J15" s="3779">
        <v>2</v>
      </c>
      <c r="K15" s="3780" t="s">
        <v>2339</v>
      </c>
      <c r="L15" s="2864" t="s">
        <v>2340</v>
      </c>
      <c r="M15" s="2865" t="s">
        <v>2341</v>
      </c>
      <c r="N15" s="2865" t="s">
        <v>2342</v>
      </c>
      <c r="O15" s="2866" t="s">
        <v>2343</v>
      </c>
      <c r="P15" s="2866" t="s">
        <v>2344</v>
      </c>
      <c r="Q15" s="2841" t="s">
        <v>2345</v>
      </c>
      <c r="R15" s="2888" t="s">
        <v>2346</v>
      </c>
      <c r="S15" s="2821"/>
      <c r="T15" s="2821"/>
      <c r="U15" s="2821"/>
      <c r="V15" s="2830"/>
    </row>
    <row r="16" spans="1:22" s="2834" customFormat="1" ht="13.15" customHeight="1">
      <c r="A16" s="2877" t="s">
        <v>2347</v>
      </c>
      <c r="B16" s="3789" t="s">
        <v>2348</v>
      </c>
      <c r="C16" s="3790"/>
      <c r="D16" s="2889">
        <f>D6*E16</f>
        <v>0</v>
      </c>
      <c r="E16" s="2890"/>
      <c r="F16" s="2875" t="s">
        <v>2349</v>
      </c>
      <c r="G16" s="2854"/>
      <c r="H16" s="2829"/>
      <c r="I16" s="2830"/>
      <c r="J16" s="3779"/>
      <c r="K16" s="3781"/>
      <c r="L16" s="2864" t="s">
        <v>2350</v>
      </c>
      <c r="M16" s="2865"/>
      <c r="N16" s="2865"/>
      <c r="O16" s="2866"/>
      <c r="P16" s="2867">
        <v>365</v>
      </c>
      <c r="Q16" s="2841"/>
      <c r="R16" s="2888">
        <f>ROUND(M16*N16*O16*P16/10000,0)</f>
        <v>0</v>
      </c>
      <c r="S16" s="2821"/>
      <c r="T16" s="2821"/>
      <c r="U16" s="2821"/>
      <c r="V16" s="2830"/>
    </row>
    <row r="17" spans="1:22" s="2834" customFormat="1" ht="13.15" customHeight="1" thickBot="1">
      <c r="A17" s="2891">
        <v>4</v>
      </c>
      <c r="B17" s="3791" t="s">
        <v>2351</v>
      </c>
      <c r="C17" s="3792"/>
      <c r="D17" s="2892">
        <f>ROUND(D6*E17,0)</f>
        <v>0</v>
      </c>
      <c r="E17" s="2893"/>
      <c r="F17" s="2894" t="s">
        <v>2352</v>
      </c>
      <c r="G17" s="2854"/>
      <c r="H17" s="2829"/>
      <c r="I17" s="2830"/>
      <c r="J17" s="3779"/>
      <c r="K17" s="3781"/>
      <c r="L17" s="2864" t="s">
        <v>2353</v>
      </c>
      <c r="M17" s="2865"/>
      <c r="N17" s="2865"/>
      <c r="O17" s="2866"/>
      <c r="P17" s="2867">
        <v>365</v>
      </c>
      <c r="Q17" s="2841"/>
      <c r="R17" s="2888">
        <f>ROUND(M17*N17*O17*P17/10000,0)</f>
        <v>0</v>
      </c>
      <c r="S17" s="2821"/>
      <c r="T17" s="2821"/>
      <c r="U17" s="2821"/>
      <c r="V17" s="2830"/>
    </row>
    <row r="18" spans="1:22" s="2834" customFormat="1" ht="13.15" customHeight="1" thickBot="1">
      <c r="A18" s="2857" t="s">
        <v>2354</v>
      </c>
      <c r="B18" s="2858"/>
      <c r="C18" s="2858"/>
      <c r="D18" s="2895">
        <f>ROUND(D6*E18,0)</f>
        <v>0</v>
      </c>
      <c r="E18" s="2896"/>
      <c r="F18" s="2897" t="s">
        <v>2355</v>
      </c>
      <c r="G18" s="2854"/>
      <c r="H18" s="2829"/>
      <c r="I18" s="2830"/>
      <c r="J18" s="3779"/>
      <c r="K18" s="3781"/>
      <c r="L18" s="2864" t="s">
        <v>2356</v>
      </c>
      <c r="M18" s="2865"/>
      <c r="N18" s="2865"/>
      <c r="O18" s="2866"/>
      <c r="P18" s="2867">
        <v>365</v>
      </c>
      <c r="Q18" s="2841"/>
      <c r="R18" s="2888">
        <f>ROUND(M18*N18*O18*P18/10000,0)</f>
        <v>0</v>
      </c>
      <c r="S18" s="2821"/>
      <c r="T18" s="2821"/>
      <c r="U18" s="2821"/>
      <c r="V18" s="2830"/>
    </row>
    <row r="19" spans="1:22" s="2834" customFormat="1" ht="13.15" customHeight="1" thickBot="1">
      <c r="A19" s="2898" t="s">
        <v>2357</v>
      </c>
      <c r="B19" s="2852"/>
      <c r="C19" s="2852"/>
      <c r="D19" s="2852"/>
      <c r="E19" s="2852"/>
      <c r="F19" s="2853"/>
      <c r="G19" s="2873"/>
      <c r="H19" s="2829"/>
      <c r="I19" s="2830"/>
      <c r="J19" s="3779"/>
      <c r="K19" s="3782"/>
      <c r="L19" s="2884" t="s">
        <v>2335</v>
      </c>
      <c r="M19" s="2885"/>
      <c r="N19" s="2885">
        <f>SUM(N16:N18)</f>
        <v>0</v>
      </c>
      <c r="O19" s="2886"/>
      <c r="P19" s="2899" t="s">
        <v>2423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779">
        <v>3</v>
      </c>
      <c r="K20" s="3780" t="s">
        <v>2358</v>
      </c>
      <c r="L20" s="2864" t="s">
        <v>2359</v>
      </c>
      <c r="M20" s="2865" t="s">
        <v>2360</v>
      </c>
      <c r="N20" s="2902" t="s">
        <v>2361</v>
      </c>
      <c r="O20" s="2866" t="s">
        <v>2362</v>
      </c>
      <c r="P20" s="2867" t="s">
        <v>2363</v>
      </c>
      <c r="Q20" s="2841" t="s">
        <v>2364</v>
      </c>
      <c r="R20" s="2888" t="s">
        <v>2306</v>
      </c>
      <c r="S20" s="2821"/>
      <c r="T20" s="2821"/>
      <c r="U20" s="2821"/>
      <c r="V20" s="2830"/>
    </row>
    <row r="21" spans="1:22" s="2834" customFormat="1" ht="13.15" customHeight="1">
      <c r="A21" s="2857"/>
      <c r="B21" s="2858"/>
      <c r="C21" s="2903" t="s">
        <v>2365</v>
      </c>
      <c r="D21" s="2904" t="s">
        <v>2366</v>
      </c>
      <c r="E21" s="2905" t="s">
        <v>2367</v>
      </c>
      <c r="F21" s="2901"/>
      <c r="G21" s="2873"/>
      <c r="H21" s="2829"/>
      <c r="I21" s="2830"/>
      <c r="J21" s="3779"/>
      <c r="K21" s="3781"/>
      <c r="L21" s="2864" t="s">
        <v>2368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2369</v>
      </c>
      <c r="D22" s="2908" t="s">
        <v>2370</v>
      </c>
      <c r="E22" s="2909" t="s">
        <v>2371</v>
      </c>
      <c r="F22" s="2901"/>
      <c r="G22" s="2821"/>
      <c r="H22" s="2829"/>
      <c r="I22" s="2830"/>
      <c r="J22" s="3779"/>
      <c r="K22" s="3781"/>
      <c r="L22" s="2864" t="s">
        <v>2372</v>
      </c>
      <c r="M22" s="2865"/>
      <c r="N22" s="2865"/>
      <c r="O22" s="2866"/>
      <c r="P22" s="2867">
        <v>365</v>
      </c>
      <c r="Q22" s="2841"/>
      <c r="R22" s="2906">
        <f>ROUND(M22*N22*O22*P22/10000,0)</f>
        <v>0</v>
      </c>
      <c r="S22" s="2821"/>
      <c r="T22" s="2821"/>
      <c r="U22" s="2821"/>
      <c r="V22" s="2830"/>
    </row>
    <row r="23" spans="1:22" s="2834" customFormat="1" ht="13.15" customHeight="1">
      <c r="A23" s="2910">
        <v>1</v>
      </c>
      <c r="B23" s="2911" t="s">
        <v>2373</v>
      </c>
      <c r="C23" s="2912">
        <f>D6</f>
        <v>0</v>
      </c>
      <c r="D23" s="2913">
        <f>C23*(1+D24)</f>
        <v>0</v>
      </c>
      <c r="E23" s="2914">
        <f>D23*(1+E24)</f>
        <v>0</v>
      </c>
      <c r="F23" s="2915"/>
      <c r="G23" s="2916"/>
      <c r="H23" s="2829"/>
      <c r="I23" s="2830"/>
      <c r="J23" s="3779"/>
      <c r="K23" s="3781"/>
      <c r="L23" s="2864" t="s">
        <v>2374</v>
      </c>
      <c r="M23" s="2865"/>
      <c r="N23" s="2865"/>
      <c r="O23" s="2866"/>
      <c r="P23" s="2867">
        <v>365</v>
      </c>
      <c r="Q23" s="2841"/>
      <c r="R23" s="2906">
        <f>ROUND(M23*N23*O23*P23/10000,0)</f>
        <v>0</v>
      </c>
      <c r="S23" s="2821"/>
      <c r="T23" s="2821"/>
      <c r="U23" s="2821"/>
      <c r="V23" s="2830"/>
    </row>
    <row r="24" spans="1:22" s="2834" customFormat="1" ht="13.15" customHeight="1">
      <c r="A24" s="2917"/>
      <c r="B24" s="2918" t="s">
        <v>2375</v>
      </c>
      <c r="C24" s="2919"/>
      <c r="D24" s="2920"/>
      <c r="E24" s="2921"/>
      <c r="F24" s="2922"/>
      <c r="G24" s="2916"/>
      <c r="H24" s="2829"/>
      <c r="I24" s="2830"/>
      <c r="J24" s="3779"/>
      <c r="K24" s="3782"/>
      <c r="L24" s="2884" t="s">
        <v>2335</v>
      </c>
      <c r="M24" s="2885">
        <f>SUM(M21:M23)</f>
        <v>0</v>
      </c>
      <c r="N24" s="2885"/>
      <c r="O24" s="2886"/>
      <c r="P24" s="2899" t="s">
        <v>2423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2376</v>
      </c>
      <c r="L25" s="2925"/>
      <c r="M25" s="2925"/>
      <c r="N25" s="2925"/>
      <c r="O25" s="2925"/>
      <c r="P25" s="2926"/>
      <c r="Q25" s="2927"/>
      <c r="R25" s="2900">
        <f>ROUND(R14*Q25,0)</f>
        <v>0</v>
      </c>
      <c r="S25" s="2821"/>
      <c r="T25" s="2821"/>
      <c r="U25" s="2821"/>
      <c r="V25" s="2928"/>
    </row>
    <row r="26" spans="1:22" s="2929" customFormat="1" ht="13.15" customHeight="1">
      <c r="A26" s="2910">
        <v>2</v>
      </c>
      <c r="B26" s="2911" t="s">
        <v>2377</v>
      </c>
      <c r="C26" s="2912">
        <f>D7</f>
        <v>0</v>
      </c>
      <c r="D26" s="2913">
        <f>D23*D27</f>
        <v>0</v>
      </c>
      <c r="E26" s="2914">
        <f>E23*E27</f>
        <v>0</v>
      </c>
      <c r="F26" s="2915"/>
      <c r="G26" s="2916"/>
      <c r="H26" s="2829"/>
      <c r="I26" s="2830"/>
      <c r="J26" s="3783">
        <v>5</v>
      </c>
      <c r="K26" s="2930" t="s">
        <v>2378</v>
      </c>
      <c r="L26" s="2931"/>
      <c r="M26" s="2932"/>
      <c r="N26" s="2933" t="s">
        <v>2379</v>
      </c>
      <c r="O26" s="2933" t="s">
        <v>2380</v>
      </c>
      <c r="P26" s="2934" t="s">
        <v>2381</v>
      </c>
      <c r="Q26" s="2934" t="s">
        <v>2382</v>
      </c>
      <c r="R26" s="2839" t="s">
        <v>2383</v>
      </c>
      <c r="S26" s="2873"/>
      <c r="T26" s="2873"/>
      <c r="U26" s="2873"/>
      <c r="V26" s="2928"/>
    </row>
    <row r="27" spans="1:22" s="2834" customFormat="1" ht="13.15" customHeight="1">
      <c r="A27" s="2917"/>
      <c r="B27" s="2918" t="s">
        <v>2384</v>
      </c>
      <c r="C27" s="2935" t="e">
        <f>E7</f>
        <v>#DIV/0!</v>
      </c>
      <c r="D27" s="2920"/>
      <c r="E27" s="2921"/>
      <c r="F27" s="2922"/>
      <c r="G27" s="2916"/>
      <c r="H27" s="2936"/>
      <c r="I27" s="2928"/>
      <c r="J27" s="3784"/>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2385</v>
      </c>
      <c r="F28" s="2922"/>
      <c r="G28" s="2821"/>
      <c r="H28" s="2936"/>
      <c r="I28" s="2928"/>
      <c r="J28" s="2942">
        <v>6</v>
      </c>
      <c r="K28" s="2943" t="s">
        <v>2386</v>
      </c>
      <c r="L28" s="2944" t="s">
        <v>2387</v>
      </c>
      <c r="M28" s="2945"/>
      <c r="N28" s="2944" t="s">
        <v>2388</v>
      </c>
      <c r="O28" s="2946"/>
      <c r="P28" s="2944" t="s">
        <v>2389</v>
      </c>
      <c r="Q28" s="2947">
        <v>1.4999999999999999E-2</v>
      </c>
      <c r="R28" s="2948"/>
      <c r="S28" s="2821"/>
      <c r="T28" s="2821"/>
      <c r="U28" s="2821"/>
      <c r="V28" s="2928"/>
    </row>
    <row r="29" spans="1:22" s="2929" customFormat="1" ht="13.15" customHeight="1">
      <c r="A29" s="2910">
        <v>3</v>
      </c>
      <c r="B29" s="2911" t="s">
        <v>2390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2391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2392</v>
      </c>
      <c r="K31" s="2819"/>
      <c r="L31" s="2819"/>
      <c r="M31" s="2819"/>
      <c r="N31" s="2819"/>
      <c r="O31" s="2819"/>
      <c r="P31" s="2819"/>
      <c r="Q31" s="2819"/>
      <c r="R31" s="2820"/>
      <c r="S31" s="2821"/>
      <c r="T31" s="2821"/>
      <c r="U31" s="2821"/>
      <c r="V31" s="2928"/>
    </row>
    <row r="32" spans="1:22" s="2929" customFormat="1" ht="13.15" customHeight="1">
      <c r="A32" s="2910">
        <v>4</v>
      </c>
      <c r="B32" s="2911" t="s">
        <v>2393</v>
      </c>
      <c r="C32" s="2912">
        <f>C23-C26-C29</f>
        <v>0</v>
      </c>
      <c r="D32" s="2913">
        <f>D23-D26-D29</f>
        <v>0</v>
      </c>
      <c r="E32" s="2914">
        <f>E23-E26-E29</f>
        <v>0</v>
      </c>
      <c r="F32" s="2915"/>
      <c r="G32" s="2821"/>
      <c r="H32" s="2829"/>
      <c r="I32" s="2830"/>
      <c r="J32" s="3785" t="s">
        <v>2394</v>
      </c>
      <c r="K32" s="3786"/>
      <c r="L32" s="2831" t="s">
        <v>2395</v>
      </c>
      <c r="M32" s="2831" t="s">
        <v>2284</v>
      </c>
      <c r="N32" s="2831" t="s">
        <v>2285</v>
      </c>
      <c r="O32" s="2831" t="s">
        <v>2286</v>
      </c>
      <c r="P32" s="2831" t="s">
        <v>2287</v>
      </c>
      <c r="Q32" s="2832" t="s">
        <v>2396</v>
      </c>
      <c r="R32" s="2951" t="s">
        <v>2397</v>
      </c>
      <c r="S32" s="2821"/>
      <c r="T32" s="2821"/>
      <c r="U32" s="2821"/>
      <c r="V32" s="2928"/>
    </row>
    <row r="33" spans="1:23" s="2834" customFormat="1" ht="13.15" customHeight="1">
      <c r="A33" s="2910"/>
      <c r="B33" s="2911"/>
      <c r="C33" s="2912"/>
      <c r="D33" s="2952"/>
      <c r="E33" s="2953"/>
      <c r="F33" s="2915"/>
      <c r="G33" s="2821"/>
      <c r="H33" s="2936"/>
      <c r="I33" s="2928"/>
      <c r="J33" s="3787" t="s">
        <v>2398</v>
      </c>
      <c r="K33" s="3788"/>
      <c r="L33" s="2837"/>
      <c r="M33" s="2837"/>
      <c r="N33" s="2837"/>
      <c r="O33" s="2837"/>
      <c r="P33" s="2837"/>
      <c r="Q33" s="2838"/>
      <c r="R33" s="2954">
        <f>SUM(L33:Q33)</f>
        <v>0</v>
      </c>
      <c r="S33" s="2821"/>
      <c r="T33" s="2821"/>
      <c r="U33" s="2821"/>
      <c r="V33" s="2830"/>
    </row>
    <row r="34" spans="1:23" s="2834" customFormat="1" ht="13.15" customHeight="1">
      <c r="A34" s="2910">
        <v>5</v>
      </c>
      <c r="B34" s="2911" t="s">
        <v>2399</v>
      </c>
      <c r="C34" s="2955"/>
      <c r="D34" s="2956"/>
      <c r="E34" s="2957"/>
      <c r="F34" s="2915"/>
      <c r="G34" s="2821"/>
      <c r="H34" s="2936"/>
      <c r="I34" s="2928"/>
      <c r="J34" s="3787" t="s">
        <v>2400</v>
      </c>
      <c r="K34" s="3788"/>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2401</v>
      </c>
      <c r="C35" s="2959"/>
      <c r="D35" s="2960"/>
      <c r="E35" s="2961"/>
      <c r="F35" s="2915"/>
      <c r="G35" s="2962"/>
      <c r="H35" s="2829"/>
      <c r="I35" s="2928"/>
      <c r="J35" s="2848" t="s">
        <v>2402</v>
      </c>
      <c r="K35" s="2849"/>
      <c r="L35" s="2849"/>
      <c r="M35" s="2850"/>
      <c r="N35" s="2850"/>
      <c r="O35" s="2850"/>
      <c r="P35" s="2850"/>
      <c r="Q35" s="2850"/>
      <c r="R35" s="2963">
        <f>R40+R41+R43</f>
        <v>0</v>
      </c>
      <c r="S35" s="2821"/>
      <c r="T35" s="2821" t="s">
        <v>2403</v>
      </c>
      <c r="U35" s="2821"/>
      <c r="V35" s="2830"/>
    </row>
    <row r="36" spans="1:23" s="2834" customFormat="1" ht="13.15" customHeight="1" thickBot="1">
      <c r="A36" s="2910">
        <v>7</v>
      </c>
      <c r="B36" s="2964" t="s">
        <v>2404</v>
      </c>
      <c r="C36" s="2965"/>
      <c r="D36" s="2966"/>
      <c r="E36" s="2967"/>
      <c r="F36" s="2968">
        <f>C36+D36+E36</f>
        <v>0</v>
      </c>
      <c r="G36" s="2821"/>
      <c r="H36" s="2829"/>
      <c r="I36" s="2830"/>
      <c r="J36" s="3779">
        <v>1</v>
      </c>
      <c r="K36" s="3780" t="s">
        <v>2405</v>
      </c>
      <c r="L36" s="2855"/>
      <c r="M36" s="2856"/>
      <c r="N36" s="2856"/>
      <c r="O36" s="2856"/>
      <c r="P36" s="2856"/>
      <c r="Q36" s="2856"/>
      <c r="R36" s="2839" t="s">
        <v>2306</v>
      </c>
      <c r="S36" s="2821"/>
      <c r="T36" s="2821" t="s">
        <v>2307</v>
      </c>
      <c r="U36" s="2821"/>
      <c r="V36" s="2830"/>
    </row>
    <row r="37" spans="1:23" s="2834" customFormat="1" ht="13.15" customHeight="1">
      <c r="A37" s="2910"/>
      <c r="B37" s="2911"/>
      <c r="C37" s="2911"/>
      <c r="D37" s="2911"/>
      <c r="E37" s="2911"/>
      <c r="F37" s="2915"/>
      <c r="G37" s="2821"/>
      <c r="H37" s="2829"/>
      <c r="I37" s="2830"/>
      <c r="J37" s="3779"/>
      <c r="K37" s="3781"/>
      <c r="L37" s="2864"/>
      <c r="M37" s="2865"/>
      <c r="N37" s="2841"/>
      <c r="O37" s="2866"/>
      <c r="P37" s="2866"/>
      <c r="Q37" s="2867"/>
      <c r="R37" s="2868"/>
      <c r="S37" s="2821"/>
      <c r="T37" s="2821" t="s">
        <v>2310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779"/>
      <c r="K38" s="3781"/>
      <c r="L38" s="2864"/>
      <c r="M38" s="2865"/>
      <c r="N38" s="2841"/>
      <c r="O38" s="2866"/>
      <c r="P38" s="2866"/>
      <c r="Q38" s="2867"/>
      <c r="R38" s="2868"/>
      <c r="S38" s="2821"/>
      <c r="T38" s="2821" t="s">
        <v>2317</v>
      </c>
      <c r="U38" s="2821"/>
      <c r="V38" s="2830"/>
    </row>
    <row r="39" spans="1:23" s="2834" customFormat="1" ht="13.15" customHeight="1">
      <c r="A39" s="2910">
        <v>9</v>
      </c>
      <c r="B39" s="2911" t="s">
        <v>2406</v>
      </c>
      <c r="C39" s="2878" t="e">
        <f>C38</f>
        <v>#DIV/0!</v>
      </c>
      <c r="D39" s="2911">
        <f>D38/(1+D34)^C36</f>
        <v>0</v>
      </c>
      <c r="E39" s="2911">
        <f>E38/(1+E34)^(C36+D36)</f>
        <v>0</v>
      </c>
      <c r="F39" s="2915"/>
      <c r="G39" s="2830"/>
      <c r="H39" s="2829"/>
      <c r="I39" s="2830"/>
      <c r="J39" s="3779"/>
      <c r="K39" s="3781"/>
      <c r="L39" s="2864"/>
      <c r="M39" s="2865"/>
      <c r="N39" s="2841"/>
      <c r="O39" s="2866"/>
      <c r="P39" s="2866"/>
      <c r="Q39" s="2867"/>
      <c r="R39" s="2868"/>
      <c r="S39" s="2821"/>
      <c r="T39" s="2821"/>
      <c r="U39" s="2821"/>
      <c r="V39" s="2830"/>
    </row>
    <row r="40" spans="1:23" s="2834" customFormat="1" ht="13.15" customHeight="1">
      <c r="A40" s="2969">
        <v>10</v>
      </c>
      <c r="B40" s="2911" t="s">
        <v>2407</v>
      </c>
      <c r="C40" s="2970" t="e">
        <f>C39+D39+E39</f>
        <v>#DIV/0!</v>
      </c>
      <c r="D40" s="2971"/>
      <c r="E40" s="2971"/>
      <c r="F40" s="2972"/>
      <c r="G40" s="2821"/>
      <c r="H40" s="2829"/>
      <c r="I40" s="2830"/>
      <c r="J40" s="3779"/>
      <c r="K40" s="3782"/>
      <c r="L40" s="2884" t="s">
        <v>2408</v>
      </c>
      <c r="M40" s="2885"/>
      <c r="N40" s="2885"/>
      <c r="O40" s="2886"/>
      <c r="P40" s="2886"/>
      <c r="Q40" s="2887"/>
      <c r="R40" s="2833">
        <f>SUM(R37:R39)</f>
        <v>0</v>
      </c>
      <c r="S40" s="2821"/>
      <c r="T40" s="2821"/>
      <c r="U40" s="2821"/>
      <c r="V40" s="2830"/>
    </row>
    <row r="41" spans="1:23" s="2834" customFormat="1" ht="13.15" customHeight="1" thickBot="1">
      <c r="A41" s="2973">
        <v>11</v>
      </c>
      <c r="B41" s="2974" t="s">
        <v>2409</v>
      </c>
      <c r="C41" s="2974" t="e">
        <f>ROUND(C40*10000/B4,0)</f>
        <v>#DIV/0!</v>
      </c>
      <c r="D41" s="2975"/>
      <c r="E41" s="2975"/>
      <c r="F41" s="2976"/>
      <c r="G41" s="2829"/>
      <c r="H41" s="2829"/>
      <c r="I41" s="2830"/>
      <c r="J41" s="2923">
        <v>2</v>
      </c>
      <c r="K41" s="2924" t="s">
        <v>2410</v>
      </c>
      <c r="L41" s="2925"/>
      <c r="M41" s="2925"/>
      <c r="N41" s="2925"/>
      <c r="O41" s="2925"/>
      <c r="P41" s="2926"/>
      <c r="Q41" s="2927"/>
      <c r="R41" s="2900">
        <f>ROUND(R40*Q41,0)</f>
        <v>0</v>
      </c>
      <c r="S41" s="2821"/>
      <c r="T41" s="2821"/>
      <c r="U41" s="2873"/>
      <c r="V41" s="2830"/>
    </row>
    <row r="42" spans="1:23" s="2834" customFormat="1" ht="13.15" customHeight="1">
      <c r="G42" s="2829"/>
      <c r="H42" s="2829"/>
      <c r="I42" s="2830"/>
      <c r="J42" s="3783">
        <v>3</v>
      </c>
      <c r="K42" s="2930" t="s">
        <v>2411</v>
      </c>
      <c r="L42" s="2931"/>
      <c r="M42" s="2932"/>
      <c r="N42" s="2933" t="s">
        <v>2412</v>
      </c>
      <c r="O42" s="2933" t="s">
        <v>2413</v>
      </c>
      <c r="P42" s="2934" t="s">
        <v>2414</v>
      </c>
      <c r="Q42" s="2934" t="s">
        <v>2415</v>
      </c>
      <c r="R42" s="2839" t="s">
        <v>2416</v>
      </c>
      <c r="S42" s="2873"/>
      <c r="T42" s="2873"/>
      <c r="U42" s="2821"/>
      <c r="V42" s="2830"/>
    </row>
    <row r="43" spans="1:23" ht="13.15" customHeight="1">
      <c r="A43" s="2834"/>
      <c r="B43" s="2834"/>
      <c r="C43" s="2834"/>
      <c r="D43" s="2834"/>
      <c r="E43" s="2834"/>
      <c r="F43" s="2834"/>
      <c r="I43" s="2816"/>
      <c r="J43" s="3784"/>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2417</v>
      </c>
      <c r="L44" s="2979" t="s">
        <v>2418</v>
      </c>
      <c r="M44" s="2945"/>
      <c r="N44" s="2979" t="s">
        <v>2419</v>
      </c>
      <c r="O44" s="2945"/>
      <c r="P44" s="2979" t="s">
        <v>2420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2" customWidth="1"/>
    <col min="2" max="2" width="26.625" style="1783" customWidth="1"/>
    <col min="3" max="3" width="11.125" style="1783" customWidth="1"/>
    <col min="4" max="5" width="11.125" style="1784" customWidth="1"/>
    <col min="6" max="6" width="9.5" style="1783" customWidth="1"/>
    <col min="7" max="7" width="31.875" style="1783" customWidth="1"/>
    <col min="8" max="25" width="9" style="1785" customWidth="1"/>
    <col min="26" max="254" width="9" style="1783" customWidth="1"/>
    <col min="255" max="16384" width="8.375" style="1783"/>
  </cols>
  <sheetData>
    <row r="1" spans="1:25" s="1669" customFormat="1" ht="20.25">
      <c r="A1" s="391" t="s">
        <v>551</v>
      </c>
      <c r="B1" s="679"/>
      <c r="C1" s="1779"/>
      <c r="D1" s="1779"/>
      <c r="E1" s="1779"/>
      <c r="F1" s="1779"/>
      <c r="G1" s="1713"/>
    </row>
    <row r="2" spans="1:25" s="1669" customFormat="1" ht="18" customHeight="1">
      <c r="A2" s="393" t="s">
        <v>427</v>
      </c>
      <c r="B2" s="395">
        <f ca="1">C23</f>
        <v>0</v>
      </c>
      <c r="C2" s="2763"/>
      <c r="D2" s="2763"/>
      <c r="E2" s="2763"/>
      <c r="F2" s="2763"/>
      <c r="G2" s="2763"/>
    </row>
    <row r="3" spans="1:25" s="1669" customFormat="1" ht="18" customHeight="1">
      <c r="A3" s="1168" t="s">
        <v>1218</v>
      </c>
      <c r="B3" s="395">
        <f ca="1">ROUND(B2*10000/'数据-汇总表'!E3,0)</f>
        <v>0</v>
      </c>
      <c r="C3" s="2763"/>
      <c r="D3" s="2763"/>
      <c r="E3" s="2763"/>
      <c r="F3" s="2763"/>
      <c r="G3" s="2763"/>
    </row>
    <row r="4" spans="1:25" s="1669" customFormat="1" ht="18" customHeight="1">
      <c r="A4" s="396" t="s">
        <v>428</v>
      </c>
      <c r="B4" s="397">
        <f ca="1">ROUND(B2*10000/'数据-汇总表'!D3,0)</f>
        <v>0</v>
      </c>
      <c r="C4" s="2723"/>
      <c r="D4" s="2763"/>
      <c r="E4" s="2763"/>
      <c r="F4" s="2763"/>
      <c r="G4" s="2763"/>
    </row>
    <row r="5" spans="1:25" s="1669" customFormat="1" ht="18" customHeight="1" thickBot="1">
      <c r="A5" s="399"/>
      <c r="B5" s="400">
        <f ca="1">ROUND(B2/('数据-汇总表'!D3/666.67),0)</f>
        <v>0</v>
      </c>
      <c r="C5" s="401" t="s">
        <v>429</v>
      </c>
      <c r="D5" s="2763"/>
      <c r="E5" s="2763"/>
      <c r="F5" s="2763"/>
      <c r="G5" s="2763"/>
    </row>
    <row r="6" spans="1:25" s="1780" customFormat="1" ht="13.5" customHeight="1">
      <c r="A6" s="680"/>
      <c r="B6" s="681" t="s">
        <v>552</v>
      </c>
      <c r="C6" s="682" t="s">
        <v>553</v>
      </c>
      <c r="D6" s="682" t="s">
        <v>554</v>
      </c>
      <c r="E6" s="683" t="s">
        <v>555</v>
      </c>
      <c r="F6" s="683" t="s">
        <v>556</v>
      </c>
      <c r="G6" s="2762" t="s">
        <v>2263</v>
      </c>
    </row>
    <row r="7" spans="1:25" s="1780" customFormat="1" ht="13.5" customHeight="1">
      <c r="A7" s="1978">
        <v>1</v>
      </c>
      <c r="B7" s="684" t="s">
        <v>557</v>
      </c>
      <c r="C7" s="685">
        <f>C8+C9</f>
        <v>0</v>
      </c>
      <c r="D7" s="685"/>
      <c r="E7" s="686"/>
      <c r="F7" s="686"/>
      <c r="G7" s="1987"/>
    </row>
    <row r="8" spans="1:25" s="1780" customFormat="1" ht="13.5" customHeight="1">
      <c r="A8" s="1978" t="s">
        <v>1781</v>
      </c>
      <c r="B8" s="1981" t="s">
        <v>1783</v>
      </c>
      <c r="C8" s="2766">
        <f>ROUND(D8*E8/10000,0)</f>
        <v>0</v>
      </c>
      <c r="D8" s="2766">
        <v>0</v>
      </c>
      <c r="E8" s="2767">
        <v>0</v>
      </c>
      <c r="F8" s="686"/>
      <c r="G8" s="687"/>
    </row>
    <row r="9" spans="1:25" s="1780" customFormat="1" ht="13.5" customHeight="1">
      <c r="A9" s="1978" t="s">
        <v>1782</v>
      </c>
      <c r="B9" s="1981" t="s">
        <v>1784</v>
      </c>
      <c r="C9" s="2766">
        <f>ROUND(D9*E9/10000,0)</f>
        <v>0</v>
      </c>
      <c r="D9" s="2766">
        <v>0</v>
      </c>
      <c r="E9" s="2767">
        <v>0</v>
      </c>
      <c r="F9" s="686"/>
      <c r="G9" s="687"/>
    </row>
    <row r="10" spans="1:25" s="1780" customFormat="1" ht="36">
      <c r="A10" s="1978">
        <v>2</v>
      </c>
      <c r="B10" s="684" t="s">
        <v>561</v>
      </c>
      <c r="C10" s="685">
        <f>C11+C14+C15</f>
        <v>0</v>
      </c>
      <c r="D10" s="695"/>
      <c r="E10" s="685"/>
      <c r="F10" s="696"/>
      <c r="G10" s="694" t="s">
        <v>562</v>
      </c>
    </row>
    <row r="11" spans="1:25" s="1780" customFormat="1" ht="13.5" customHeight="1">
      <c r="A11" s="1978" t="s">
        <v>1781</v>
      </c>
      <c r="B11" s="688" t="s">
        <v>558</v>
      </c>
      <c r="C11" s="689">
        <f>'数据-取费表'!B29</f>
        <v>0</v>
      </c>
      <c r="D11" s="690"/>
      <c r="E11" s="689"/>
      <c r="F11" s="691"/>
      <c r="G11" s="1986" t="s">
        <v>1792</v>
      </c>
    </row>
    <row r="12" spans="1:25" s="1780" customFormat="1" ht="13.5" customHeight="1">
      <c r="A12" s="1984" t="s">
        <v>1789</v>
      </c>
      <c r="B12" s="692" t="s">
        <v>559</v>
      </c>
      <c r="C12" s="693">
        <f>ROUND(D12*E12/10000,0)</f>
        <v>1462</v>
      </c>
      <c r="D12" s="2766">
        <f>'数据-汇总表'!E5</f>
        <v>91399.81</v>
      </c>
      <c r="E12" s="2766">
        <f>'数据-取费表'!B27</f>
        <v>160</v>
      </c>
      <c r="F12" s="691"/>
      <c r="G12" s="694"/>
    </row>
    <row r="13" spans="1:25" s="1780" customFormat="1" ht="13.5" customHeight="1">
      <c r="A13" s="1984" t="s">
        <v>1788</v>
      </c>
      <c r="B13" s="692" t="s">
        <v>560</v>
      </c>
      <c r="C13" s="693">
        <f>ROUND(D13*E13/10000,0)</f>
        <v>617</v>
      </c>
      <c r="D13" s="2766">
        <f>'数据-汇总表'!E6</f>
        <v>30832.100000000006</v>
      </c>
      <c r="E13" s="2766">
        <f>'数据-取费表'!B28</f>
        <v>200</v>
      </c>
      <c r="F13" s="691"/>
      <c r="G13" s="694"/>
    </row>
    <row r="14" spans="1:25" s="1780" customFormat="1" ht="13.5" customHeight="1">
      <c r="A14" s="1978" t="s">
        <v>1782</v>
      </c>
      <c r="B14" s="1983" t="s">
        <v>1785</v>
      </c>
      <c r="C14" s="2768">
        <f>ROUND(D14*E14/10000,0)</f>
        <v>0</v>
      </c>
      <c r="D14" s="2766">
        <v>0</v>
      </c>
      <c r="E14" s="2767">
        <v>0</v>
      </c>
      <c r="F14" s="1982"/>
      <c r="G14" s="1985" t="s">
        <v>1790</v>
      </c>
    </row>
    <row r="15" spans="1:25" s="1780" customFormat="1" ht="13.5" customHeight="1">
      <c r="A15" s="1978" t="s">
        <v>1787</v>
      </c>
      <c r="B15" s="1983" t="s">
        <v>1786</v>
      </c>
      <c r="C15" s="2768">
        <f>ROUND(D15*E15/10000,0)</f>
        <v>0</v>
      </c>
      <c r="D15" s="2766">
        <v>0</v>
      </c>
      <c r="E15" s="2767">
        <v>0</v>
      </c>
      <c r="F15" s="1982"/>
      <c r="G15" s="1985" t="s">
        <v>1791</v>
      </c>
    </row>
    <row r="16" spans="1:25" s="1781" customFormat="1" ht="48">
      <c r="A16" s="1978">
        <v>3</v>
      </c>
      <c r="B16" s="684" t="s">
        <v>563</v>
      </c>
      <c r="C16" s="2768">
        <f>ROUND(D16*E16/10000,0)</f>
        <v>0</v>
      </c>
      <c r="D16" s="2766">
        <v>0</v>
      </c>
      <c r="E16" s="2767">
        <v>0</v>
      </c>
      <c r="F16" s="696"/>
      <c r="G16" s="694" t="s">
        <v>1793</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5.5">
      <c r="A17" s="1979">
        <v>4</v>
      </c>
      <c r="B17" s="684" t="s">
        <v>564</v>
      </c>
      <c r="C17" s="2043">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4" t="s">
        <v>565</v>
      </c>
      <c r="C18" s="685">
        <f>ROUND((C7+C10+C16)*F18,0)</f>
        <v>0</v>
      </c>
      <c r="D18" s="697"/>
      <c r="E18" s="698"/>
      <c r="F18" s="1141"/>
      <c r="G18" s="700"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4" t="s">
        <v>567</v>
      </c>
      <c r="C19" s="685">
        <f ca="1">C7+C10+C16+C17+C18</f>
        <v>0</v>
      </c>
      <c r="D19" s="695"/>
      <c r="E19" s="685"/>
      <c r="F19" s="696"/>
      <c r="G19" s="700"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4.75">
      <c r="A20" s="1978">
        <v>7</v>
      </c>
      <c r="B20" s="684" t="s">
        <v>569</v>
      </c>
      <c r="C20" s="685">
        <f ca="1">ROUND(C19*F20,0)</f>
        <v>0</v>
      </c>
      <c r="D20" s="695"/>
      <c r="E20" s="685"/>
      <c r="F20" s="1141"/>
      <c r="G20" s="700"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4" t="s">
        <v>571</v>
      </c>
      <c r="C21" s="685">
        <f ca="1">C19+C20</f>
        <v>0</v>
      </c>
      <c r="D21" s="695"/>
      <c r="E21" s="685"/>
      <c r="F21" s="696"/>
      <c r="G21" s="700"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4" t="s">
        <v>573</v>
      </c>
      <c r="C22" s="685">
        <f ca="1">ROUND(C21*F22,0)</f>
        <v>0</v>
      </c>
      <c r="D22" s="695"/>
      <c r="E22" s="685"/>
      <c r="F22" s="701">
        <f>'数据-取费表'!AP16</f>
        <v>0.92600000000000005</v>
      </c>
      <c r="G22" s="700"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15" customHeight="1" thickBot="1">
      <c r="A23" s="1980">
        <v>10</v>
      </c>
      <c r="B23" s="702" t="s">
        <v>575</v>
      </c>
      <c r="C23" s="703">
        <f ca="1">C22</f>
        <v>0</v>
      </c>
      <c r="D23" s="704"/>
      <c r="E23" s="703"/>
      <c r="F23" s="705"/>
      <c r="G23" s="706"/>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D24" s="1625"/>
      <c r="E24" s="1625"/>
    </row>
    <row r="25" spans="1:25" s="2765" customFormat="1">
      <c r="A25" s="2764"/>
      <c r="D25" s="1625"/>
      <c r="E25" s="1625"/>
    </row>
    <row r="26" spans="1:25" s="2765" customFormat="1">
      <c r="A26" s="2764"/>
      <c r="D26" s="1625"/>
      <c r="E26" s="1625"/>
    </row>
    <row r="27" spans="1:25" s="2765" customFormat="1">
      <c r="A27" s="2764"/>
      <c r="D27" s="1625"/>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10" zoomScale="80" zoomScaleNormal="60" zoomScaleSheetLayoutView="80" workbookViewId="0">
      <selection activeCell="M32" sqref="M32"/>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7.625" style="1130" customWidth="1"/>
    <col min="6" max="6" width="12.25" style="1130" customWidth="1"/>
    <col min="7" max="7" width="16" style="1130" customWidth="1"/>
    <col min="8" max="8" width="12.25" style="1130" customWidth="1"/>
    <col min="9" max="9" width="16.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2075" t="s">
        <v>666</v>
      </c>
      <c r="C1" s="2076" t="s">
        <v>667</v>
      </c>
      <c r="D1" s="2077" t="s">
        <v>851</v>
      </c>
      <c r="E1" s="1732"/>
      <c r="F1" s="2115" t="s">
        <v>3700</v>
      </c>
      <c r="G1" s="1326" t="s">
        <v>668</v>
      </c>
      <c r="H1" s="457"/>
      <c r="I1" s="457"/>
      <c r="J1" s="457"/>
      <c r="K1" s="458"/>
      <c r="L1" s="2713"/>
      <c r="M1" s="2714"/>
      <c r="N1" s="2714"/>
      <c r="O1" s="2714"/>
      <c r="P1" s="455"/>
      <c r="Q1" s="455"/>
      <c r="R1" s="455"/>
      <c r="S1" s="455"/>
      <c r="T1" s="455"/>
      <c r="U1" s="455"/>
      <c r="V1" s="455"/>
      <c r="W1" s="455"/>
      <c r="X1" s="455"/>
      <c r="Y1" s="455"/>
      <c r="Z1" s="455"/>
      <c r="AA1" s="455"/>
      <c r="AB1" s="455"/>
      <c r="AC1" s="398"/>
    </row>
    <row r="2" spans="1:29" s="1154" customFormat="1" ht="28.5" customHeight="1">
      <c r="A2" s="393" t="s">
        <v>427</v>
      </c>
      <c r="B2" s="2074">
        <f>ROUND(B3*D3/10000,0)</f>
        <v>713248</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4" customFormat="1" ht="28.5" customHeight="1" thickBot="1">
      <c r="A3" s="460" t="s">
        <v>468</v>
      </c>
      <c r="B3" s="785">
        <f>C49</f>
        <v>78036</v>
      </c>
      <c r="C3" s="786" t="s">
        <v>669</v>
      </c>
      <c r="D3" s="785">
        <f>SUMIF('数据-汇总表'!$C19:$C33,D1,'数据-汇总表'!$E19:$E33)</f>
        <v>91399.81</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ht="15">
      <c r="A4" s="463" t="s">
        <v>470</v>
      </c>
      <c r="B4" s="464"/>
      <c r="C4" s="3708" t="s">
        <v>471</v>
      </c>
      <c r="D4" s="3709"/>
      <c r="E4" s="3734" t="s">
        <v>472</v>
      </c>
      <c r="F4" s="3735"/>
      <c r="G4" s="3708" t="s">
        <v>473</v>
      </c>
      <c r="H4" s="3709"/>
      <c r="I4" s="3708" t="s">
        <v>474</v>
      </c>
      <c r="J4" s="3709"/>
      <c r="K4" s="787" t="s">
        <v>475</v>
      </c>
      <c r="L4" s="1738"/>
      <c r="M4" s="1739"/>
      <c r="N4" s="1739"/>
      <c r="O4" s="1739"/>
      <c r="P4" s="3710" t="s">
        <v>476</v>
      </c>
      <c r="Q4" s="3711"/>
      <c r="R4" s="3694" t="s">
        <v>472</v>
      </c>
      <c r="S4" s="3695"/>
      <c r="T4" s="3694" t="s">
        <v>473</v>
      </c>
      <c r="U4" s="3695"/>
      <c r="V4" s="3716" t="s">
        <v>474</v>
      </c>
      <c r="W4" s="3716"/>
      <c r="X4" s="1300"/>
      <c r="Y4" s="3694" t="s">
        <v>476</v>
      </c>
      <c r="Z4" s="3695"/>
      <c r="AA4" s="3689" t="s">
        <v>472</v>
      </c>
      <c r="AB4" s="3689" t="s">
        <v>473</v>
      </c>
      <c r="AC4" s="3689" t="s">
        <v>474</v>
      </c>
    </row>
    <row r="5" spans="1:29" ht="15">
      <c r="A5" s="466"/>
      <c r="B5" s="467"/>
      <c r="C5" s="3719" t="s">
        <v>2174</v>
      </c>
      <c r="D5" s="3720"/>
      <c r="E5" s="3798" t="s">
        <v>3675</v>
      </c>
      <c r="F5" s="3737"/>
      <c r="G5" s="3799" t="s">
        <v>3698</v>
      </c>
      <c r="H5" s="3720"/>
      <c r="I5" s="3799" t="s">
        <v>3701</v>
      </c>
      <c r="J5" s="3720"/>
      <c r="K5" s="788"/>
      <c r="L5" s="1738"/>
      <c r="M5" s="1739"/>
      <c r="N5" s="1739"/>
      <c r="O5" s="1739"/>
      <c r="P5" s="3712"/>
      <c r="Q5" s="3713"/>
      <c r="R5" s="3696"/>
      <c r="S5" s="3697"/>
      <c r="T5" s="3696"/>
      <c r="U5" s="3697"/>
      <c r="V5" s="3716"/>
      <c r="W5" s="3716"/>
      <c r="X5" s="1300"/>
      <c r="Y5" s="3696"/>
      <c r="Z5" s="3697"/>
      <c r="AA5" s="3690"/>
      <c r="AB5" s="3690"/>
      <c r="AC5" s="3690"/>
    </row>
    <row r="6" spans="1:29" ht="15.75" thickBot="1">
      <c r="A6" s="468"/>
      <c r="B6" s="469"/>
      <c r="C6" s="3717" t="s">
        <v>2178</v>
      </c>
      <c r="D6" s="3718"/>
      <c r="E6" s="3738" t="s">
        <v>2178</v>
      </c>
      <c r="F6" s="3739"/>
      <c r="G6" s="3717" t="s">
        <v>2178</v>
      </c>
      <c r="H6" s="3718"/>
      <c r="I6" s="3717" t="s">
        <v>2178</v>
      </c>
      <c r="J6" s="3718"/>
      <c r="K6" s="788" t="s">
        <v>477</v>
      </c>
      <c r="L6" s="1738"/>
      <c r="M6" s="1739"/>
      <c r="N6" s="1739"/>
      <c r="O6" s="1739"/>
      <c r="P6" s="3714"/>
      <c r="Q6" s="3715"/>
      <c r="R6" s="3696"/>
      <c r="S6" s="3697"/>
      <c r="T6" s="3698"/>
      <c r="U6" s="3699"/>
      <c r="V6" s="3716"/>
      <c r="W6" s="3716"/>
      <c r="X6" s="1300"/>
      <c r="Y6" s="3698"/>
      <c r="Z6" s="3699"/>
      <c r="AA6" s="3691"/>
      <c r="AB6" s="3691"/>
      <c r="AC6" s="3691"/>
    </row>
    <row r="7" spans="1:29" s="1058" customFormat="1" ht="15.75" thickBot="1">
      <c r="A7" s="2206"/>
      <c r="B7" s="2213" t="s">
        <v>478</v>
      </c>
      <c r="C7" s="470">
        <f>'数据-取费表'!B2</f>
        <v>45789</v>
      </c>
      <c r="D7" s="471">
        <v>100</v>
      </c>
      <c r="E7" s="472">
        <v>45789</v>
      </c>
      <c r="F7" s="473">
        <f>SUMIF(58:58,YEAR(E7)&amp;"-"&amp;MONTH(E7),59:59)</f>
        <v>100</v>
      </c>
      <c r="G7" s="472">
        <v>45789</v>
      </c>
      <c r="H7" s="471">
        <f>SUMIF(58:58,YEAR(G7)&amp;"-"&amp;MONTH(G7),59:59)</f>
        <v>100</v>
      </c>
      <c r="I7" s="472">
        <v>45789</v>
      </c>
      <c r="J7" s="471">
        <f>SUMIF(58:58,YEAR(I7)&amp;"-"&amp;MONTH(I7),59:59)</f>
        <v>100</v>
      </c>
      <c r="K7" s="789"/>
      <c r="L7" s="1740"/>
      <c r="M7" s="1637"/>
      <c r="N7" s="1637"/>
      <c r="O7" s="1637"/>
      <c r="P7" s="3692" t="s">
        <v>479</v>
      </c>
      <c r="Q7" s="3701"/>
      <c r="R7" s="1301" t="s">
        <v>10</v>
      </c>
      <c r="S7" s="1302">
        <f t="shared" ref="S7:S15" si="0">F7</f>
        <v>100</v>
      </c>
      <c r="T7" s="1301" t="s">
        <v>10</v>
      </c>
      <c r="U7" s="1302">
        <f t="shared" ref="U7:U15" si="1">H7</f>
        <v>100</v>
      </c>
      <c r="V7" s="1301" t="s">
        <v>10</v>
      </c>
      <c r="W7" s="1302">
        <f t="shared" ref="W7:W15" si="2">J7</f>
        <v>100</v>
      </c>
      <c r="X7" s="1303"/>
      <c r="Y7" s="3692" t="s">
        <v>479</v>
      </c>
      <c r="Z7" s="3693"/>
      <c r="AA7" s="995">
        <f>D7/F7</f>
        <v>1</v>
      </c>
      <c r="AB7" s="995">
        <f>D7/H7</f>
        <v>1</v>
      </c>
      <c r="AC7" s="995">
        <f>D7/J7</f>
        <v>1</v>
      </c>
    </row>
    <row r="8" spans="1:29" s="1058" customFormat="1" ht="15.75" thickBot="1">
      <c r="A8" s="2207"/>
      <c r="B8" s="2214" t="s">
        <v>480</v>
      </c>
      <c r="C8" s="475" t="s">
        <v>524</v>
      </c>
      <c r="D8" s="471">
        <v>100</v>
      </c>
      <c r="E8" s="790" t="s">
        <v>3417</v>
      </c>
      <c r="F8" s="473">
        <f>SUMIF(61:61,E8,62:62)-SUMIF(61:61,C8,62:62)+100</f>
        <v>100</v>
      </c>
      <c r="G8" s="790" t="s">
        <v>3417</v>
      </c>
      <c r="H8" s="471">
        <f>SUMIF(61:61,G8,62:62)-SUMIF(61:61,C8,62:62)+100</f>
        <v>100</v>
      </c>
      <c r="I8" s="790" t="s">
        <v>3417</v>
      </c>
      <c r="J8" s="471">
        <f>SUMIF(61:61,I8,62:62)-SUMIF(61:61,C8,62:62)+100</f>
        <v>100</v>
      </c>
      <c r="K8" s="789"/>
      <c r="L8" s="1740"/>
      <c r="M8" s="1637"/>
      <c r="N8" s="1637"/>
      <c r="O8" s="1637"/>
      <c r="P8" s="3692" t="s">
        <v>482</v>
      </c>
      <c r="Q8" s="3693"/>
      <c r="R8" s="1301" t="s">
        <v>10</v>
      </c>
      <c r="S8" s="1302">
        <f t="shared" si="0"/>
        <v>100</v>
      </c>
      <c r="T8" s="1301" t="s">
        <v>10</v>
      </c>
      <c r="U8" s="1302">
        <f t="shared" si="1"/>
        <v>100</v>
      </c>
      <c r="V8" s="1301" t="s">
        <v>10</v>
      </c>
      <c r="W8" s="1302">
        <f t="shared" si="2"/>
        <v>100</v>
      </c>
      <c r="X8" s="1303"/>
      <c r="Y8" s="3692" t="s">
        <v>482</v>
      </c>
      <c r="Z8" s="3693"/>
      <c r="AA8" s="995">
        <f t="shared" ref="AA8:AA46" si="3">D8/F8</f>
        <v>1</v>
      </c>
      <c r="AB8" s="995">
        <f t="shared" ref="AB8:AB46" si="4">D8/H8</f>
        <v>1</v>
      </c>
      <c r="AC8" s="995">
        <f t="shared" ref="AC8:AC46" si="5">D8/J8</f>
        <v>1</v>
      </c>
    </row>
    <row r="9" spans="1:29" s="1058" customFormat="1" ht="15">
      <c r="A9" s="2208"/>
      <c r="B9" s="2215" t="s">
        <v>2033</v>
      </c>
      <c r="C9" s="3503" t="s">
        <v>3676</v>
      </c>
      <c r="D9" s="154">
        <v>100</v>
      </c>
      <c r="E9" s="792" t="s">
        <v>851</v>
      </c>
      <c r="F9" s="156">
        <f>SUMIF(63:63,E9,64:64)-SUMIF(63:63,C9,64:64)+100</f>
        <v>100</v>
      </c>
      <c r="G9" s="792" t="s">
        <v>851</v>
      </c>
      <c r="H9" s="154">
        <f>SUMIF(63:63,G9,64:64)-SUMIF(63:63,C9,64:64)+100</f>
        <v>100</v>
      </c>
      <c r="I9" s="792" t="s">
        <v>851</v>
      </c>
      <c r="J9" s="154">
        <f>SUMIF(63:63,I9,64:64)-SUMIF(63:63,C9,64:64)+100</f>
        <v>100</v>
      </c>
      <c r="K9" s="789"/>
      <c r="L9" s="1740"/>
      <c r="M9" s="1637"/>
      <c r="N9" s="1637"/>
      <c r="O9" s="1741"/>
      <c r="P9" s="3700" t="s">
        <v>484</v>
      </c>
      <c r="Q9" s="817" t="str">
        <f t="shared" ref="Q9:Q15" si="6">B9</f>
        <v>用途</v>
      </c>
      <c r="R9" s="1301" t="s">
        <v>5</v>
      </c>
      <c r="S9" s="1302">
        <f t="shared" si="0"/>
        <v>100</v>
      </c>
      <c r="T9" s="1301" t="s">
        <v>5</v>
      </c>
      <c r="U9" s="1302">
        <f t="shared" si="1"/>
        <v>100</v>
      </c>
      <c r="V9" s="1301" t="s">
        <v>5</v>
      </c>
      <c r="W9" s="1302">
        <f t="shared" si="2"/>
        <v>100</v>
      </c>
      <c r="X9" s="1303"/>
      <c r="Y9" s="3652" t="s">
        <v>485</v>
      </c>
      <c r="Z9" s="995" t="str">
        <f t="shared" ref="Z9:Z15" si="7">Q9</f>
        <v>用途</v>
      </c>
      <c r="AA9" s="995">
        <f t="shared" si="3"/>
        <v>1</v>
      </c>
      <c r="AB9" s="995">
        <f t="shared" si="4"/>
        <v>1</v>
      </c>
      <c r="AC9" s="995">
        <f t="shared" si="5"/>
        <v>1</v>
      </c>
    </row>
    <row r="10" spans="1:29" s="1131" customFormat="1" ht="27">
      <c r="A10" s="2209"/>
      <c r="B10" s="2214" t="s">
        <v>2034</v>
      </c>
      <c r="C10" s="3382"/>
      <c r="D10" s="235">
        <v>100</v>
      </c>
      <c r="E10" s="3383"/>
      <c r="F10" s="477">
        <f>SUMIF(65:65,E10,66:66)-SUMIF(65:65,C10,66:66)+100</f>
        <v>100</v>
      </c>
      <c r="G10" s="3382"/>
      <c r="H10" s="235">
        <f>SUMIF(65:65,G10,66:66)-SUMIF(65:65,C10,66:66)+100</f>
        <v>100</v>
      </c>
      <c r="I10" s="3382"/>
      <c r="J10" s="235">
        <f>SUMIF(65:65,I10,66:66)-SUMIF(65:65,C10,66:66)+100</f>
        <v>100</v>
      </c>
      <c r="K10" s="789"/>
      <c r="L10" s="1742"/>
      <c r="M10" s="1775"/>
      <c r="N10" s="1775"/>
      <c r="O10" s="1743"/>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0"/>
      <c r="B11" s="2214" t="s">
        <v>2035</v>
      </c>
      <c r="C11" s="483"/>
      <c r="D11" s="235">
        <v>100</v>
      </c>
      <c r="E11" s="484"/>
      <c r="F11" s="477">
        <f>LOOKUP(E11,68:68,69:69)-LOOKUP(C11,68:68,69:69)+100</f>
        <v>100</v>
      </c>
      <c r="G11" s="483"/>
      <c r="H11" s="235">
        <f>LOOKUP(G11,68:68,69:69)-LOOKUP(C11,68:68,69:69)+100</f>
        <v>100</v>
      </c>
      <c r="I11" s="483"/>
      <c r="J11" s="235">
        <f>LOOKUP(I11,68:68,69:69)-LOOKUP(C11,68:68,69:69)+100</f>
        <v>100</v>
      </c>
      <c r="K11" s="794"/>
      <c r="L11" s="1744"/>
      <c r="M11" s="1739"/>
      <c r="N11" s="1739"/>
      <c r="O11" s="1745"/>
      <c r="P11" s="3700"/>
      <c r="Q11" s="817" t="str">
        <f t="shared" si="6"/>
        <v>容积率</v>
      </c>
      <c r="R11" s="1301" t="s">
        <v>8</v>
      </c>
      <c r="S11" s="1302">
        <f t="shared" si="0"/>
        <v>100</v>
      </c>
      <c r="T11" s="1301" t="s">
        <v>8</v>
      </c>
      <c r="U11" s="1302">
        <f t="shared" si="1"/>
        <v>100</v>
      </c>
      <c r="V11" s="1301" t="s">
        <v>8</v>
      </c>
      <c r="W11" s="1302">
        <f t="shared" si="2"/>
        <v>100</v>
      </c>
      <c r="X11" s="1303"/>
      <c r="Y11" s="3652"/>
      <c r="Z11" s="995" t="str">
        <f t="shared" si="7"/>
        <v>容积率</v>
      </c>
      <c r="AA11" s="995">
        <f t="shared" si="3"/>
        <v>1</v>
      </c>
      <c r="AB11" s="995">
        <f t="shared" si="4"/>
        <v>1</v>
      </c>
      <c r="AC11" s="995">
        <f t="shared" si="5"/>
        <v>1</v>
      </c>
    </row>
    <row r="12" spans="1:29" s="1058" customFormat="1" ht="15">
      <c r="A12" s="2211"/>
      <c r="B12" s="2217">
        <v>111</v>
      </c>
      <c r="C12" s="478"/>
      <c r="D12" s="488">
        <v>100</v>
      </c>
      <c r="E12" s="478"/>
      <c r="F12" s="477">
        <f>SUMIF(70:70,E12,71:71)-SUMIF(70:70,C12,71:71)+100</f>
        <v>100</v>
      </c>
      <c r="G12" s="478"/>
      <c r="H12" s="235">
        <f>SUMIF(70:70,G12,71:71)-SUMIF(70:70,C12,71:71)+100</f>
        <v>100</v>
      </c>
      <c r="I12" s="478"/>
      <c r="J12" s="235">
        <f>SUMIF(70:70,I12,71:71)-SUMIF(70:70,C12,71:71)+100</f>
        <v>100</v>
      </c>
      <c r="K12" s="795"/>
      <c r="L12" s="1740"/>
      <c r="M12" s="1637"/>
      <c r="N12" s="1637"/>
      <c r="O12" s="1741"/>
      <c r="P12" s="3700"/>
      <c r="Q12" s="817">
        <f t="shared" si="6"/>
        <v>111</v>
      </c>
      <c r="R12" s="1301" t="s">
        <v>8</v>
      </c>
      <c r="S12" s="1302">
        <f t="shared" si="0"/>
        <v>100</v>
      </c>
      <c r="T12" s="1301" t="s">
        <v>8</v>
      </c>
      <c r="U12" s="1302">
        <f t="shared" si="1"/>
        <v>100</v>
      </c>
      <c r="V12" s="1301" t="s">
        <v>8</v>
      </c>
      <c r="W12" s="1302">
        <f t="shared" si="2"/>
        <v>100</v>
      </c>
      <c r="X12" s="1303"/>
      <c r="Y12" s="3652"/>
      <c r="Z12" s="995">
        <f t="shared" si="7"/>
        <v>111</v>
      </c>
      <c r="AA12" s="995">
        <f>D12/F12</f>
        <v>1</v>
      </c>
      <c r="AB12" s="995">
        <f>D12/H12</f>
        <v>1</v>
      </c>
      <c r="AC12" s="995">
        <f>D12/J12</f>
        <v>1</v>
      </c>
    </row>
    <row r="13" spans="1:29" ht="15">
      <c r="A13" s="2211"/>
      <c r="B13" s="2217">
        <v>111</v>
      </c>
      <c r="C13" s="489"/>
      <c r="D13" s="490">
        <v>100</v>
      </c>
      <c r="E13" s="489"/>
      <c r="F13" s="477">
        <f>SUMIF(72:72,E13,73:73)-SUMIF(72:72,C13,73:73)+100</f>
        <v>100</v>
      </c>
      <c r="G13" s="489"/>
      <c r="H13" s="490">
        <f>SUMIF(72:72,G13,73:73)-SUMIF(72:72,C13,73:73)+100</f>
        <v>100</v>
      </c>
      <c r="I13" s="489"/>
      <c r="J13" s="490">
        <f>SUMIF(72:72,I13,73:73)-SUMIF(72:72,C13,73:73)+100</f>
        <v>100</v>
      </c>
      <c r="K13" s="795"/>
      <c r="L13" s="1746"/>
      <c r="M13" s="1739"/>
      <c r="N13" s="1739"/>
      <c r="O13" s="1745"/>
      <c r="P13" s="3700"/>
      <c r="Q13" s="817">
        <f t="shared" si="6"/>
        <v>111</v>
      </c>
      <c r="R13" s="1301" t="s">
        <v>8</v>
      </c>
      <c r="S13" s="1302">
        <f t="shared" si="0"/>
        <v>100</v>
      </c>
      <c r="T13" s="1301" t="s">
        <v>8</v>
      </c>
      <c r="U13" s="1302">
        <f t="shared" si="1"/>
        <v>100</v>
      </c>
      <c r="V13" s="1301" t="s">
        <v>8</v>
      </c>
      <c r="W13" s="1302">
        <f t="shared" si="2"/>
        <v>100</v>
      </c>
      <c r="X13" s="1303"/>
      <c r="Y13" s="3652"/>
      <c r="Z13" s="995">
        <f t="shared" si="7"/>
        <v>111</v>
      </c>
      <c r="AA13" s="995">
        <f t="shared" si="3"/>
        <v>1</v>
      </c>
      <c r="AB13" s="995">
        <f t="shared" si="4"/>
        <v>1</v>
      </c>
      <c r="AC13" s="995">
        <f t="shared" si="5"/>
        <v>1</v>
      </c>
    </row>
    <row r="14" spans="1:29" ht="15.75" thickBot="1">
      <c r="A14" s="2212"/>
      <c r="B14" s="2218">
        <v>111</v>
      </c>
      <c r="C14" s="495"/>
      <c r="D14" s="496">
        <v>100</v>
      </c>
      <c r="E14" s="495"/>
      <c r="F14" s="796">
        <f>SUMIF(74:74,E14,75:75)-SUMIF(74:74,C14,75:75)+100</f>
        <v>100</v>
      </c>
      <c r="G14" s="495"/>
      <c r="H14" s="496">
        <f>SUMIF(74:74,G14,75:75)-SUMIF(74:74,C14,75:75)+100</f>
        <v>100</v>
      </c>
      <c r="I14" s="495"/>
      <c r="J14" s="496">
        <f>SUMIF(74:74,I14,75:75)-SUMIF(74:74,C14,75:75)+100</f>
        <v>100</v>
      </c>
      <c r="K14" s="795"/>
      <c r="L14" s="1746"/>
      <c r="M14" s="1739"/>
      <c r="N14" s="1739"/>
      <c r="O14" s="1745"/>
      <c r="P14" s="3700"/>
      <c r="Q14" s="817">
        <f t="shared" si="6"/>
        <v>111</v>
      </c>
      <c r="R14" s="1301" t="s">
        <v>8</v>
      </c>
      <c r="S14" s="1302">
        <f t="shared" si="0"/>
        <v>100</v>
      </c>
      <c r="T14" s="1301" t="s">
        <v>8</v>
      </c>
      <c r="U14" s="1302">
        <f t="shared" si="1"/>
        <v>100</v>
      </c>
      <c r="V14" s="1301" t="s">
        <v>8</v>
      </c>
      <c r="W14" s="1302">
        <f t="shared" si="2"/>
        <v>100</v>
      </c>
      <c r="X14" s="1303"/>
      <c r="Y14" s="3652"/>
      <c r="Z14" s="995">
        <f t="shared" si="7"/>
        <v>111</v>
      </c>
      <c r="AA14" s="995">
        <f t="shared" si="3"/>
        <v>1</v>
      </c>
      <c r="AB14" s="995">
        <f t="shared" si="4"/>
        <v>1</v>
      </c>
      <c r="AC14" s="995">
        <f t="shared" si="5"/>
        <v>1</v>
      </c>
    </row>
    <row r="15" spans="1:29" ht="42.75">
      <c r="A15" s="2204"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6"/>
      <c r="M15" s="1739"/>
      <c r="N15" s="1739"/>
      <c r="O15" s="1745"/>
      <c r="P15" s="3702" t="s">
        <v>489</v>
      </c>
      <c r="Q15" s="1304" t="str">
        <f t="shared" si="6"/>
        <v>居住社区成熟度</v>
      </c>
      <c r="R15" s="1305" t="s">
        <v>8</v>
      </c>
      <c r="S15" s="1306">
        <f t="shared" si="0"/>
        <v>100</v>
      </c>
      <c r="T15" s="1305" t="s">
        <v>8</v>
      </c>
      <c r="U15" s="1306">
        <f t="shared" si="1"/>
        <v>100</v>
      </c>
      <c r="V15" s="1305" t="s">
        <v>8</v>
      </c>
      <c r="W15" s="1306">
        <f t="shared" si="2"/>
        <v>100</v>
      </c>
      <c r="X15" s="1300"/>
      <c r="Y15" s="3702" t="s">
        <v>489</v>
      </c>
      <c r="Z15" s="1307" t="str">
        <f t="shared" si="7"/>
        <v>居住社区成熟度</v>
      </c>
      <c r="AA15" s="1307">
        <f t="shared" si="3"/>
        <v>1</v>
      </c>
      <c r="AB15" s="1307">
        <f t="shared" si="4"/>
        <v>1</v>
      </c>
      <c r="AC15" s="1307">
        <f t="shared" si="5"/>
        <v>1</v>
      </c>
    </row>
    <row r="16" spans="1:29" ht="15">
      <c r="A16" s="482"/>
      <c r="B16" s="799"/>
      <c r="C16" s="526" t="s">
        <v>3329</v>
      </c>
      <c r="D16" s="505"/>
      <c r="E16" s="526" t="s">
        <v>3329</v>
      </c>
      <c r="F16" s="507"/>
      <c r="G16" s="526" t="s">
        <v>3329</v>
      </c>
      <c r="H16" s="509"/>
      <c r="I16" s="506" t="s">
        <v>3329</v>
      </c>
      <c r="J16" s="505"/>
      <c r="K16" s="800"/>
      <c r="L16" s="1746"/>
      <c r="M16" s="1739"/>
      <c r="N16" s="1739"/>
      <c r="O16" s="1745"/>
      <c r="P16" s="3703"/>
      <c r="Q16" s="1304"/>
      <c r="R16" s="1305"/>
      <c r="S16" s="1306"/>
      <c r="T16" s="1305"/>
      <c r="U16" s="1306"/>
      <c r="V16" s="1305"/>
      <c r="W16" s="1306"/>
      <c r="X16" s="1300"/>
      <c r="Y16" s="3703"/>
      <c r="Z16" s="1307"/>
      <c r="AA16" s="1307">
        <v>1</v>
      </c>
      <c r="AB16" s="1307">
        <v>1</v>
      </c>
      <c r="AC16" s="1307">
        <v>1</v>
      </c>
    </row>
    <row r="17" spans="1:29" ht="42.75">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3699</v>
      </c>
      <c r="J17" s="515">
        <f>SUMIF(78:78,I18,79:79)-SUMIF(78:78,C18,79:79)+100</f>
        <v>100</v>
      </c>
      <c r="K17" s="798">
        <f>'比较法-住宅、综合'!K23</f>
        <v>2</v>
      </c>
      <c r="L17" s="1746"/>
      <c r="M17" s="1739"/>
      <c r="N17" s="1739"/>
      <c r="O17" s="1745"/>
      <c r="P17" s="3703"/>
      <c r="Q17" s="1304" t="str">
        <f>B17</f>
        <v>交通便捷度</v>
      </c>
      <c r="R17" s="1305" t="s">
        <v>8</v>
      </c>
      <c r="S17" s="1306">
        <f>F17</f>
        <v>100</v>
      </c>
      <c r="T17" s="1305" t="s">
        <v>8</v>
      </c>
      <c r="U17" s="1306">
        <f>H17</f>
        <v>100</v>
      </c>
      <c r="V17" s="1305" t="s">
        <v>8</v>
      </c>
      <c r="W17" s="1306">
        <f>J17</f>
        <v>100</v>
      </c>
      <c r="X17" s="1300"/>
      <c r="Y17" s="3703"/>
      <c r="Z17" s="1307" t="str">
        <f>Q17</f>
        <v>交通便捷度</v>
      </c>
      <c r="AA17" s="1307">
        <f t="shared" si="3"/>
        <v>1</v>
      </c>
      <c r="AB17" s="1307">
        <f t="shared" si="4"/>
        <v>1</v>
      </c>
      <c r="AC17" s="1307">
        <f t="shared" si="5"/>
        <v>1</v>
      </c>
    </row>
    <row r="18" spans="1:29" ht="15">
      <c r="A18" s="482"/>
      <c r="B18" s="544"/>
      <c r="C18" s="802" t="s">
        <v>3329</v>
      </c>
      <c r="D18" s="509"/>
      <c r="E18" s="802" t="s">
        <v>3329</v>
      </c>
      <c r="F18" s="513"/>
      <c r="G18" s="802" t="s">
        <v>3329</v>
      </c>
      <c r="H18" s="505"/>
      <c r="I18" s="518" t="s">
        <v>3329</v>
      </c>
      <c r="J18" s="505"/>
      <c r="K18" s="800"/>
      <c r="L18" s="1746"/>
      <c r="M18" s="1739"/>
      <c r="N18" s="1739"/>
      <c r="O18" s="1745"/>
      <c r="P18" s="3703"/>
      <c r="Q18" s="1304"/>
      <c r="R18" s="1305"/>
      <c r="S18" s="1306"/>
      <c r="T18" s="1305"/>
      <c r="U18" s="1306"/>
      <c r="V18" s="1305"/>
      <c r="W18" s="1306"/>
      <c r="X18" s="1300"/>
      <c r="Y18" s="3703"/>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6"/>
      <c r="M19" s="1739"/>
      <c r="N19" s="1739"/>
      <c r="O19" s="1745"/>
      <c r="P19" s="3703"/>
      <c r="Q19" s="1304" t="str">
        <f>B19</f>
        <v>公共配套设施</v>
      </c>
      <c r="R19" s="1305" t="s">
        <v>8</v>
      </c>
      <c r="S19" s="1306">
        <f>F19</f>
        <v>100</v>
      </c>
      <c r="T19" s="1305" t="s">
        <v>8</v>
      </c>
      <c r="U19" s="1306">
        <f>H19</f>
        <v>100</v>
      </c>
      <c r="V19" s="1305" t="s">
        <v>8</v>
      </c>
      <c r="W19" s="1306">
        <f>J19</f>
        <v>100</v>
      </c>
      <c r="X19" s="1300"/>
      <c r="Y19" s="3703"/>
      <c r="Z19" s="1307" t="str">
        <f>Q19</f>
        <v>公共配套设施</v>
      </c>
      <c r="AA19" s="1307">
        <f t="shared" si="3"/>
        <v>1</v>
      </c>
      <c r="AB19" s="1307">
        <f t="shared" si="4"/>
        <v>1</v>
      </c>
      <c r="AC19" s="1307">
        <f t="shared" si="5"/>
        <v>1</v>
      </c>
    </row>
    <row r="20" spans="1:29" ht="15">
      <c r="A20" s="482"/>
      <c r="B20" s="544"/>
      <c r="C20" s="526" t="s">
        <v>3329</v>
      </c>
      <c r="D20" s="505"/>
      <c r="E20" s="526" t="s">
        <v>3329</v>
      </c>
      <c r="F20" s="507"/>
      <c r="G20" s="526" t="s">
        <v>3329</v>
      </c>
      <c r="H20" s="505"/>
      <c r="I20" s="506" t="s">
        <v>3329</v>
      </c>
      <c r="J20" s="505"/>
      <c r="K20" s="800"/>
      <c r="L20" s="1746"/>
      <c r="M20" s="1739"/>
      <c r="N20" s="1739"/>
      <c r="O20" s="1745"/>
      <c r="P20" s="3703"/>
      <c r="Q20" s="1304"/>
      <c r="R20" s="1305"/>
      <c r="S20" s="1306"/>
      <c r="T20" s="1305"/>
      <c r="U20" s="1306"/>
      <c r="V20" s="1305"/>
      <c r="W20" s="1306"/>
      <c r="X20" s="1300"/>
      <c r="Y20" s="3703"/>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6"/>
      <c r="M21" s="1739"/>
      <c r="N21" s="1739"/>
      <c r="O21" s="1745"/>
      <c r="P21" s="3703"/>
      <c r="Q21" s="1304" t="str">
        <f>B21</f>
        <v>基础设施水平</v>
      </c>
      <c r="R21" s="1305" t="s">
        <v>8</v>
      </c>
      <c r="S21" s="1306">
        <f>F21</f>
        <v>100</v>
      </c>
      <c r="T21" s="1305" t="s">
        <v>8</v>
      </c>
      <c r="U21" s="1306">
        <f>H21</f>
        <v>100</v>
      </c>
      <c r="V21" s="1305" t="s">
        <v>8</v>
      </c>
      <c r="W21" s="1306">
        <f>J21</f>
        <v>100</v>
      </c>
      <c r="X21" s="1300"/>
      <c r="Y21" s="3703"/>
      <c r="Z21" s="1307" t="str">
        <f>Q21</f>
        <v>基础设施水平</v>
      </c>
      <c r="AA21" s="1307">
        <f>D21/F21</f>
        <v>1</v>
      </c>
      <c r="AB21" s="1307">
        <f>D21/H21</f>
        <v>1</v>
      </c>
      <c r="AC21" s="1307">
        <f>D21/J21</f>
        <v>1</v>
      </c>
    </row>
    <row r="22" spans="1:29" ht="15">
      <c r="A22" s="482"/>
      <c r="B22" s="843"/>
      <c r="C22" s="802" t="s">
        <v>3332</v>
      </c>
      <c r="D22" s="505"/>
      <c r="E22" s="802" t="s">
        <v>3332</v>
      </c>
      <c r="F22" s="507"/>
      <c r="G22" s="802" t="s">
        <v>3332</v>
      </c>
      <c r="H22" s="505"/>
      <c r="I22" s="802" t="s">
        <v>3332</v>
      </c>
      <c r="J22" s="505"/>
      <c r="K22" s="2055"/>
      <c r="L22" s="1746"/>
      <c r="M22" s="1739"/>
      <c r="N22" s="1739"/>
      <c r="O22" s="1745"/>
      <c r="P22" s="3703"/>
      <c r="Q22" s="1304"/>
      <c r="R22" s="1305"/>
      <c r="S22" s="1306"/>
      <c r="T22" s="1305"/>
      <c r="U22" s="1306"/>
      <c r="V22" s="1305"/>
      <c r="W22" s="1306"/>
      <c r="X22" s="1300"/>
      <c r="Y22" s="3703"/>
      <c r="Z22" s="1307"/>
      <c r="AA22" s="1307">
        <v>1</v>
      </c>
      <c r="AB22" s="1307">
        <v>1</v>
      </c>
      <c r="AC22" s="1307">
        <v>1</v>
      </c>
    </row>
    <row r="23" spans="1:29" ht="28.5">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6"/>
      <c r="M23" s="1739"/>
      <c r="N23" s="1739"/>
      <c r="O23" s="1745"/>
      <c r="P23" s="3703"/>
      <c r="Q23" s="1304" t="str">
        <f>B23</f>
        <v>自然及人文环境</v>
      </c>
      <c r="R23" s="1305" t="s">
        <v>8</v>
      </c>
      <c r="S23" s="1306">
        <f>F23</f>
        <v>100</v>
      </c>
      <c r="T23" s="1305" t="s">
        <v>8</v>
      </c>
      <c r="U23" s="1306">
        <f>H23</f>
        <v>100</v>
      </c>
      <c r="V23" s="1305" t="s">
        <v>8</v>
      </c>
      <c r="W23" s="1306">
        <f>J23</f>
        <v>100</v>
      </c>
      <c r="X23" s="1300"/>
      <c r="Y23" s="3703"/>
      <c r="Z23" s="1307" t="str">
        <f>Q23</f>
        <v>自然及人文环境</v>
      </c>
      <c r="AA23" s="1307">
        <f t="shared" si="3"/>
        <v>1</v>
      </c>
      <c r="AB23" s="1307">
        <f t="shared" si="4"/>
        <v>1</v>
      </c>
      <c r="AC23" s="1307">
        <f t="shared" si="5"/>
        <v>1</v>
      </c>
    </row>
    <row r="24" spans="1:29" ht="15">
      <c r="A24" s="482"/>
      <c r="B24" s="544"/>
      <c r="C24" s="526" t="s">
        <v>3329</v>
      </c>
      <c r="D24" s="505"/>
      <c r="E24" s="526" t="s">
        <v>3329</v>
      </c>
      <c r="F24" s="507"/>
      <c r="G24" s="526" t="s">
        <v>3329</v>
      </c>
      <c r="H24" s="505"/>
      <c r="I24" s="506" t="s">
        <v>3329</v>
      </c>
      <c r="J24" s="505"/>
      <c r="K24" s="800"/>
      <c r="L24" s="1746"/>
      <c r="M24" s="1739"/>
      <c r="N24" s="1739"/>
      <c r="O24" s="1745"/>
      <c r="P24" s="3703"/>
      <c r="Q24" s="1304"/>
      <c r="R24" s="1305"/>
      <c r="S24" s="1306"/>
      <c r="T24" s="1305"/>
      <c r="U24" s="1306"/>
      <c r="V24" s="1305"/>
      <c r="W24" s="1306"/>
      <c r="X24" s="1300"/>
      <c r="Y24" s="3703"/>
      <c r="Z24" s="1307"/>
      <c r="AA24" s="1307">
        <v>1</v>
      </c>
      <c r="AB24" s="1307">
        <v>1</v>
      </c>
      <c r="AC24" s="1307">
        <v>1</v>
      </c>
    </row>
    <row r="25" spans="1:29" ht="15">
      <c r="A25" s="482"/>
      <c r="B25" s="1551" t="s">
        <v>1612</v>
      </c>
      <c r="C25" s="524"/>
      <c r="D25" s="490">
        <v>100</v>
      </c>
      <c r="E25" s="803"/>
      <c r="F25" s="525">
        <f>SUMIF(86:86,E25,87:87)-SUMIF(86:86,C25,87:87)+100</f>
        <v>100</v>
      </c>
      <c r="G25" s="548"/>
      <c r="H25" s="490">
        <f>SUMIF(86:86,G25,87:87)-SUMIF(86:86,C25,87:87)+100</f>
        <v>100</v>
      </c>
      <c r="I25" s="803"/>
      <c r="J25" s="490">
        <f>SUMIF(86:86,I25,87:87)-SUMIF(86:86,C25,87:87)+100</f>
        <v>100</v>
      </c>
      <c r="K25" s="794"/>
      <c r="L25" s="1746"/>
      <c r="M25" s="1739"/>
      <c r="N25" s="1739"/>
      <c r="O25" s="1745"/>
      <c r="P25" s="3703"/>
      <c r="Q25" s="1304" t="str">
        <f t="shared" ref="Q25:Q46" si="8">B25</f>
        <v>楼层-1</v>
      </c>
      <c r="R25" s="1305" t="s">
        <v>8</v>
      </c>
      <c r="S25" s="1306">
        <f>F25</f>
        <v>100</v>
      </c>
      <c r="T25" s="1305" t="s">
        <v>8</v>
      </c>
      <c r="U25" s="1306">
        <f>H25</f>
        <v>100</v>
      </c>
      <c r="V25" s="1305" t="s">
        <v>8</v>
      </c>
      <c r="W25" s="1306">
        <f>J25</f>
        <v>100</v>
      </c>
      <c r="X25" s="1300"/>
      <c r="Y25" s="3703"/>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6"/>
      <c r="M26" s="1739"/>
      <c r="N26" s="1739"/>
      <c r="O26" s="1745"/>
      <c r="P26" s="3703"/>
      <c r="Q26" s="1304" t="str">
        <f t="shared" si="8"/>
        <v>朝向</v>
      </c>
      <c r="R26" s="1305" t="s">
        <v>8</v>
      </c>
      <c r="S26" s="1306">
        <f>F26</f>
        <v>100</v>
      </c>
      <c r="T26" s="1305" t="s">
        <v>8</v>
      </c>
      <c r="U26" s="1306">
        <f>H26</f>
        <v>100</v>
      </c>
      <c r="V26" s="1305" t="s">
        <v>8</v>
      </c>
      <c r="W26" s="1306">
        <f>J26</f>
        <v>100</v>
      </c>
      <c r="X26" s="1300"/>
      <c r="Y26" s="3703"/>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0"/>
      <c r="M27" s="1637"/>
      <c r="N27" s="1637"/>
      <c r="O27" s="1741"/>
      <c r="P27" s="3703"/>
      <c r="Q27" s="817" t="str">
        <f t="shared" si="8"/>
        <v>道路级别</v>
      </c>
      <c r="R27" s="1301" t="s">
        <v>8</v>
      </c>
      <c r="S27" s="1302">
        <f>F27</f>
        <v>100</v>
      </c>
      <c r="T27" s="1301" t="s">
        <v>8</v>
      </c>
      <c r="U27" s="1302">
        <f>H27</f>
        <v>100</v>
      </c>
      <c r="V27" s="1301" t="s">
        <v>8</v>
      </c>
      <c r="W27" s="1302">
        <f>J27</f>
        <v>100</v>
      </c>
      <c r="X27" s="1303"/>
      <c r="Y27" s="3703"/>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6"/>
      <c r="M28" s="1739"/>
      <c r="N28" s="1739"/>
      <c r="O28" s="1745"/>
      <c r="P28" s="3703"/>
      <c r="Q28" s="1304">
        <f t="shared" si="8"/>
        <v>111</v>
      </c>
      <c r="R28" s="1305" t="s">
        <v>8</v>
      </c>
      <c r="S28" s="1306">
        <f t="shared" ref="S28:S46" si="9">F28</f>
        <v>100</v>
      </c>
      <c r="T28" s="1305" t="s">
        <v>8</v>
      </c>
      <c r="U28" s="1306">
        <f t="shared" ref="U28:U46" si="10">H28</f>
        <v>100</v>
      </c>
      <c r="V28" s="1305" t="s">
        <v>8</v>
      </c>
      <c r="W28" s="1306">
        <f t="shared" ref="W28:W46" si="11">J28</f>
        <v>100</v>
      </c>
      <c r="X28" s="1300"/>
      <c r="Y28" s="3703"/>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6"/>
      <c r="M29" s="1739"/>
      <c r="N29" s="1739"/>
      <c r="O29" s="1745"/>
      <c r="P29" s="3703"/>
      <c r="Q29" s="1304">
        <f t="shared" si="8"/>
        <v>111</v>
      </c>
      <c r="R29" s="1305" t="s">
        <v>8</v>
      </c>
      <c r="S29" s="1306">
        <f t="shared" si="9"/>
        <v>100</v>
      </c>
      <c r="T29" s="1305" t="s">
        <v>8</v>
      </c>
      <c r="U29" s="1306">
        <f t="shared" si="10"/>
        <v>100</v>
      </c>
      <c r="V29" s="1305" t="s">
        <v>8</v>
      </c>
      <c r="W29" s="1306">
        <f t="shared" si="11"/>
        <v>100</v>
      </c>
      <c r="X29" s="1300"/>
      <c r="Y29" s="3703"/>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6"/>
      <c r="M30" s="1739"/>
      <c r="N30" s="1739"/>
      <c r="O30" s="1745"/>
      <c r="P30" s="3703"/>
      <c r="Q30" s="1304">
        <f t="shared" si="8"/>
        <v>111</v>
      </c>
      <c r="R30" s="1305" t="s">
        <v>8</v>
      </c>
      <c r="S30" s="1306">
        <f t="shared" si="9"/>
        <v>100</v>
      </c>
      <c r="T30" s="1305" t="s">
        <v>8</v>
      </c>
      <c r="U30" s="1306">
        <f t="shared" si="10"/>
        <v>100</v>
      </c>
      <c r="V30" s="1305" t="s">
        <v>8</v>
      </c>
      <c r="W30" s="1306">
        <f t="shared" si="11"/>
        <v>100</v>
      </c>
      <c r="X30" s="1300"/>
      <c r="Y30" s="3703"/>
      <c r="Z30" s="1307">
        <f t="shared" si="12"/>
        <v>111</v>
      </c>
      <c r="AA30" s="1307">
        <f t="shared" si="3"/>
        <v>1</v>
      </c>
      <c r="AB30" s="1307">
        <f t="shared" si="4"/>
        <v>1</v>
      </c>
      <c r="AC30" s="1307">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6"/>
      <c r="M31" s="1739"/>
      <c r="N31" s="1739"/>
      <c r="O31" s="1745"/>
      <c r="P31" s="3703"/>
      <c r="Q31" s="1304">
        <f t="shared" si="8"/>
        <v>111</v>
      </c>
      <c r="R31" s="1305" t="s">
        <v>8</v>
      </c>
      <c r="S31" s="1306">
        <f t="shared" si="9"/>
        <v>100</v>
      </c>
      <c r="T31" s="1305" t="s">
        <v>8</v>
      </c>
      <c r="U31" s="1306">
        <f t="shared" si="10"/>
        <v>100</v>
      </c>
      <c r="V31" s="1305" t="s">
        <v>8</v>
      </c>
      <c r="W31" s="1306">
        <f t="shared" si="11"/>
        <v>100</v>
      </c>
      <c r="X31" s="1300"/>
      <c r="Y31" s="3703"/>
      <c r="Z31" s="1307">
        <f t="shared" si="12"/>
        <v>111</v>
      </c>
      <c r="AA31" s="1307">
        <f t="shared" si="3"/>
        <v>1</v>
      </c>
      <c r="AB31" s="1307">
        <f t="shared" si="4"/>
        <v>1</v>
      </c>
      <c r="AC31" s="1307">
        <f t="shared" si="5"/>
        <v>1</v>
      </c>
    </row>
    <row r="32" spans="1:29" ht="15">
      <c r="A32" s="2201" t="s">
        <v>2032</v>
      </c>
      <c r="B32" s="156" t="s">
        <v>672</v>
      </c>
      <c r="C32" s="804" t="s">
        <v>3693</v>
      </c>
      <c r="D32" s="546">
        <v>100</v>
      </c>
      <c r="E32" s="804" t="s">
        <v>3693</v>
      </c>
      <c r="F32" s="525">
        <f>SUMIF(100:100,E32,101:101)-SUMIF(100:100,C32,101:101)+100</f>
        <v>100</v>
      </c>
      <c r="G32" s="804" t="s">
        <v>3693</v>
      </c>
      <c r="H32" s="546">
        <f>SUMIF(100:100,G32,101:101)-SUMIF(100:100,C32,101:101)+100</f>
        <v>100</v>
      </c>
      <c r="I32" s="804" t="s">
        <v>3693</v>
      </c>
      <c r="J32" s="490">
        <f>SUMIF(100:100,I32,101:101)-SUMIF(100:100,C32,101:101)+100</f>
        <v>100</v>
      </c>
      <c r="K32" s="794"/>
      <c r="L32" s="1746"/>
      <c r="M32" s="1739"/>
      <c r="N32" s="1739"/>
      <c r="O32" s="1745"/>
      <c r="P32" s="3704" t="s">
        <v>499</v>
      </c>
      <c r="Q32" s="1304" t="str">
        <f t="shared" si="8"/>
        <v>建筑类型</v>
      </c>
      <c r="R32" s="1305" t="s">
        <v>8</v>
      </c>
      <c r="S32" s="1306">
        <f t="shared" si="9"/>
        <v>100</v>
      </c>
      <c r="T32" s="1305" t="s">
        <v>8</v>
      </c>
      <c r="U32" s="1306">
        <f t="shared" si="10"/>
        <v>100</v>
      </c>
      <c r="V32" s="1305" t="s">
        <v>8</v>
      </c>
      <c r="W32" s="1306">
        <f t="shared" si="11"/>
        <v>100</v>
      </c>
      <c r="X32" s="1300"/>
      <c r="Y32" s="3705" t="s">
        <v>499</v>
      </c>
      <c r="Z32" s="1307" t="str">
        <f t="shared" si="12"/>
        <v>建筑类型</v>
      </c>
      <c r="AA32" s="1307">
        <f t="shared" si="3"/>
        <v>1</v>
      </c>
      <c r="AB32" s="1307">
        <f t="shared" si="4"/>
        <v>1</v>
      </c>
      <c r="AC32" s="1307">
        <f t="shared" si="5"/>
        <v>1</v>
      </c>
    </row>
    <row r="33" spans="1:29" s="1132"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4"/>
      <c r="M33" s="1768"/>
      <c r="N33" s="1768"/>
      <c r="O33" s="1747"/>
      <c r="P33" s="3705"/>
      <c r="Q33" s="818" t="str">
        <f t="shared" si="8"/>
        <v>项目建筑规模</v>
      </c>
      <c r="R33" s="1308" t="s">
        <v>8</v>
      </c>
      <c r="S33" s="1309">
        <f t="shared" si="9"/>
        <v>100</v>
      </c>
      <c r="T33" s="1308" t="s">
        <v>8</v>
      </c>
      <c r="U33" s="1309">
        <f t="shared" si="10"/>
        <v>100</v>
      </c>
      <c r="V33" s="1308" t="s">
        <v>8</v>
      </c>
      <c r="W33" s="1309">
        <f t="shared" si="11"/>
        <v>100</v>
      </c>
      <c r="X33" s="1310"/>
      <c r="Y33" s="3705"/>
      <c r="Z33" s="1311" t="str">
        <f t="shared" si="12"/>
        <v>项目建筑规模</v>
      </c>
      <c r="AA33" s="1307">
        <f t="shared" si="3"/>
        <v>1</v>
      </c>
      <c r="AB33" s="1307">
        <f t="shared" si="4"/>
        <v>1</v>
      </c>
      <c r="AC33" s="1307">
        <f t="shared" si="5"/>
        <v>1</v>
      </c>
    </row>
    <row r="34" spans="1:29" ht="15">
      <c r="A34" s="543"/>
      <c r="B34" s="477" t="s">
        <v>674</v>
      </c>
      <c r="C34" s="524" t="s">
        <v>3694</v>
      </c>
      <c r="D34" s="490">
        <v>100</v>
      </c>
      <c r="E34" s="524" t="s">
        <v>3694</v>
      </c>
      <c r="F34" s="525">
        <f>SUMIF(105:105,E34,106:106)-SUMIF(105:105,C34,106:106)+100</f>
        <v>100</v>
      </c>
      <c r="G34" s="524" t="s">
        <v>3694</v>
      </c>
      <c r="H34" s="490">
        <f>SUMIF(105:105,G34,106:106)-SUMIF(105:105,C34,106:106)+100</f>
        <v>100</v>
      </c>
      <c r="I34" s="524" t="s">
        <v>3694</v>
      </c>
      <c r="J34" s="490">
        <f>SUMIF(105:105,I34,106:106)-SUMIF(105:105,C34,106:106)+100</f>
        <v>100</v>
      </c>
      <c r="K34" s="794">
        <v>2</v>
      </c>
      <c r="L34" s="1746"/>
      <c r="M34" s="1739"/>
      <c r="N34" s="1739"/>
      <c r="O34" s="1745"/>
      <c r="P34" s="3705"/>
      <c r="Q34" s="1304" t="str">
        <f t="shared" si="8"/>
        <v>建筑结构</v>
      </c>
      <c r="R34" s="1305" t="s">
        <v>8</v>
      </c>
      <c r="S34" s="1306">
        <f t="shared" si="9"/>
        <v>100</v>
      </c>
      <c r="T34" s="1305" t="s">
        <v>8</v>
      </c>
      <c r="U34" s="1306">
        <f t="shared" si="10"/>
        <v>100</v>
      </c>
      <c r="V34" s="1305" t="s">
        <v>8</v>
      </c>
      <c r="W34" s="1306">
        <f t="shared" si="11"/>
        <v>100</v>
      </c>
      <c r="X34" s="1300"/>
      <c r="Y34" s="3705"/>
      <c r="Z34" s="1307" t="str">
        <f t="shared" si="12"/>
        <v>建筑结构</v>
      </c>
      <c r="AA34" s="1307">
        <f t="shared" si="3"/>
        <v>1</v>
      </c>
      <c r="AB34" s="1307">
        <f t="shared" si="4"/>
        <v>1</v>
      </c>
      <c r="AC34" s="1307">
        <f t="shared" si="5"/>
        <v>1</v>
      </c>
    </row>
    <row r="35" spans="1:29" ht="15">
      <c r="A35" s="543"/>
      <c r="B35" s="477" t="s">
        <v>675</v>
      </c>
      <c r="C35" s="548" t="s">
        <v>3695</v>
      </c>
      <c r="D35" s="490">
        <v>100</v>
      </c>
      <c r="E35" s="548" t="s">
        <v>3695</v>
      </c>
      <c r="F35" s="525">
        <f>SUMIF(107:107,E35,108:108)-SUMIF(107:107,C35,108:108)+100</f>
        <v>100</v>
      </c>
      <c r="G35" s="548" t="s">
        <v>3695</v>
      </c>
      <c r="H35" s="490">
        <f>SUMIF(107:107,G35,108:108)-SUMIF(107:107,C35,108:108)+100</f>
        <v>100</v>
      </c>
      <c r="I35" s="548" t="s">
        <v>3695</v>
      </c>
      <c r="J35" s="490">
        <f>SUMIF(107:107,I35,108:108)-SUMIF(107:107,C35,108:108)+100</f>
        <v>100</v>
      </c>
      <c r="K35" s="794">
        <v>2</v>
      </c>
      <c r="L35" s="1746"/>
      <c r="M35" s="1739"/>
      <c r="N35" s="1739"/>
      <c r="O35" s="1745"/>
      <c r="P35" s="3705"/>
      <c r="Q35" s="1304" t="str">
        <f t="shared" si="8"/>
        <v>建筑品质</v>
      </c>
      <c r="R35" s="1305" t="s">
        <v>8</v>
      </c>
      <c r="S35" s="1306">
        <f t="shared" si="9"/>
        <v>100</v>
      </c>
      <c r="T35" s="1305" t="s">
        <v>8</v>
      </c>
      <c r="U35" s="1306">
        <f t="shared" si="10"/>
        <v>100</v>
      </c>
      <c r="V35" s="1305" t="s">
        <v>8</v>
      </c>
      <c r="W35" s="1306">
        <f t="shared" si="11"/>
        <v>100</v>
      </c>
      <c r="X35" s="1300"/>
      <c r="Y35" s="3705"/>
      <c r="Z35" s="1307" t="str">
        <f t="shared" si="12"/>
        <v>建筑品质</v>
      </c>
      <c r="AA35" s="1307">
        <f t="shared" si="3"/>
        <v>1</v>
      </c>
      <c r="AB35" s="1307">
        <f t="shared" si="4"/>
        <v>1</v>
      </c>
      <c r="AC35" s="1307">
        <f t="shared" si="5"/>
        <v>1</v>
      </c>
    </row>
    <row r="36" spans="1:29" ht="15">
      <c r="A36" s="543"/>
      <c r="B36" s="477" t="s">
        <v>676</v>
      </c>
      <c r="C36" s="548" t="s">
        <v>3696</v>
      </c>
      <c r="D36" s="490">
        <v>100</v>
      </c>
      <c r="E36" s="548" t="s">
        <v>3696</v>
      </c>
      <c r="F36" s="525">
        <f>SUMIF(109:109,E36,110:110)-SUMIF(109:109,C36,110:110)+100</f>
        <v>100</v>
      </c>
      <c r="G36" s="548" t="s">
        <v>3696</v>
      </c>
      <c r="H36" s="490">
        <f>SUMIF(109:109,G36,110:110)-SUMIF(109:109,C36,110:110)+100</f>
        <v>100</v>
      </c>
      <c r="I36" s="548" t="s">
        <v>3696</v>
      </c>
      <c r="J36" s="490">
        <f>SUMIF(109:109,I36,110:110)-SUMIF(109:109,C36,110:110)+100</f>
        <v>100</v>
      </c>
      <c r="K36" s="794">
        <v>2</v>
      </c>
      <c r="L36" s="1746"/>
      <c r="M36" s="1739"/>
      <c r="N36" s="1739"/>
      <c r="O36" s="1745"/>
      <c r="P36" s="3705"/>
      <c r="Q36" s="1304" t="str">
        <f t="shared" si="8"/>
        <v>公共部分装修</v>
      </c>
      <c r="R36" s="1305" t="s">
        <v>8</v>
      </c>
      <c r="S36" s="1306">
        <f t="shared" si="9"/>
        <v>100</v>
      </c>
      <c r="T36" s="1305" t="s">
        <v>8</v>
      </c>
      <c r="U36" s="1306">
        <f t="shared" si="10"/>
        <v>100</v>
      </c>
      <c r="V36" s="1305" t="s">
        <v>8</v>
      </c>
      <c r="W36" s="1306">
        <f t="shared" si="11"/>
        <v>100</v>
      </c>
      <c r="X36" s="1300"/>
      <c r="Y36" s="3705"/>
      <c r="Z36" s="1307" t="str">
        <f t="shared" si="12"/>
        <v>公共部分装修</v>
      </c>
      <c r="AA36" s="1307">
        <f t="shared" si="3"/>
        <v>1</v>
      </c>
      <c r="AB36" s="1307">
        <f t="shared" si="4"/>
        <v>1</v>
      </c>
      <c r="AC36" s="1307">
        <f t="shared" si="5"/>
        <v>1</v>
      </c>
    </row>
    <row r="37" spans="1:29" s="1058"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0"/>
      <c r="M37" s="1637"/>
      <c r="N37" s="1637"/>
      <c r="O37" s="1741"/>
      <c r="P37" s="3705"/>
      <c r="Q37" s="817" t="str">
        <f t="shared" si="8"/>
        <v>成新度</v>
      </c>
      <c r="R37" s="1301" t="s">
        <v>8</v>
      </c>
      <c r="S37" s="1302">
        <f t="shared" si="9"/>
        <v>100</v>
      </c>
      <c r="T37" s="1301" t="s">
        <v>8</v>
      </c>
      <c r="U37" s="1302">
        <f t="shared" si="10"/>
        <v>100</v>
      </c>
      <c r="V37" s="1301" t="s">
        <v>8</v>
      </c>
      <c r="W37" s="1302">
        <f t="shared" si="11"/>
        <v>100</v>
      </c>
      <c r="X37" s="1303"/>
      <c r="Y37" s="3705"/>
      <c r="Z37" s="995" t="str">
        <f t="shared" si="12"/>
        <v>成新度</v>
      </c>
      <c r="AA37" s="995">
        <f t="shared" si="3"/>
        <v>1</v>
      </c>
      <c r="AB37" s="995">
        <f t="shared" si="4"/>
        <v>1</v>
      </c>
      <c r="AC37" s="995">
        <f t="shared" si="5"/>
        <v>1</v>
      </c>
    </row>
    <row r="38" spans="1:29" ht="15">
      <c r="A38" s="543"/>
      <c r="B38" s="477" t="s">
        <v>678</v>
      </c>
      <c r="C38" s="548" t="s">
        <v>3697</v>
      </c>
      <c r="D38" s="490">
        <v>100</v>
      </c>
      <c r="E38" s="548" t="s">
        <v>3697</v>
      </c>
      <c r="F38" s="525">
        <f>SUMIF(114:114,E38,115:115)-SUMIF(114:114,C38,115:115)+100</f>
        <v>100</v>
      </c>
      <c r="G38" s="548" t="s">
        <v>3697</v>
      </c>
      <c r="H38" s="490">
        <f>SUMIF(114:114,G38,115:115)-SUMIF(114:114,C38,115:115)+100</f>
        <v>100</v>
      </c>
      <c r="I38" s="548" t="s">
        <v>3697</v>
      </c>
      <c r="J38" s="490">
        <f>SUMIF(114:114,I38,115:115)-SUMIF(114:114,C38,115:115)+100</f>
        <v>100</v>
      </c>
      <c r="K38" s="794">
        <v>2</v>
      </c>
      <c r="L38" s="1746"/>
      <c r="M38" s="1739"/>
      <c r="N38" s="1739"/>
      <c r="O38" s="1745"/>
      <c r="P38" s="3705" t="s">
        <v>499</v>
      </c>
      <c r="Q38" s="1304" t="str">
        <f t="shared" si="8"/>
        <v>物业管理</v>
      </c>
      <c r="R38" s="1305" t="s">
        <v>8</v>
      </c>
      <c r="S38" s="1306">
        <f t="shared" si="9"/>
        <v>100</v>
      </c>
      <c r="T38" s="1305" t="s">
        <v>8</v>
      </c>
      <c r="U38" s="1306">
        <f t="shared" si="10"/>
        <v>100</v>
      </c>
      <c r="V38" s="1305" t="s">
        <v>8</v>
      </c>
      <c r="W38" s="1306">
        <f t="shared" si="11"/>
        <v>100</v>
      </c>
      <c r="X38" s="1300"/>
      <c r="Y38" s="3705" t="s">
        <v>499</v>
      </c>
      <c r="Z38" s="1307" t="str">
        <f t="shared" si="12"/>
        <v>物业管理</v>
      </c>
      <c r="AA38" s="1307">
        <f t="shared" si="3"/>
        <v>1</v>
      </c>
      <c r="AB38" s="1307">
        <f t="shared" si="4"/>
        <v>1</v>
      </c>
      <c r="AC38" s="1307">
        <f t="shared" si="5"/>
        <v>1</v>
      </c>
    </row>
    <row r="39" spans="1:29" ht="15">
      <c r="A39" s="543"/>
      <c r="B39" s="1551" t="s">
        <v>1842</v>
      </c>
      <c r="C39" s="548" t="s">
        <v>3332</v>
      </c>
      <c r="D39" s="490">
        <v>100</v>
      </c>
      <c r="E39" s="548" t="s">
        <v>3332</v>
      </c>
      <c r="F39" s="525">
        <f>SUMIF(116:116,E39,117:117)-SUMIF(116:116,C39,117:117)+100</f>
        <v>100</v>
      </c>
      <c r="G39" s="548" t="s">
        <v>3332</v>
      </c>
      <c r="H39" s="490">
        <f>SUMIF(116:116,G39,117:117)-SUMIF(116:116,C39,117:117)+100</f>
        <v>100</v>
      </c>
      <c r="I39" s="548" t="s">
        <v>3332</v>
      </c>
      <c r="J39" s="490">
        <f>SUMIF(116:116,I39,117:117)-SUMIF(116:116,C39,117:117)+100</f>
        <v>100</v>
      </c>
      <c r="K39" s="794">
        <v>1</v>
      </c>
      <c r="L39" s="1746"/>
      <c r="M39" s="1739"/>
      <c r="N39" s="1739"/>
      <c r="O39" s="1745"/>
      <c r="P39" s="3705"/>
      <c r="Q39" s="1304" t="str">
        <f t="shared" si="8"/>
        <v>市政基础设施</v>
      </c>
      <c r="R39" s="1305" t="s">
        <v>8</v>
      </c>
      <c r="S39" s="1306">
        <f t="shared" si="9"/>
        <v>100</v>
      </c>
      <c r="T39" s="1305" t="s">
        <v>8</v>
      </c>
      <c r="U39" s="1306">
        <f t="shared" si="10"/>
        <v>100</v>
      </c>
      <c r="V39" s="1305" t="s">
        <v>8</v>
      </c>
      <c r="W39" s="1306">
        <f t="shared" si="11"/>
        <v>100</v>
      </c>
      <c r="X39" s="1300"/>
      <c r="Y39" s="3705"/>
      <c r="Z39" s="1307" t="str">
        <f t="shared" si="12"/>
        <v>市政基础设施</v>
      </c>
      <c r="AA39" s="1307">
        <f t="shared" si="3"/>
        <v>1</v>
      </c>
      <c r="AB39" s="1307">
        <f t="shared" si="4"/>
        <v>1</v>
      </c>
      <c r="AC39" s="1307">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6"/>
      <c r="M40" s="1739"/>
      <c r="N40" s="1739"/>
      <c r="O40" s="1745"/>
      <c r="P40" s="3705"/>
      <c r="Q40" s="1304" t="str">
        <f t="shared" si="8"/>
        <v>房型</v>
      </c>
      <c r="R40" s="1305" t="s">
        <v>8</v>
      </c>
      <c r="S40" s="1306">
        <f t="shared" si="9"/>
        <v>100</v>
      </c>
      <c r="T40" s="1305" t="s">
        <v>8</v>
      </c>
      <c r="U40" s="1306">
        <f t="shared" si="10"/>
        <v>100</v>
      </c>
      <c r="V40" s="1305" t="s">
        <v>8</v>
      </c>
      <c r="W40" s="1306">
        <f t="shared" si="11"/>
        <v>100</v>
      </c>
      <c r="X40" s="1300"/>
      <c r="Y40" s="3705"/>
      <c r="Z40" s="1307" t="str">
        <f t="shared" si="12"/>
        <v>房型</v>
      </c>
      <c r="AA40" s="1307">
        <f t="shared" si="3"/>
        <v>1</v>
      </c>
      <c r="AB40" s="1307">
        <f t="shared" si="4"/>
        <v>1</v>
      </c>
      <c r="AC40" s="1307">
        <f t="shared" si="5"/>
        <v>1</v>
      </c>
    </row>
    <row r="41" spans="1:29" s="1132" customFormat="1" ht="28.5">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4"/>
      <c r="M41" s="1768"/>
      <c r="N41" s="1768"/>
      <c r="O41" s="1747"/>
      <c r="P41" s="3705"/>
      <c r="Q41" s="818" t="str">
        <f t="shared" si="8"/>
        <v>单套/主力户型建筑面积</v>
      </c>
      <c r="R41" s="1308" t="s">
        <v>8</v>
      </c>
      <c r="S41" s="1309">
        <f t="shared" si="9"/>
        <v>100</v>
      </c>
      <c r="T41" s="1308" t="s">
        <v>8</v>
      </c>
      <c r="U41" s="1309">
        <f t="shared" si="10"/>
        <v>100</v>
      </c>
      <c r="V41" s="1308" t="s">
        <v>8</v>
      </c>
      <c r="W41" s="1309">
        <f t="shared" si="11"/>
        <v>100</v>
      </c>
      <c r="X41" s="1310"/>
      <c r="Y41" s="3705"/>
      <c r="Z41" s="1311" t="str">
        <f t="shared" si="12"/>
        <v>单套/主力户型建筑面积</v>
      </c>
      <c r="AA41" s="1307">
        <f t="shared" si="3"/>
        <v>1</v>
      </c>
      <c r="AB41" s="1307">
        <f t="shared" si="4"/>
        <v>1</v>
      </c>
      <c r="AC41" s="1307">
        <f t="shared" si="5"/>
        <v>1</v>
      </c>
    </row>
    <row r="42" spans="1:29" ht="15">
      <c r="A42" s="543"/>
      <c r="B42" s="477" t="s">
        <v>681</v>
      </c>
      <c r="C42" s="548" t="s">
        <v>3696</v>
      </c>
      <c r="D42" s="490">
        <v>100</v>
      </c>
      <c r="E42" s="548" t="s">
        <v>3696</v>
      </c>
      <c r="F42" s="525">
        <f>SUMIF(122:122,E42,123:123)-SUMIF(122:122,C42,123:123)+100</f>
        <v>100</v>
      </c>
      <c r="G42" s="548" t="s">
        <v>3696</v>
      </c>
      <c r="H42" s="490">
        <f>SUMIF(122:122,G42,123:123)-SUMIF(122:122,C42,123:123)+100</f>
        <v>100</v>
      </c>
      <c r="I42" s="548" t="s">
        <v>3696</v>
      </c>
      <c r="J42" s="490">
        <f>SUMIF(122:122,I42,123:123)-SUMIF(122:122,C42,123:123)+100</f>
        <v>100</v>
      </c>
      <c r="K42" s="794">
        <v>1</v>
      </c>
      <c r="L42" s="1746"/>
      <c r="M42" s="1739"/>
      <c r="N42" s="1739"/>
      <c r="O42" s="1745"/>
      <c r="P42" s="3705"/>
      <c r="Q42" s="1304" t="str">
        <f t="shared" si="8"/>
        <v>内部装修</v>
      </c>
      <c r="R42" s="1305" t="s">
        <v>8</v>
      </c>
      <c r="S42" s="1306">
        <f t="shared" si="9"/>
        <v>100</v>
      </c>
      <c r="T42" s="1305" t="s">
        <v>8</v>
      </c>
      <c r="U42" s="1306">
        <f t="shared" si="10"/>
        <v>100</v>
      </c>
      <c r="V42" s="1305" t="s">
        <v>8</v>
      </c>
      <c r="W42" s="1306">
        <f t="shared" si="11"/>
        <v>100</v>
      </c>
      <c r="X42" s="1300"/>
      <c r="Y42" s="3705"/>
      <c r="Z42" s="1307" t="str">
        <f t="shared" si="12"/>
        <v>内部装修</v>
      </c>
      <c r="AA42" s="1307">
        <f t="shared" si="3"/>
        <v>1</v>
      </c>
      <c r="AB42" s="1307">
        <f t="shared" si="4"/>
        <v>1</v>
      </c>
      <c r="AC42" s="1307">
        <f t="shared" si="5"/>
        <v>1</v>
      </c>
    </row>
    <row r="43" spans="1:29" ht="27">
      <c r="A43" s="543"/>
      <c r="B43" s="477" t="s">
        <v>682</v>
      </c>
      <c r="C43" s="548" t="s">
        <v>3329</v>
      </c>
      <c r="D43" s="490">
        <v>100</v>
      </c>
      <c r="E43" s="548" t="s">
        <v>3329</v>
      </c>
      <c r="F43" s="525">
        <f>SUMIF(124:124,E43,125:125)-SUMIF(124:124,C43,125:125)+100</f>
        <v>100</v>
      </c>
      <c r="G43" s="548" t="s">
        <v>3329</v>
      </c>
      <c r="H43" s="490">
        <f>SUMIF(124:124,G43,125:125)-SUMIF(124:124,C43,125:125)+100</f>
        <v>100</v>
      </c>
      <c r="I43" s="548" t="s">
        <v>3329</v>
      </c>
      <c r="J43" s="490">
        <f>SUMIF(124:124,I43,125:125)-SUMIF(124:124,C43,125:125)+100</f>
        <v>100</v>
      </c>
      <c r="K43" s="794">
        <v>2</v>
      </c>
      <c r="L43" s="1746"/>
      <c r="M43" s="1739"/>
      <c r="N43" s="1739"/>
      <c r="O43" s="1745"/>
      <c r="P43" s="3705"/>
      <c r="Q43" s="1304" t="str">
        <f t="shared" si="8"/>
        <v>内部装修维护情况</v>
      </c>
      <c r="R43" s="1305" t="s">
        <v>8</v>
      </c>
      <c r="S43" s="1306">
        <f t="shared" si="9"/>
        <v>100</v>
      </c>
      <c r="T43" s="1305" t="s">
        <v>8</v>
      </c>
      <c r="U43" s="1306">
        <f t="shared" si="10"/>
        <v>100</v>
      </c>
      <c r="V43" s="1305" t="s">
        <v>8</v>
      </c>
      <c r="W43" s="1306">
        <f t="shared" si="11"/>
        <v>100</v>
      </c>
      <c r="X43" s="1300"/>
      <c r="Y43" s="3705"/>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0"/>
      <c r="M44" s="1637"/>
      <c r="N44" s="1637"/>
      <c r="O44" s="1741"/>
      <c r="P44" s="3705"/>
      <c r="Q44" s="817">
        <f t="shared" si="8"/>
        <v>111</v>
      </c>
      <c r="R44" s="1301" t="s">
        <v>8</v>
      </c>
      <c r="S44" s="1302">
        <f t="shared" si="9"/>
        <v>100</v>
      </c>
      <c r="T44" s="1301" t="s">
        <v>8</v>
      </c>
      <c r="U44" s="1302">
        <f t="shared" si="10"/>
        <v>100</v>
      </c>
      <c r="V44" s="1301" t="s">
        <v>8</v>
      </c>
      <c r="W44" s="1302">
        <f t="shared" si="11"/>
        <v>100</v>
      </c>
      <c r="X44" s="1303"/>
      <c r="Y44" s="3705"/>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6"/>
      <c r="M45" s="1739"/>
      <c r="N45" s="1739"/>
      <c r="O45" s="1745"/>
      <c r="P45" s="3705"/>
      <c r="Q45" s="1304">
        <f t="shared" si="8"/>
        <v>111</v>
      </c>
      <c r="R45" s="1305" t="s">
        <v>8</v>
      </c>
      <c r="S45" s="1306">
        <f t="shared" si="9"/>
        <v>100</v>
      </c>
      <c r="T45" s="1305" t="s">
        <v>8</v>
      </c>
      <c r="U45" s="1306">
        <f t="shared" si="10"/>
        <v>100</v>
      </c>
      <c r="V45" s="1305" t="s">
        <v>8</v>
      </c>
      <c r="W45" s="1306">
        <f t="shared" si="11"/>
        <v>100</v>
      </c>
      <c r="X45" s="1300"/>
      <c r="Y45" s="3705"/>
      <c r="Z45" s="1307">
        <f t="shared" si="12"/>
        <v>111</v>
      </c>
      <c r="AA45" s="1307">
        <f t="shared" si="3"/>
        <v>1</v>
      </c>
      <c r="AB45" s="1307">
        <f t="shared" si="4"/>
        <v>1</v>
      </c>
      <c r="AC45" s="1307">
        <f t="shared" si="5"/>
        <v>1</v>
      </c>
    </row>
    <row r="46" spans="1:29" ht="15.75"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6"/>
      <c r="M46" s="1739"/>
      <c r="N46" s="1739"/>
      <c r="O46" s="1745"/>
      <c r="P46" s="3801"/>
      <c r="Q46" s="1304">
        <f t="shared" si="8"/>
        <v>111</v>
      </c>
      <c r="R46" s="1305" t="s">
        <v>7</v>
      </c>
      <c r="S46" s="1306">
        <f t="shared" si="9"/>
        <v>100</v>
      </c>
      <c r="T46" s="1305" t="s">
        <v>7</v>
      </c>
      <c r="U46" s="1306">
        <f t="shared" si="10"/>
        <v>100</v>
      </c>
      <c r="V46" s="1305" t="s">
        <v>7</v>
      </c>
      <c r="W46" s="1306">
        <f t="shared" si="11"/>
        <v>100</v>
      </c>
      <c r="X46" s="1300"/>
      <c r="Y46" s="3801"/>
      <c r="Z46" s="1307">
        <f t="shared" si="12"/>
        <v>111</v>
      </c>
      <c r="AA46" s="1307">
        <f t="shared" si="3"/>
        <v>1</v>
      </c>
      <c r="AB46" s="1307">
        <f t="shared" si="4"/>
        <v>1</v>
      </c>
      <c r="AC46" s="1307">
        <f t="shared" si="5"/>
        <v>1</v>
      </c>
    </row>
    <row r="47" spans="1:29" ht="15">
      <c r="A47" s="556" t="s">
        <v>683</v>
      </c>
      <c r="B47" s="811"/>
      <c r="C47" s="2078" t="s">
        <v>6</v>
      </c>
      <c r="D47" s="559"/>
      <c r="E47" s="560">
        <v>80648</v>
      </c>
      <c r="F47" s="561"/>
      <c r="G47" s="562">
        <v>76193</v>
      </c>
      <c r="H47" s="563"/>
      <c r="I47" s="560">
        <v>77266</v>
      </c>
      <c r="J47" s="563"/>
      <c r="K47" s="1329"/>
      <c r="L47" s="1748"/>
      <c r="M47" s="1739"/>
      <c r="N47" s="1739"/>
      <c r="O47" s="1739"/>
      <c r="P47" s="3700" t="str">
        <f>A47</f>
        <v>成交单价（元/平方米）</v>
      </c>
      <c r="Q47" s="3700"/>
      <c r="R47" s="3716">
        <f>E47</f>
        <v>80648</v>
      </c>
      <c r="S47" s="3716"/>
      <c r="T47" s="3716">
        <f>G47</f>
        <v>76193</v>
      </c>
      <c r="U47" s="3716"/>
      <c r="V47" s="3716">
        <f>I47</f>
        <v>77266</v>
      </c>
      <c r="W47" s="3716"/>
      <c r="X47" s="799"/>
      <c r="Y47" s="1312"/>
      <c r="Z47" s="799"/>
      <c r="AA47" s="799"/>
      <c r="AB47" s="799"/>
      <c r="AC47" s="799"/>
    </row>
    <row r="48" spans="1:29" ht="15.75" thickBot="1">
      <c r="A48" s="564" t="s">
        <v>2037</v>
      </c>
      <c r="B48" s="812"/>
      <c r="C48" s="2079">
        <f>R49</f>
        <v>78036</v>
      </c>
      <c r="D48" s="2547" t="s">
        <v>2243</v>
      </c>
      <c r="E48" s="2080">
        <f>R48</f>
        <v>80648</v>
      </c>
      <c r="F48" s="2548"/>
      <c r="G48" s="2079">
        <f>T48</f>
        <v>76193</v>
      </c>
      <c r="H48" s="2548"/>
      <c r="I48" s="2080">
        <f>V48</f>
        <v>77266</v>
      </c>
      <c r="J48" s="2548"/>
      <c r="K48" s="2555">
        <f>F48+H48+J48</f>
        <v>0</v>
      </c>
      <c r="L48" s="1748"/>
      <c r="M48" s="1739"/>
      <c r="N48" s="1739"/>
      <c r="O48" s="1739"/>
      <c r="P48" s="3700" t="str">
        <f>A48</f>
        <v>比较价格（元/平方米）</v>
      </c>
      <c r="Q48" s="3700"/>
      <c r="R48" s="3716">
        <f>IF(F1="售价",ROUND(PRODUCT(R47,AA7:AA46),0),ROUND(PRODUCT(R47,AA7:AA46),1))</f>
        <v>80648</v>
      </c>
      <c r="S48" s="3716"/>
      <c r="T48" s="3716">
        <f>IF(F1="售价",ROUND(PRODUCT(T47,AB7:AB46),0),ROUND(PRODUCT(T47,AB7:AB46),1))</f>
        <v>76193</v>
      </c>
      <c r="U48" s="3716"/>
      <c r="V48" s="3716">
        <f>IF(F1="售价",ROUND(PRODUCT(V47,AC7:AC46),0),ROUND(PRODUCT(V47,AC7:AC46),1))</f>
        <v>77266</v>
      </c>
      <c r="W48" s="3716"/>
      <c r="X48" s="799"/>
      <c r="Y48" s="799"/>
      <c r="Z48" s="799"/>
      <c r="AA48" s="799"/>
      <c r="AB48" s="799"/>
      <c r="AC48" s="799"/>
    </row>
    <row r="49" spans="1:29" ht="15.75" thickBot="1">
      <c r="A49" s="568" t="s">
        <v>2180</v>
      </c>
      <c r="B49" s="569"/>
      <c r="C49" s="469">
        <f>R49</f>
        <v>78036</v>
      </c>
      <c r="D49" s="469"/>
      <c r="E49" s="469"/>
      <c r="F49" s="469"/>
      <c r="G49" s="469"/>
      <c r="H49" s="469"/>
      <c r="I49" s="469"/>
      <c r="J49" s="469"/>
      <c r="K49" s="1330"/>
      <c r="L49" s="1748"/>
      <c r="M49" s="1739"/>
      <c r="N49" s="1739"/>
      <c r="O49" s="1739"/>
      <c r="P49" s="3706" t="str">
        <f>A49</f>
        <v>估价对象XX用房的比较价格（楼面单价，元/平方米）</v>
      </c>
      <c r="Q49" s="3707"/>
      <c r="R49" s="3800">
        <f>IF(F1="售价",ROUND(IF(D48="简单平均",AVERAGE(R48:V48),R48*F48+T48*H48+V48*J48),0),ROUND(IF(D48="简单平均",AVERAGE(R48:V48),R48*F48+T48*H48+V48*J48),1))</f>
        <v>78036</v>
      </c>
      <c r="S49" s="3800"/>
      <c r="T49" s="3800"/>
      <c r="U49" s="3800"/>
      <c r="V49" s="3800"/>
      <c r="W49" s="3800"/>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f>IF(E47&lt;E48,E48/E47-1,E47/E48-1)</f>
        <v>0</v>
      </c>
      <c r="F52" s="574" t="str">
        <f>IF(OR(E52&gt;=0.3,E52&lt;=-0.3),"超过30%","")</f>
        <v/>
      </c>
      <c r="G52" s="573">
        <f>IF(G47&lt;G48,G48/G47-1,G47/G48-1)</f>
        <v>0</v>
      </c>
      <c r="H52" s="574" t="str">
        <f>IF(OR(G52&gt;=0.3,G52&lt;=-0.3),"超过30%","")</f>
        <v/>
      </c>
      <c r="I52" s="573">
        <f>IF(I47&lt;I48,I48/I47-1,I47/I48-1)</f>
        <v>0</v>
      </c>
      <c r="J52" s="574" t="str">
        <f>IF(OR(I52&gt;=0.3,I52&lt;=-0.3),"超过30%","")</f>
        <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f>IF(E48&lt;G48,G48/E48-1,E48/G48-1)</f>
        <v>5.8469938183297598E-2</v>
      </c>
      <c r="F53" s="574" t="str">
        <f>IF(OR(E53&gt;=0.2,E53&lt;=-0.2),"超过20%","")</f>
        <v/>
      </c>
      <c r="G53" s="573">
        <f>IF(G48&lt;I48,I48/G48-1,G48/I48-1)</f>
        <v>1.4082658511936685E-2</v>
      </c>
      <c r="H53" s="574" t="str">
        <f>IF(OR(G53&gt;=0.2,G53&lt;=-0.2),"超过20%","")</f>
        <v/>
      </c>
      <c r="I53" s="573">
        <f>IF(I48&lt;E48,E48/I48-1,I48/E48-1)</f>
        <v>4.3770869463929829E-2</v>
      </c>
      <c r="J53" s="574" t="str">
        <f>IF(OR(I53&gt;=0.2,I53&lt;=-0.2),"超过20%","")</f>
        <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f>IF(E47&lt;G47,G47/E47-1,E47/G47-1)</f>
        <v>5.8469938183297598E-2</v>
      </c>
      <c r="F54" s="574" t="str">
        <f>IF(OR(E54&gt;=0.3,E54&lt;=-0.3),"超过30%","")</f>
        <v/>
      </c>
      <c r="G54" s="573">
        <f>IF(G47&lt;I47,I47/G47-1,G47/I47-1)</f>
        <v>1.4082658511936685E-2</v>
      </c>
      <c r="H54" s="574" t="str">
        <f>IF(OR(G54&gt;=0.3,G54&lt;=-0.3),"超过30%","")</f>
        <v/>
      </c>
      <c r="I54" s="573">
        <f>IF(I47&lt;E47,E47/I47-1,I47/E47-1)</f>
        <v>4.3770869463929829E-2</v>
      </c>
      <c r="J54" s="574" t="str">
        <f>IF(OR(I54&gt;=0.3,I54&lt;=-0.3),"超过30%","")</f>
        <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1.75"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5">
      <c r="A58" s="592" t="s">
        <v>478</v>
      </c>
      <c r="B58" s="593"/>
      <c r="C58" s="2112" t="str">
        <f>YEAR(C7)&amp;"-"&amp;MONTH(C7)</f>
        <v>2025-5</v>
      </c>
      <c r="D58" s="2112">
        <f>EDATE(C58,-1)</f>
        <v>45748</v>
      </c>
      <c r="E58" s="2112">
        <f t="shared" ref="E58:O58" si="13">EDATE(D58,-1)</f>
        <v>45717</v>
      </c>
      <c r="F58" s="2112">
        <f t="shared" si="13"/>
        <v>45689</v>
      </c>
      <c r="G58" s="2112">
        <f t="shared" si="13"/>
        <v>45658</v>
      </c>
      <c r="H58" s="2112">
        <f t="shared" si="13"/>
        <v>45627</v>
      </c>
      <c r="I58" s="2112">
        <f t="shared" si="13"/>
        <v>45597</v>
      </c>
      <c r="J58" s="2112">
        <f t="shared" si="13"/>
        <v>45566</v>
      </c>
      <c r="K58" s="2112">
        <f t="shared" si="13"/>
        <v>45536</v>
      </c>
      <c r="L58" s="2112">
        <f t="shared" si="13"/>
        <v>45505</v>
      </c>
      <c r="M58" s="2112">
        <f t="shared" si="13"/>
        <v>45474</v>
      </c>
      <c r="N58" s="2112">
        <f t="shared" si="13"/>
        <v>45444</v>
      </c>
      <c r="O58" s="2112">
        <f t="shared" si="13"/>
        <v>45413</v>
      </c>
      <c r="P58" s="1762"/>
      <c r="Q58" s="1762"/>
      <c r="R58" s="1762"/>
      <c r="S58" s="1762"/>
      <c r="T58" s="1762"/>
      <c r="U58" s="1762"/>
      <c r="V58" s="1762"/>
      <c r="W58" s="1762"/>
      <c r="X58" s="1762"/>
      <c r="Y58" s="1762"/>
      <c r="Z58" s="1762"/>
      <c r="AA58" s="1762"/>
      <c r="AB58" s="1762"/>
      <c r="AC58" s="1762"/>
    </row>
    <row r="59" spans="1:29" s="1058" customFormat="1" ht="15">
      <c r="A59" s="527"/>
      <c r="B59" s="594"/>
      <c r="C59" s="595">
        <v>100</v>
      </c>
      <c r="D59" s="596"/>
      <c r="E59" s="596"/>
      <c r="F59" s="596"/>
      <c r="G59" s="596"/>
      <c r="H59" s="596"/>
      <c r="I59" s="596"/>
      <c r="J59" s="596"/>
      <c r="K59" s="596"/>
      <c r="L59" s="596"/>
      <c r="M59" s="596"/>
      <c r="N59" s="596"/>
      <c r="O59" s="596"/>
      <c r="P59" s="1760"/>
      <c r="Q59" s="1637"/>
      <c r="R59" s="1637"/>
      <c r="S59" s="1637"/>
      <c r="T59" s="1637"/>
      <c r="U59" s="1637"/>
      <c r="V59" s="1637"/>
      <c r="W59" s="1637"/>
      <c r="X59" s="1637"/>
      <c r="Y59" s="1637"/>
      <c r="Z59" s="1637"/>
      <c r="AA59" s="1637"/>
      <c r="AB59" s="1637"/>
      <c r="AC59" s="1637"/>
    </row>
    <row r="60" spans="1:29" s="1058" customFormat="1" ht="15.7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5">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5.75"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637"/>
    </row>
    <row r="63" spans="1:29">
      <c r="A63" s="607" t="s">
        <v>525</v>
      </c>
      <c r="B63" s="608" t="s">
        <v>483</v>
      </c>
      <c r="C63" s="645" t="str">
        <f>C9</f>
        <v>住宅</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5.75" thickBot="1">
      <c r="A64" s="482"/>
      <c r="B64" s="612"/>
      <c r="C64" s="613">
        <v>100</v>
      </c>
      <c r="D64" s="613"/>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7.75" thickTop="1">
      <c r="A65" s="482"/>
      <c r="B65" s="615" t="s">
        <v>486</v>
      </c>
      <c r="C65" s="658" t="s">
        <v>3677</v>
      </c>
      <c r="D65" s="658" t="s">
        <v>3678</v>
      </c>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5.75" thickBot="1">
      <c r="A66" s="482"/>
      <c r="B66" s="620"/>
      <c r="C66" s="613">
        <v>100</v>
      </c>
      <c r="D66" s="613">
        <f>C66-2</f>
        <v>98</v>
      </c>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2"/>
      <c r="B68" s="625"/>
      <c r="C68" s="491">
        <v>0</v>
      </c>
      <c r="D68" s="491">
        <v>1</v>
      </c>
      <c r="E68" s="491">
        <v>2</v>
      </c>
      <c r="F68" s="491">
        <v>3</v>
      </c>
      <c r="G68" s="491">
        <v>4</v>
      </c>
      <c r="H68" s="491">
        <v>5</v>
      </c>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5.75"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5.75"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5.75"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5.75" thickBot="1">
      <c r="A73" s="629"/>
      <c r="B73" s="620"/>
      <c r="C73" s="634"/>
      <c r="D73" s="634"/>
      <c r="E73" s="634"/>
      <c r="F73" s="634"/>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5.75"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5.75"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5.75" thickBot="1">
      <c r="A77" s="482"/>
      <c r="B77" s="620"/>
      <c r="C77" s="621">
        <v>100</v>
      </c>
      <c r="D77" s="621">
        <f>C77-$K15</f>
        <v>98</v>
      </c>
      <c r="E77" s="621">
        <f>D77-$K15</f>
        <v>96</v>
      </c>
      <c r="F77" s="621">
        <f>E77-$K15</f>
        <v>94</v>
      </c>
      <c r="G77" s="621">
        <f>F77-$K15</f>
        <v>92</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7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5.75" thickBot="1">
      <c r="A79" s="482"/>
      <c r="B79" s="620"/>
      <c r="C79" s="621">
        <v>100</v>
      </c>
      <c r="D79" s="621">
        <f>C79-$K17</f>
        <v>98</v>
      </c>
      <c r="E79" s="621">
        <f>D79-$K17</f>
        <v>96</v>
      </c>
      <c r="F79" s="621">
        <f>E79-$K17</f>
        <v>94</v>
      </c>
      <c r="G79" s="621">
        <f>F79-$K17</f>
        <v>92</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7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5.75" thickBot="1">
      <c r="A81" s="482"/>
      <c r="B81" s="620"/>
      <c r="C81" s="621">
        <v>100</v>
      </c>
      <c r="D81" s="621">
        <f>C81-$K19</f>
        <v>98</v>
      </c>
      <c r="E81" s="621">
        <f>D81-$K19</f>
        <v>96</v>
      </c>
      <c r="F81" s="621">
        <f>E81-$K19</f>
        <v>94</v>
      </c>
      <c r="G81" s="621">
        <f>F81-$K19</f>
        <v>92</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7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7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5.75" thickBot="1">
      <c r="A85" s="482"/>
      <c r="B85" s="620"/>
      <c r="C85" s="621">
        <v>100</v>
      </c>
      <c r="D85" s="621">
        <f>C85-$K23</f>
        <v>98</v>
      </c>
      <c r="E85" s="621">
        <f>D85-$K23</f>
        <v>96</v>
      </c>
      <c r="F85" s="621">
        <f>E85-$K23</f>
        <v>94</v>
      </c>
      <c r="G85" s="621">
        <f>F85-$K23</f>
        <v>92</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75" thickTop="1">
      <c r="A86" s="486"/>
      <c r="B86" s="1552" t="s">
        <v>1613</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75" thickTop="1">
      <c r="A88" s="486"/>
      <c r="B88" s="615" t="s">
        <v>686</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637"/>
      <c r="S89" s="1637"/>
      <c r="T89" s="1637"/>
      <c r="U89" s="1637"/>
      <c r="V89" s="1637"/>
      <c r="W89" s="1637"/>
      <c r="X89" s="1637"/>
      <c r="Y89" s="1637"/>
      <c r="Z89" s="1637"/>
      <c r="AA89" s="1637"/>
      <c r="AB89" s="1637"/>
      <c r="AC89" s="1637"/>
    </row>
    <row r="90" spans="1:29" s="1132" customFormat="1" ht="15.75" thickTop="1">
      <c r="A90" s="629"/>
      <c r="B90" s="615" t="str">
        <f>B27</f>
        <v>道路级别</v>
      </c>
      <c r="C90" s="3405" t="s">
        <v>3679</v>
      </c>
      <c r="D90" s="3405" t="s">
        <v>3680</v>
      </c>
      <c r="E90" s="3405" t="s">
        <v>3681</v>
      </c>
      <c r="F90" s="3405" t="s">
        <v>3682</v>
      </c>
      <c r="G90" s="3405" t="s">
        <v>3683</v>
      </c>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5.75" thickBot="1">
      <c r="A91" s="629"/>
      <c r="B91" s="620"/>
      <c r="C91" s="634">
        <v>100</v>
      </c>
      <c r="D91" s="634">
        <f>C91-1</f>
        <v>99</v>
      </c>
      <c r="E91" s="634">
        <f>D91-1</f>
        <v>98</v>
      </c>
      <c r="F91" s="634">
        <f>E91-1</f>
        <v>97</v>
      </c>
      <c r="G91" s="634">
        <f>F91-1</f>
        <v>96</v>
      </c>
      <c r="H91" s="635"/>
      <c r="I91" s="635"/>
      <c r="J91" s="635"/>
      <c r="K91" s="635"/>
      <c r="L91" s="635"/>
      <c r="M91" s="636"/>
      <c r="N91" s="1766"/>
      <c r="O91" s="1766"/>
      <c r="P91" s="1766"/>
      <c r="Q91" s="1767"/>
      <c r="R91" s="1768"/>
      <c r="S91" s="1768"/>
      <c r="T91" s="1768"/>
      <c r="U91" s="1768"/>
      <c r="V91" s="1768"/>
      <c r="W91" s="1768"/>
      <c r="X91" s="1768"/>
      <c r="Y91" s="1768"/>
      <c r="Z91" s="1768"/>
      <c r="AA91" s="1768"/>
      <c r="AB91" s="1768"/>
      <c r="AC91" s="1768"/>
    </row>
    <row r="92" spans="1:29" ht="15.75" thickTop="1">
      <c r="A92" s="482"/>
      <c r="B92" s="615">
        <f>B28</f>
        <v>111</v>
      </c>
      <c r="C92" s="630"/>
      <c r="D92" s="630"/>
      <c r="E92" s="630"/>
      <c r="F92" s="630"/>
      <c r="G92" s="658"/>
      <c r="H92" s="658"/>
      <c r="I92" s="658"/>
      <c r="J92" s="658"/>
      <c r="K92" s="659"/>
      <c r="L92" s="660"/>
      <c r="M92" s="661"/>
      <c r="N92" s="1764"/>
      <c r="O92" s="1764"/>
      <c r="P92" s="1763"/>
      <c r="Q92" s="1760"/>
      <c r="R92" s="1739"/>
      <c r="S92" s="1739"/>
      <c r="T92" s="1739"/>
      <c r="U92" s="1739"/>
      <c r="V92" s="1739"/>
      <c r="W92" s="1739"/>
      <c r="X92" s="1739"/>
      <c r="Y92" s="1739"/>
      <c r="Z92" s="1739"/>
      <c r="AA92" s="1739"/>
      <c r="AB92" s="1739"/>
      <c r="AC92" s="1739"/>
    </row>
    <row r="93" spans="1:29" ht="15.75" thickBot="1">
      <c r="A93" s="482"/>
      <c r="B93" s="620"/>
      <c r="C93" s="634"/>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5.75"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5.75" thickBot="1">
      <c r="A95" s="482"/>
      <c r="B95" s="620"/>
      <c r="C95" s="634"/>
      <c r="D95" s="634"/>
      <c r="E95" s="634"/>
      <c r="F95" s="634"/>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5.75"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5.75" thickBot="1">
      <c r="A97" s="482"/>
      <c r="B97" s="620"/>
      <c r="C97" s="642"/>
      <c r="D97" s="642"/>
      <c r="E97" s="642"/>
      <c r="F97" s="642"/>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5.75" thickTop="1">
      <c r="A98" s="482"/>
      <c r="B98" s="623">
        <f>B31</f>
        <v>111</v>
      </c>
      <c r="C98" s="662"/>
      <c r="D98" s="662"/>
      <c r="E98" s="662"/>
      <c r="F98" s="662"/>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5.75" thickBot="1">
      <c r="A99" s="493"/>
      <c r="B99" s="641"/>
      <c r="C99" s="666"/>
      <c r="D99" s="666"/>
      <c r="E99" s="666"/>
      <c r="F99" s="666"/>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c r="A100" s="607" t="s">
        <v>500</v>
      </c>
      <c r="B100" s="608" t="s">
        <v>687</v>
      </c>
      <c r="C100" s="3404" t="s">
        <v>1615</v>
      </c>
      <c r="D100" s="3404" t="s">
        <v>3684</v>
      </c>
      <c r="E100" s="3404" t="s">
        <v>1616</v>
      </c>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5"/>
      <c r="O101" s="1765"/>
      <c r="P101" s="1763"/>
      <c r="Q101" s="1760"/>
      <c r="R101" s="1739"/>
      <c r="S101" s="1739"/>
      <c r="T101" s="1739"/>
      <c r="U101" s="1739"/>
      <c r="V101" s="1739"/>
      <c r="W101" s="1739"/>
      <c r="X101" s="1739"/>
      <c r="Y101" s="1739"/>
      <c r="Z101" s="1739"/>
      <c r="AA101" s="1739"/>
      <c r="AB101" s="1739"/>
      <c r="AC101" s="1739"/>
    </row>
    <row r="102" spans="1:29" ht="29.25"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v>0</v>
      </c>
      <c r="D103" s="79">
        <v>50000</v>
      </c>
      <c r="E103" s="79">
        <v>100000</v>
      </c>
      <c r="F103" s="79">
        <v>200000</v>
      </c>
      <c r="G103" s="79">
        <v>400000</v>
      </c>
      <c r="H103" s="79">
        <v>600000</v>
      </c>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5.75" thickBot="1">
      <c r="A104" s="629"/>
      <c r="B104" s="620"/>
      <c r="C104" s="634"/>
      <c r="D104" s="613"/>
      <c r="E104" s="613"/>
      <c r="F104" s="613"/>
      <c r="G104" s="613"/>
      <c r="H104" s="613"/>
      <c r="I104" s="613"/>
      <c r="J104" s="613"/>
      <c r="K104" s="613"/>
      <c r="L104" s="613"/>
      <c r="M104" s="613"/>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3405" t="s">
        <v>1720</v>
      </c>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690</v>
      </c>
      <c r="C107" s="3406" t="s">
        <v>3685</v>
      </c>
      <c r="D107" s="3406" t="s">
        <v>3686</v>
      </c>
      <c r="E107" s="658"/>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691</v>
      </c>
      <c r="C109" s="3405" t="s">
        <v>3687</v>
      </c>
      <c r="D109" s="3405" t="s">
        <v>3688</v>
      </c>
      <c r="E109" s="3405" t="s">
        <v>3689</v>
      </c>
      <c r="F109" s="3406" t="s">
        <v>3690</v>
      </c>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5"/>
      <c r="O110" s="1765"/>
      <c r="P110" s="1763"/>
      <c r="Q110" s="1760"/>
      <c r="R110" s="1739"/>
      <c r="S110" s="1739"/>
      <c r="T110" s="1739"/>
      <c r="U110" s="1739"/>
      <c r="V110" s="1739"/>
      <c r="W110" s="1739"/>
      <c r="X110" s="1739"/>
      <c r="Y110" s="1739"/>
      <c r="Z110" s="1739"/>
      <c r="AA110" s="1739"/>
      <c r="AB110" s="1739"/>
      <c r="AC110" s="1739"/>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6"/>
      <c r="O111" s="1766"/>
      <c r="P111" s="1766"/>
      <c r="Q111" s="1767"/>
      <c r="R111" s="1768"/>
      <c r="S111" s="1768"/>
      <c r="T111" s="1768"/>
      <c r="U111" s="1768"/>
      <c r="V111" s="1768"/>
      <c r="W111" s="1768"/>
      <c r="X111" s="1768"/>
      <c r="Y111" s="1768"/>
      <c r="Z111" s="1768"/>
      <c r="AA111" s="1768"/>
      <c r="AB111" s="1768"/>
      <c r="AC111" s="1768"/>
    </row>
    <row r="112" spans="1:29" s="1132" customFormat="1">
      <c r="A112" s="552"/>
      <c r="B112" s="623"/>
      <c r="C112" s="817">
        <v>0.5</v>
      </c>
      <c r="D112" s="817">
        <v>0.6</v>
      </c>
      <c r="E112" s="817">
        <v>0.7</v>
      </c>
      <c r="F112" s="817">
        <v>0.8</v>
      </c>
      <c r="G112" s="817">
        <v>0.9</v>
      </c>
      <c r="H112" s="817">
        <v>1.0001</v>
      </c>
      <c r="I112" s="817"/>
      <c r="J112" s="818"/>
      <c r="K112" s="818"/>
      <c r="L112" s="819"/>
      <c r="M112" s="820"/>
      <c r="N112" s="1766"/>
      <c r="O112" s="1766"/>
      <c r="P112" s="1766"/>
      <c r="Q112" s="1767"/>
      <c r="R112" s="1768"/>
      <c r="S112" s="1768"/>
      <c r="T112" s="1768"/>
      <c r="U112" s="1768"/>
      <c r="V112" s="1768"/>
      <c r="W112" s="1768"/>
      <c r="X112" s="1768"/>
      <c r="Y112" s="1768"/>
      <c r="Z112" s="1768"/>
      <c r="AA112" s="1768"/>
      <c r="AB112" s="1768"/>
      <c r="AC112" s="1768"/>
    </row>
    <row r="113" spans="1:29" s="1132"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693</v>
      </c>
      <c r="C114" s="3405" t="s">
        <v>3691</v>
      </c>
      <c r="D114" s="3405" t="s">
        <v>3692</v>
      </c>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1552" t="s">
        <v>1834</v>
      </c>
      <c r="C116" s="630" t="str">
        <f>C82</f>
        <v>七通</v>
      </c>
      <c r="D116" s="630" t="str">
        <f>D82</f>
        <v>六通</v>
      </c>
      <c r="E116" s="630" t="str">
        <f>E82</f>
        <v>五通</v>
      </c>
      <c r="F116" s="630" t="str">
        <f>F82</f>
        <v>四通</v>
      </c>
      <c r="G116" s="630" t="str">
        <f>G82</f>
        <v>三通</v>
      </c>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694</v>
      </c>
      <c r="C118" s="658"/>
      <c r="D118" s="658"/>
      <c r="E118" s="658"/>
      <c r="F118" s="658"/>
      <c r="G118" s="658"/>
      <c r="H118" s="658"/>
      <c r="I118" s="658"/>
      <c r="J118" s="658"/>
      <c r="K118" s="659"/>
      <c r="L118" s="660"/>
      <c r="M118" s="661"/>
      <c r="N118" s="1764"/>
      <c r="O118" s="1764"/>
      <c r="P118" s="1763"/>
      <c r="Q118" s="1760"/>
      <c r="R118" s="1739"/>
      <c r="S118" s="1739"/>
      <c r="T118" s="1739"/>
      <c r="U118" s="1739"/>
      <c r="V118" s="1739"/>
      <c r="W118" s="1739"/>
      <c r="X118" s="1739"/>
      <c r="Y118" s="1739"/>
      <c r="Z118" s="1739"/>
      <c r="AA118" s="1739"/>
      <c r="AB118" s="1739"/>
      <c r="AC118" s="1739"/>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5"/>
      <c r="O119" s="1765"/>
      <c r="P119" s="1763"/>
      <c r="Q119" s="1760"/>
      <c r="R119" s="1739"/>
      <c r="S119" s="1739"/>
      <c r="T119" s="1739"/>
      <c r="U119" s="1739"/>
      <c r="V119" s="1739"/>
      <c r="W119" s="1739"/>
      <c r="X119" s="1739"/>
      <c r="Y119" s="1739"/>
      <c r="Z119" s="1739"/>
      <c r="AA119" s="1739"/>
      <c r="AB119" s="1739"/>
      <c r="AC119" s="1739"/>
    </row>
    <row r="120" spans="1:29" s="1132" customFormat="1" ht="28.5" thickTop="1">
      <c r="A120" s="552"/>
      <c r="B120" s="615" t="s">
        <v>680</v>
      </c>
      <c r="C120" s="630"/>
      <c r="D120" s="630"/>
      <c r="E120" s="630"/>
      <c r="F120" s="630"/>
      <c r="G120" s="630"/>
      <c r="H120" s="630"/>
      <c r="I120" s="630"/>
      <c r="J120" s="630"/>
      <c r="K120" s="630"/>
      <c r="L120" s="814"/>
      <c r="M120" s="815"/>
      <c r="N120" s="1766"/>
      <c r="O120" s="1766"/>
      <c r="P120" s="1766"/>
      <c r="Q120" s="1767"/>
      <c r="R120" s="1768"/>
      <c r="S120" s="1768"/>
      <c r="T120" s="1768"/>
      <c r="U120" s="1768"/>
      <c r="V120" s="1768"/>
      <c r="W120" s="1768"/>
      <c r="X120" s="1768"/>
      <c r="Y120" s="1768"/>
      <c r="Z120" s="1768"/>
      <c r="AA120" s="1768"/>
      <c r="AB120" s="1768"/>
      <c r="AC120" s="1768"/>
    </row>
    <row r="121" spans="1:29" s="1132" customFormat="1" ht="15.75" thickBot="1">
      <c r="A121" s="629"/>
      <c r="B121" s="612"/>
      <c r="C121" s="634"/>
      <c r="D121" s="613"/>
      <c r="E121" s="613"/>
      <c r="F121" s="613"/>
      <c r="G121" s="613"/>
      <c r="H121" s="613"/>
      <c r="I121" s="613"/>
      <c r="J121" s="613"/>
      <c r="K121" s="613"/>
      <c r="L121" s="613"/>
      <c r="M121" s="613"/>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3405" t="s">
        <v>3687</v>
      </c>
      <c r="D122" s="3405" t="s">
        <v>3688</v>
      </c>
      <c r="E122" s="3405" t="s">
        <v>3689</v>
      </c>
      <c r="F122" s="3406" t="s">
        <v>3690</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5"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5.75"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5"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5.75"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5"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5.75"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1614</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574" t="s">
        <v>1615</v>
      </c>
      <c r="C137" s="1575"/>
      <c r="D137" s="1575"/>
      <c r="E137" s="1575"/>
      <c r="F137" s="1575"/>
      <c r="G137" s="1576"/>
      <c r="H137" s="1577"/>
      <c r="I137" s="1578" t="s">
        <v>1616</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580"/>
      <c r="C138" s="1581" t="s">
        <v>1617</v>
      </c>
      <c r="D138" s="1581" t="s">
        <v>1618</v>
      </c>
      <c r="E138" s="1582" t="s">
        <v>1619</v>
      </c>
      <c r="F138" s="1583" t="s">
        <v>1620</v>
      </c>
      <c r="G138" s="1581" t="s">
        <v>1621</v>
      </c>
      <c r="H138" s="1584" t="s">
        <v>1622</v>
      </c>
      <c r="I138" s="1585"/>
      <c r="J138" s="1581" t="s">
        <v>1623</v>
      </c>
      <c r="K138" s="1584" t="s">
        <v>1624</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1625</v>
      </c>
      <c r="E139" s="1555">
        <v>100</v>
      </c>
      <c r="F139" s="1556">
        <v>102.5</v>
      </c>
      <c r="G139" s="1586" t="s">
        <v>1626</v>
      </c>
      <c r="H139" s="1557">
        <v>105</v>
      </c>
      <c r="I139" s="1587" t="s">
        <v>1627</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
      <c r="A140" s="1776"/>
      <c r="B140" s="1559">
        <v>5</v>
      </c>
      <c r="C140" s="1560">
        <v>100</v>
      </c>
      <c r="D140" s="1588"/>
      <c r="E140" s="1561"/>
      <c r="F140" s="1562">
        <v>102</v>
      </c>
      <c r="G140" s="1588"/>
      <c r="H140" s="1563"/>
      <c r="I140" s="1589" t="s">
        <v>1628</v>
      </c>
      <c r="J140" s="780">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
      <c r="A141" s="1776"/>
      <c r="B141" s="1559">
        <v>4</v>
      </c>
      <c r="C141" s="1560">
        <v>102</v>
      </c>
      <c r="D141" s="1588"/>
      <c r="E141" s="1561"/>
      <c r="F141" s="1562">
        <v>101.5</v>
      </c>
      <c r="G141" s="1588"/>
      <c r="H141" s="1563"/>
      <c r="I141" s="1589" t="s">
        <v>1629</v>
      </c>
      <c r="J141" s="780">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
      <c r="A142" s="1776"/>
      <c r="B142" s="1559">
        <v>3</v>
      </c>
      <c r="C142" s="1560">
        <v>103</v>
      </c>
      <c r="D142" s="1588"/>
      <c r="E142" s="1561"/>
      <c r="F142" s="1562">
        <v>101</v>
      </c>
      <c r="G142" s="1588"/>
      <c r="H142" s="1563"/>
      <c r="I142" s="1589" t="s">
        <v>1630</v>
      </c>
      <c r="J142" s="780">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
      <c r="A143" s="1776"/>
      <c r="B143" s="1559">
        <v>2</v>
      </c>
      <c r="C143" s="1560">
        <v>100</v>
      </c>
      <c r="D143" s="1588"/>
      <c r="E143" s="1561"/>
      <c r="F143" s="1562">
        <v>100.5</v>
      </c>
      <c r="G143" s="1588"/>
      <c r="H143" s="1563"/>
      <c r="I143" s="1589" t="s">
        <v>1631</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1632</v>
      </c>
      <c r="E144" s="1561">
        <v>102</v>
      </c>
      <c r="F144" s="1567">
        <v>100</v>
      </c>
      <c r="G144" s="1590" t="s">
        <v>1632</v>
      </c>
      <c r="H144" s="1563">
        <v>105</v>
      </c>
      <c r="I144" s="1589" t="s">
        <v>1631</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5.75" thickBot="1">
      <c r="A145" s="1776"/>
      <c r="B145" s="1591" t="s">
        <v>1633</v>
      </c>
      <c r="C145" s="1568">
        <f>ROUND(MAX(C139:C144)/MIN(C139:C144)-1,3)</f>
        <v>7.2999999999999995E-2</v>
      </c>
      <c r="D145" s="1592"/>
      <c r="E145" s="1592"/>
      <c r="F145" s="1593" t="s">
        <v>1634</v>
      </c>
      <c r="G145" s="1594"/>
      <c r="H145" s="1595"/>
      <c r="I145" s="1596" t="s">
        <v>1631</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615" t="s">
        <v>1642</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615" t="s">
        <v>1643</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454" t="s">
        <v>697</v>
      </c>
      <c r="C1" s="455" t="s">
        <v>667</v>
      </c>
      <c r="D1" s="1930"/>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C49</f>
        <v>#DIV/0!</v>
      </c>
      <c r="C3" s="786" t="s">
        <v>669</v>
      </c>
      <c r="D3" s="785">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5">
      <c r="A4" s="463" t="s">
        <v>470</v>
      </c>
      <c r="B4" s="464"/>
      <c r="C4" s="3708" t="s">
        <v>471</v>
      </c>
      <c r="D4" s="3709"/>
      <c r="E4" s="3734" t="s">
        <v>472</v>
      </c>
      <c r="F4" s="3735"/>
      <c r="G4" s="3708" t="s">
        <v>473</v>
      </c>
      <c r="H4" s="3709"/>
      <c r="I4" s="3708" t="s">
        <v>474</v>
      </c>
      <c r="J4" s="3709"/>
      <c r="K4" s="465" t="s">
        <v>475</v>
      </c>
      <c r="L4" s="1738"/>
      <c r="M4" s="1739"/>
      <c r="N4" s="1739"/>
      <c r="O4" s="1739"/>
      <c r="P4" s="3710" t="s">
        <v>476</v>
      </c>
      <c r="Q4" s="3711"/>
      <c r="R4" s="3694" t="s">
        <v>472</v>
      </c>
      <c r="S4" s="3695"/>
      <c r="T4" s="3694" t="s">
        <v>473</v>
      </c>
      <c r="U4" s="3695"/>
      <c r="V4" s="3716" t="s">
        <v>474</v>
      </c>
      <c r="W4" s="3716"/>
      <c r="X4" s="1300"/>
      <c r="Y4" s="3694" t="s">
        <v>476</v>
      </c>
      <c r="Z4" s="3695"/>
      <c r="AA4" s="3689" t="s">
        <v>472</v>
      </c>
      <c r="AB4" s="3716" t="s">
        <v>473</v>
      </c>
      <c r="AC4" s="3689" t="s">
        <v>474</v>
      </c>
    </row>
    <row r="5" spans="1:29" ht="15">
      <c r="A5" s="466"/>
      <c r="B5" s="467"/>
      <c r="C5" s="3719" t="s">
        <v>2174</v>
      </c>
      <c r="D5" s="3720"/>
      <c r="E5" s="3736" t="s">
        <v>2175</v>
      </c>
      <c r="F5" s="3737"/>
      <c r="G5" s="3719" t="s">
        <v>2176</v>
      </c>
      <c r="H5" s="3720"/>
      <c r="I5" s="3719" t="s">
        <v>2177</v>
      </c>
      <c r="J5" s="3720"/>
      <c r="K5" s="465"/>
      <c r="L5" s="1738"/>
      <c r="M5" s="1739"/>
      <c r="N5" s="1739"/>
      <c r="O5" s="1739"/>
      <c r="P5" s="3712"/>
      <c r="Q5" s="3713"/>
      <c r="R5" s="3696"/>
      <c r="S5" s="3697"/>
      <c r="T5" s="3696"/>
      <c r="U5" s="3697"/>
      <c r="V5" s="3716"/>
      <c r="W5" s="3716"/>
      <c r="X5" s="1300"/>
      <c r="Y5" s="3696"/>
      <c r="Z5" s="3697"/>
      <c r="AA5" s="3690"/>
      <c r="AB5" s="3716"/>
      <c r="AC5" s="3690"/>
    </row>
    <row r="6" spans="1:29" ht="15.75" thickBot="1">
      <c r="A6" s="468"/>
      <c r="B6" s="469"/>
      <c r="C6" s="3717" t="s">
        <v>2178</v>
      </c>
      <c r="D6" s="3718"/>
      <c r="E6" s="3738" t="s">
        <v>2178</v>
      </c>
      <c r="F6" s="3739"/>
      <c r="G6" s="3717" t="s">
        <v>2178</v>
      </c>
      <c r="H6" s="3718"/>
      <c r="I6" s="3717" t="s">
        <v>2178</v>
      </c>
      <c r="J6" s="3718"/>
      <c r="K6" s="465" t="s">
        <v>477</v>
      </c>
      <c r="L6" s="1738"/>
      <c r="M6" s="1739"/>
      <c r="N6" s="1739"/>
      <c r="O6" s="1739"/>
      <c r="P6" s="3714"/>
      <c r="Q6" s="3715"/>
      <c r="R6" s="3696"/>
      <c r="S6" s="3697"/>
      <c r="T6" s="3698"/>
      <c r="U6" s="3699"/>
      <c r="V6" s="3716"/>
      <c r="W6" s="3716"/>
      <c r="X6" s="1300"/>
      <c r="Y6" s="3698"/>
      <c r="Z6" s="3699"/>
      <c r="AA6" s="3691"/>
      <c r="AB6" s="3716"/>
      <c r="AC6" s="3691"/>
    </row>
    <row r="7" spans="1:29" s="1058" customFormat="1" ht="15.75" thickBot="1">
      <c r="A7" s="2206"/>
      <c r="B7" s="2213" t="s">
        <v>478</v>
      </c>
      <c r="C7" s="470">
        <f>'数据-取费表'!B2</f>
        <v>45789</v>
      </c>
      <c r="D7" s="471">
        <v>100</v>
      </c>
      <c r="E7" s="472"/>
      <c r="F7" s="473">
        <f>SUMIF(58:58,YEAR(E7)&amp;"-"&amp;MONTH(E7),59:59)</f>
        <v>0</v>
      </c>
      <c r="G7" s="472"/>
      <c r="H7" s="471">
        <f>SUMIF(58:58,YEAR(G7)&amp;"-"&amp;MONTH(G7),59:59)</f>
        <v>0</v>
      </c>
      <c r="I7" s="472"/>
      <c r="J7" s="471">
        <f>SUMIF(58:58,YEAR(I7)&amp;"-"&amp;MONTH(I7),59:59)</f>
        <v>0</v>
      </c>
      <c r="K7" s="88"/>
      <c r="L7" s="1740"/>
      <c r="M7" s="1637"/>
      <c r="N7" s="1637"/>
      <c r="O7" s="1637"/>
      <c r="P7" s="3692" t="s">
        <v>479</v>
      </c>
      <c r="Q7" s="3701"/>
      <c r="R7" s="1301" t="s">
        <v>5</v>
      </c>
      <c r="S7" s="1302">
        <f t="shared" ref="S7:S15" si="0">F7</f>
        <v>0</v>
      </c>
      <c r="T7" s="1301" t="s">
        <v>5</v>
      </c>
      <c r="U7" s="1302">
        <f t="shared" ref="U7:U15" si="1">H7</f>
        <v>0</v>
      </c>
      <c r="V7" s="1301" t="s">
        <v>5</v>
      </c>
      <c r="W7" s="1302">
        <f t="shared" ref="W7:W15" si="2">J7</f>
        <v>0</v>
      </c>
      <c r="X7" s="1303"/>
      <c r="Y7" s="3692" t="s">
        <v>479</v>
      </c>
      <c r="Z7" s="3693"/>
      <c r="AA7" s="995" t="e">
        <f>D7/F7</f>
        <v>#DIV/0!</v>
      </c>
      <c r="AB7" s="995" t="e">
        <f>D7/H7</f>
        <v>#DIV/0!</v>
      </c>
      <c r="AC7" s="995" t="e">
        <f>D7/J7</f>
        <v>#DIV/0!</v>
      </c>
    </row>
    <row r="8" spans="1:29" s="1058" customFormat="1" ht="15.75" thickBot="1">
      <c r="A8" s="2207"/>
      <c r="B8" s="2214" t="s">
        <v>480</v>
      </c>
      <c r="C8" s="475" t="s">
        <v>524</v>
      </c>
      <c r="D8" s="471">
        <v>100</v>
      </c>
      <c r="E8" s="475"/>
      <c r="F8" s="473">
        <f>SUMIF(61:61,E8,62:62)-SUMIF(61:61,C8,62:62)+100</f>
        <v>0</v>
      </c>
      <c r="G8" s="475"/>
      <c r="H8" s="471">
        <f>SUMIF(61:61,G8,62:62)-SUMIF(61:61,C8,62:62)+100</f>
        <v>0</v>
      </c>
      <c r="I8" s="475"/>
      <c r="J8" s="471">
        <f>SUMIF(61:61,I8,62:62)-SUMIF(61:61,C8,62:62)+100</f>
        <v>0</v>
      </c>
      <c r="K8" s="88"/>
      <c r="L8" s="1740"/>
      <c r="M8" s="1637"/>
      <c r="N8" s="1637"/>
      <c r="O8" s="1637"/>
      <c r="P8" s="3692" t="s">
        <v>482</v>
      </c>
      <c r="Q8" s="3693"/>
      <c r="R8" s="1301" t="s">
        <v>5</v>
      </c>
      <c r="S8" s="1302">
        <f t="shared" si="0"/>
        <v>0</v>
      </c>
      <c r="T8" s="1301" t="s">
        <v>5</v>
      </c>
      <c r="U8" s="1302">
        <f t="shared" si="1"/>
        <v>0</v>
      </c>
      <c r="V8" s="1301" t="s">
        <v>5</v>
      </c>
      <c r="W8" s="1302">
        <f t="shared" si="2"/>
        <v>0</v>
      </c>
      <c r="X8" s="1303"/>
      <c r="Y8" s="3692" t="s">
        <v>482</v>
      </c>
      <c r="Z8" s="3693"/>
      <c r="AA8" s="995" t="e">
        <f t="shared" ref="AA8:AA46" si="3">D8/F8</f>
        <v>#DIV/0!</v>
      </c>
      <c r="AB8" s="995" t="e">
        <f t="shared" ref="AB8:AB46" si="4">D8/H8</f>
        <v>#DIV/0!</v>
      </c>
      <c r="AC8" s="995" t="e">
        <f t="shared" ref="AC8:AC46" si="5">D8/J8</f>
        <v>#DIV/0!</v>
      </c>
    </row>
    <row r="9" spans="1:29" s="1058" customFormat="1" ht="15">
      <c r="A9" s="2208"/>
      <c r="B9" s="2215" t="s">
        <v>2033</v>
      </c>
      <c r="C9" s="791"/>
      <c r="D9" s="154">
        <v>100</v>
      </c>
      <c r="E9" s="793"/>
      <c r="F9" s="154">
        <f>SUMIF(63:63,E9,64:64)-SUMIF(63:63,C9,64:64)+100</f>
        <v>100</v>
      </c>
      <c r="G9" s="792"/>
      <c r="H9" s="154">
        <f>SUMIF(63:63,G9,64:64)-SUMIF(63:63,C9,64:64)+100</f>
        <v>100</v>
      </c>
      <c r="I9" s="792"/>
      <c r="J9" s="154">
        <f>SUMIF(63:63,I9,64:64)-SUMIF(63:63,C9,64:64)+100</f>
        <v>100</v>
      </c>
      <c r="K9" s="88"/>
      <c r="L9" s="1740"/>
      <c r="M9" s="1637"/>
      <c r="N9" s="1637"/>
      <c r="O9" s="1741"/>
      <c r="P9" s="3700" t="s">
        <v>484</v>
      </c>
      <c r="Q9" s="817" t="str">
        <f t="shared" ref="Q9:Q15" si="6">B9</f>
        <v>用途</v>
      </c>
      <c r="R9" s="1301" t="s">
        <v>5</v>
      </c>
      <c r="S9" s="1302">
        <f t="shared" si="0"/>
        <v>100</v>
      </c>
      <c r="T9" s="1301" t="s">
        <v>5</v>
      </c>
      <c r="U9" s="1302">
        <f t="shared" si="1"/>
        <v>100</v>
      </c>
      <c r="V9" s="1301" t="s">
        <v>5</v>
      </c>
      <c r="W9" s="1302">
        <f t="shared" si="2"/>
        <v>100</v>
      </c>
      <c r="X9" s="1303"/>
      <c r="Y9" s="3652" t="s">
        <v>485</v>
      </c>
      <c r="Z9" s="995" t="str">
        <f t="shared" ref="Z9:Z15" si="7">Q9</f>
        <v>用途</v>
      </c>
      <c r="AA9" s="995">
        <f t="shared" si="3"/>
        <v>1</v>
      </c>
      <c r="AB9" s="995">
        <f t="shared" si="4"/>
        <v>1</v>
      </c>
      <c r="AC9" s="995">
        <f t="shared" si="5"/>
        <v>1</v>
      </c>
    </row>
    <row r="10" spans="1:29" s="1131" customFormat="1" ht="27">
      <c r="A10" s="2209"/>
      <c r="B10" s="2214" t="s">
        <v>2034</v>
      </c>
      <c r="C10" s="3382"/>
      <c r="D10" s="235">
        <v>100</v>
      </c>
      <c r="E10" s="3382"/>
      <c r="F10" s="235">
        <f>SUMIF(65:65,E10,66:66)-SUMIF(65:65,C10,66:66)+100</f>
        <v>100</v>
      </c>
      <c r="G10" s="3383"/>
      <c r="H10" s="235">
        <f>SUMIF(65:65,G10,66:66)-SUMIF(65:65,C10,66:66)+100</f>
        <v>100</v>
      </c>
      <c r="I10" s="3382"/>
      <c r="J10" s="235">
        <f>SUMIF(65:65,I10,66:66)-SUMIF(65:65,C10,66:66)+100</f>
        <v>100</v>
      </c>
      <c r="K10" s="88"/>
      <c r="L10" s="1742"/>
      <c r="M10" s="1775"/>
      <c r="N10" s="1775"/>
      <c r="O10" s="1743"/>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4"/>
      <c r="M11" s="1739"/>
      <c r="N11" s="1739"/>
      <c r="O11" s="1745"/>
      <c r="P11" s="3700"/>
      <c r="Q11" s="817" t="str">
        <f t="shared" si="6"/>
        <v>容积率</v>
      </c>
      <c r="R11" s="1301" t="s">
        <v>5</v>
      </c>
      <c r="S11" s="1302" t="e">
        <f t="shared" si="0"/>
        <v>#N/A</v>
      </c>
      <c r="T11" s="1301" t="s">
        <v>5</v>
      </c>
      <c r="U11" s="1302" t="e">
        <f t="shared" si="1"/>
        <v>#N/A</v>
      </c>
      <c r="V11" s="1301" t="s">
        <v>5</v>
      </c>
      <c r="W11" s="1302" t="e">
        <f t="shared" si="2"/>
        <v>#N/A</v>
      </c>
      <c r="X11" s="1303"/>
      <c r="Y11" s="3652"/>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SUMIF(70:70,E12,71:71)-SUMIF(70:70,C12,71:71)+100</f>
        <v>100</v>
      </c>
      <c r="G12" s="834"/>
      <c r="H12" s="235">
        <f>SUMIF(70:70,G12,71:71)-SUMIF(70:70,C12,71:71)+100</f>
        <v>100</v>
      </c>
      <c r="I12" s="489"/>
      <c r="J12" s="235">
        <f>SUMIF(70:70,I12,71:71)-SUMIF(70:70,C12,71:71)+100</f>
        <v>100</v>
      </c>
      <c r="K12" s="531"/>
      <c r="L12" s="1740"/>
      <c r="M12" s="1637"/>
      <c r="N12" s="1637"/>
      <c r="O12" s="1741"/>
      <c r="P12" s="3700"/>
      <c r="Q12" s="817">
        <f t="shared" si="6"/>
        <v>111</v>
      </c>
      <c r="R12" s="1301" t="s">
        <v>5</v>
      </c>
      <c r="S12" s="1302">
        <f t="shared" si="0"/>
        <v>100</v>
      </c>
      <c r="T12" s="1301" t="s">
        <v>5</v>
      </c>
      <c r="U12" s="1302">
        <f t="shared" si="1"/>
        <v>100</v>
      </c>
      <c r="V12" s="1301" t="s">
        <v>5</v>
      </c>
      <c r="W12" s="1302">
        <f t="shared" si="2"/>
        <v>100</v>
      </c>
      <c r="X12" s="1303"/>
      <c r="Y12" s="3652"/>
      <c r="Z12" s="995">
        <f t="shared" si="7"/>
        <v>111</v>
      </c>
      <c r="AA12" s="995">
        <f>D12/F12</f>
        <v>1</v>
      </c>
      <c r="AB12" s="995">
        <f>D12/H12</f>
        <v>1</v>
      </c>
      <c r="AC12" s="995">
        <f>D12/J12</f>
        <v>1</v>
      </c>
    </row>
    <row r="13" spans="1:29" ht="15">
      <c r="A13" s="2211"/>
      <c r="B13" s="2217">
        <v>111</v>
      </c>
      <c r="C13" s="489"/>
      <c r="D13" s="490">
        <v>100</v>
      </c>
      <c r="E13" s="489"/>
      <c r="F13" s="235">
        <f>SUMIF(72:72,E13,73:73)-SUMIF(72:72,C13,73:73)+100</f>
        <v>100</v>
      </c>
      <c r="G13" s="834"/>
      <c r="H13" s="490">
        <f>SUMIF(72:72,G13,73:73)-SUMIF(72:72,C13,73:73)+100</f>
        <v>100</v>
      </c>
      <c r="I13" s="489"/>
      <c r="J13" s="490">
        <f>SUMIF(72:72,I13,73:73)-SUMIF(72:72,C13,73:73)+100</f>
        <v>100</v>
      </c>
      <c r="K13" s="531"/>
      <c r="L13" s="1746"/>
      <c r="M13" s="1739"/>
      <c r="N13" s="1739"/>
      <c r="O13" s="1745"/>
      <c r="P13" s="3700"/>
      <c r="Q13" s="817">
        <f t="shared" si="6"/>
        <v>111</v>
      </c>
      <c r="R13" s="1301" t="s">
        <v>5</v>
      </c>
      <c r="S13" s="1302">
        <f t="shared" si="0"/>
        <v>100</v>
      </c>
      <c r="T13" s="1301" t="s">
        <v>5</v>
      </c>
      <c r="U13" s="1302">
        <f t="shared" si="1"/>
        <v>100</v>
      </c>
      <c r="V13" s="1301" t="s">
        <v>5</v>
      </c>
      <c r="W13" s="1302">
        <f t="shared" si="2"/>
        <v>100</v>
      </c>
      <c r="X13" s="1303"/>
      <c r="Y13" s="3652"/>
      <c r="Z13" s="995">
        <f t="shared" si="7"/>
        <v>111</v>
      </c>
      <c r="AA13" s="995">
        <f t="shared" si="3"/>
        <v>1</v>
      </c>
      <c r="AB13" s="995">
        <f t="shared" si="4"/>
        <v>1</v>
      </c>
      <c r="AC13" s="995">
        <f t="shared" si="5"/>
        <v>1</v>
      </c>
    </row>
    <row r="14" spans="1:29" ht="15.75" thickBot="1">
      <c r="A14" s="2212"/>
      <c r="B14" s="2218">
        <v>111</v>
      </c>
      <c r="C14" s="495"/>
      <c r="D14" s="496">
        <v>100</v>
      </c>
      <c r="E14" s="495"/>
      <c r="F14" s="496">
        <f>SUMIF(74:74,E14,75:75)-SUMIF(74:74,C14,75:75)+100</f>
        <v>100</v>
      </c>
      <c r="G14" s="834"/>
      <c r="H14" s="496">
        <f>SUMIF(74:74,G14,75:75)-SUMIF(74:74,C14,75:75)+100</f>
        <v>100</v>
      </c>
      <c r="I14" s="489"/>
      <c r="J14" s="496">
        <f>SUMIF(74:74,I14,75:75)-SUMIF(74:74,C14,75:75)+100</f>
        <v>100</v>
      </c>
      <c r="K14" s="531"/>
      <c r="L14" s="1746"/>
      <c r="M14" s="1739"/>
      <c r="N14" s="1739"/>
      <c r="O14" s="1745"/>
      <c r="P14" s="3700"/>
      <c r="Q14" s="817">
        <f t="shared" si="6"/>
        <v>111</v>
      </c>
      <c r="R14" s="1301" t="s">
        <v>5</v>
      </c>
      <c r="S14" s="1302">
        <f t="shared" si="0"/>
        <v>100</v>
      </c>
      <c r="T14" s="1301" t="s">
        <v>5</v>
      </c>
      <c r="U14" s="1302">
        <f t="shared" si="1"/>
        <v>100</v>
      </c>
      <c r="V14" s="1301" t="s">
        <v>5</v>
      </c>
      <c r="W14" s="1302">
        <f t="shared" si="2"/>
        <v>100</v>
      </c>
      <c r="X14" s="1303"/>
      <c r="Y14" s="3652"/>
      <c r="Z14" s="995">
        <f t="shared" si="7"/>
        <v>111</v>
      </c>
      <c r="AA14" s="995">
        <f t="shared" si="3"/>
        <v>1</v>
      </c>
      <c r="AB14" s="995">
        <f t="shared" si="4"/>
        <v>1</v>
      </c>
      <c r="AC14" s="995">
        <f t="shared" si="5"/>
        <v>1</v>
      </c>
    </row>
    <row r="15" spans="1:29" ht="15">
      <c r="A15" s="2204"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6"/>
      <c r="M15" s="1739"/>
      <c r="N15" s="1739"/>
      <c r="O15" s="1745"/>
      <c r="P15" s="3702" t="s">
        <v>489</v>
      </c>
      <c r="Q15" s="1304" t="str">
        <f t="shared" si="6"/>
        <v>商业繁华度</v>
      </c>
      <c r="R15" s="1305" t="s">
        <v>5</v>
      </c>
      <c r="S15" s="1306">
        <f t="shared" si="0"/>
        <v>100</v>
      </c>
      <c r="T15" s="1305" t="s">
        <v>5</v>
      </c>
      <c r="U15" s="1306">
        <f t="shared" si="1"/>
        <v>100</v>
      </c>
      <c r="V15" s="1305" t="s">
        <v>5</v>
      </c>
      <c r="W15" s="1306">
        <f t="shared" si="2"/>
        <v>100</v>
      </c>
      <c r="X15" s="1300"/>
      <c r="Y15" s="3702" t="s">
        <v>489</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03"/>
      <c r="Q16" s="1304"/>
      <c r="R16" s="1305"/>
      <c r="S16" s="1306"/>
      <c r="T16" s="1305"/>
      <c r="U16" s="1306"/>
      <c r="V16" s="1305"/>
      <c r="W16" s="1306"/>
      <c r="X16" s="1300"/>
      <c r="Y16" s="3703"/>
      <c r="Z16" s="1307"/>
      <c r="AA16" s="1307">
        <v>1</v>
      </c>
      <c r="AB16" s="1307">
        <v>1</v>
      </c>
      <c r="AC16" s="1307">
        <v>1</v>
      </c>
    </row>
    <row r="17" spans="1:29" ht="42.75">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6"/>
      <c r="M17" s="1739"/>
      <c r="N17" s="1739"/>
      <c r="O17" s="1745"/>
      <c r="P17" s="3703"/>
      <c r="Q17" s="1304" t="str">
        <f>B17</f>
        <v>交通便捷度</v>
      </c>
      <c r="R17" s="1305" t="s">
        <v>5</v>
      </c>
      <c r="S17" s="1306">
        <f>F17</f>
        <v>100</v>
      </c>
      <c r="T17" s="1305" t="s">
        <v>5</v>
      </c>
      <c r="U17" s="1306">
        <f>H17</f>
        <v>100</v>
      </c>
      <c r="V17" s="1305" t="s">
        <v>5</v>
      </c>
      <c r="W17" s="1306">
        <f>J17</f>
        <v>100</v>
      </c>
      <c r="X17" s="1300"/>
      <c r="Y17" s="3703"/>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03"/>
      <c r="Q18" s="1304"/>
      <c r="R18" s="1305"/>
      <c r="S18" s="1306"/>
      <c r="T18" s="1305"/>
      <c r="U18" s="1306"/>
      <c r="V18" s="1305"/>
      <c r="W18" s="1306"/>
      <c r="X18" s="1300"/>
      <c r="Y18" s="3703"/>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6"/>
      <c r="M19" s="1739"/>
      <c r="N19" s="1739"/>
      <c r="O19" s="1745"/>
      <c r="P19" s="3703"/>
      <c r="Q19" s="1304" t="str">
        <f>B19</f>
        <v>公共配套设施</v>
      </c>
      <c r="R19" s="1305" t="s">
        <v>5</v>
      </c>
      <c r="S19" s="1306">
        <f>F19</f>
        <v>100</v>
      </c>
      <c r="T19" s="1305" t="s">
        <v>5</v>
      </c>
      <c r="U19" s="1306">
        <f>H19</f>
        <v>100</v>
      </c>
      <c r="V19" s="1305" t="s">
        <v>5</v>
      </c>
      <c r="W19" s="1306">
        <f>J19</f>
        <v>100</v>
      </c>
      <c r="X19" s="1300"/>
      <c r="Y19" s="3703"/>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6"/>
      <c r="M20" s="1739"/>
      <c r="N20" s="1739"/>
      <c r="O20" s="1745"/>
      <c r="P20" s="3703"/>
      <c r="Q20" s="1304"/>
      <c r="R20" s="1305"/>
      <c r="S20" s="1306"/>
      <c r="T20" s="1305"/>
      <c r="U20" s="1306"/>
      <c r="V20" s="1305"/>
      <c r="W20" s="1306"/>
      <c r="X20" s="1300"/>
      <c r="Y20" s="3703"/>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6"/>
      <c r="M21" s="1739"/>
      <c r="N21" s="1739"/>
      <c r="O21" s="1745"/>
      <c r="P21" s="3703"/>
      <c r="Q21" s="1304" t="str">
        <f>B21</f>
        <v>基础设施水平</v>
      </c>
      <c r="R21" s="1305" t="s">
        <v>5</v>
      </c>
      <c r="S21" s="1306">
        <f>F21</f>
        <v>100</v>
      </c>
      <c r="T21" s="1305" t="s">
        <v>5</v>
      </c>
      <c r="U21" s="1306">
        <f>H21</f>
        <v>100</v>
      </c>
      <c r="V21" s="1305" t="s">
        <v>5</v>
      </c>
      <c r="W21" s="1306">
        <f>J21</f>
        <v>100</v>
      </c>
      <c r="X21" s="1300"/>
      <c r="Y21" s="3703"/>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8"/>
      <c r="L22" s="1746"/>
      <c r="M22" s="1739"/>
      <c r="N22" s="1739"/>
      <c r="O22" s="1745"/>
      <c r="P22" s="3703"/>
      <c r="Q22" s="1304"/>
      <c r="R22" s="1305"/>
      <c r="S22" s="1306"/>
      <c r="T22" s="1305"/>
      <c r="U22" s="1306"/>
      <c r="V22" s="1305"/>
      <c r="W22" s="1306"/>
      <c r="X22" s="1300"/>
      <c r="Y22" s="3703"/>
      <c r="Z22" s="1307"/>
      <c r="AA22" s="1307">
        <v>1</v>
      </c>
      <c r="AB22" s="1307">
        <v>1</v>
      </c>
      <c r="AC22" s="1307">
        <v>1</v>
      </c>
    </row>
    <row r="23" spans="1:29" ht="28.5">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6"/>
      <c r="M23" s="1739"/>
      <c r="N23" s="1739"/>
      <c r="O23" s="1745"/>
      <c r="P23" s="3703"/>
      <c r="Q23" s="1304" t="str">
        <f>B23</f>
        <v>自然及人文环境</v>
      </c>
      <c r="R23" s="1305" t="s">
        <v>5</v>
      </c>
      <c r="S23" s="1306">
        <f>F23</f>
        <v>100</v>
      </c>
      <c r="T23" s="1305" t="s">
        <v>5</v>
      </c>
      <c r="U23" s="1306">
        <f>H23</f>
        <v>100</v>
      </c>
      <c r="V23" s="1305" t="s">
        <v>5</v>
      </c>
      <c r="W23" s="1306">
        <f>J23</f>
        <v>100</v>
      </c>
      <c r="X23" s="1300"/>
      <c r="Y23" s="3703"/>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6"/>
      <c r="M24" s="1739"/>
      <c r="N24" s="1739"/>
      <c r="O24" s="1745"/>
      <c r="P24" s="3703"/>
      <c r="Q24" s="1304"/>
      <c r="R24" s="1305"/>
      <c r="S24" s="1306"/>
      <c r="T24" s="1305"/>
      <c r="U24" s="1306"/>
      <c r="V24" s="1305"/>
      <c r="W24" s="1306"/>
      <c r="X24" s="1300"/>
      <c r="Y24" s="3703"/>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6"/>
      <c r="M25" s="1739"/>
      <c r="N25" s="1739"/>
      <c r="O25" s="1745"/>
      <c r="P25" s="3703"/>
      <c r="Q25" s="1304" t="str">
        <f t="shared" ref="Q25:Q46" si="8">B25</f>
        <v>临街状况</v>
      </c>
      <c r="R25" s="1305" t="s">
        <v>5</v>
      </c>
      <c r="S25" s="1306">
        <f>F25</f>
        <v>100</v>
      </c>
      <c r="T25" s="1305" t="s">
        <v>5</v>
      </c>
      <c r="U25" s="1306">
        <f>H25</f>
        <v>100</v>
      </c>
      <c r="V25" s="1305" t="s">
        <v>5</v>
      </c>
      <c r="W25" s="1306">
        <f>J25</f>
        <v>100</v>
      </c>
      <c r="X25" s="1300"/>
      <c r="Y25" s="3703"/>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6"/>
      <c r="M26" s="1739"/>
      <c r="N26" s="1739"/>
      <c r="O26" s="1745"/>
      <c r="P26" s="3703"/>
      <c r="Q26" s="1304" t="str">
        <f t="shared" si="8"/>
        <v>平面位置/可视性</v>
      </c>
      <c r="R26" s="1305" t="s">
        <v>5</v>
      </c>
      <c r="S26" s="1306">
        <f>F26</f>
        <v>100</v>
      </c>
      <c r="T26" s="1305" t="s">
        <v>5</v>
      </c>
      <c r="U26" s="1306">
        <f>H26</f>
        <v>100</v>
      </c>
      <c r="V26" s="1305" t="s">
        <v>5</v>
      </c>
      <c r="W26" s="1306">
        <f>J26</f>
        <v>100</v>
      </c>
      <c r="X26" s="1300"/>
      <c r="Y26" s="3703"/>
      <c r="Z26" s="1307" t="str">
        <f>Q26</f>
        <v>平面位置/可视性</v>
      </c>
      <c r="AA26" s="1307">
        <f t="shared" si="3"/>
        <v>1</v>
      </c>
      <c r="AB26" s="1307">
        <f t="shared" si="4"/>
        <v>1</v>
      </c>
      <c r="AC26" s="1307">
        <f t="shared" si="5"/>
        <v>1</v>
      </c>
    </row>
    <row r="27" spans="1:29" s="1058"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0"/>
      <c r="M27" s="1637"/>
      <c r="N27" s="1637"/>
      <c r="O27" s="1741"/>
      <c r="P27" s="3703"/>
      <c r="Q27" s="817" t="str">
        <f t="shared" si="8"/>
        <v>人流量</v>
      </c>
      <c r="R27" s="1301" t="s">
        <v>5</v>
      </c>
      <c r="S27" s="1302">
        <f>F27</f>
        <v>100</v>
      </c>
      <c r="T27" s="1301" t="s">
        <v>5</v>
      </c>
      <c r="U27" s="1302">
        <f>H27</f>
        <v>100</v>
      </c>
      <c r="V27" s="1301" t="s">
        <v>5</v>
      </c>
      <c r="W27" s="1302">
        <f>J27</f>
        <v>100</v>
      </c>
      <c r="X27" s="1303"/>
      <c r="Y27" s="3703"/>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6"/>
      <c r="M28" s="1739"/>
      <c r="N28" s="1739"/>
      <c r="O28" s="1745"/>
      <c r="P28" s="3703"/>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03"/>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6"/>
      <c r="M29" s="1739"/>
      <c r="N29" s="1739"/>
      <c r="O29" s="1745"/>
      <c r="P29" s="3703"/>
      <c r="Q29" s="1304">
        <f t="shared" si="8"/>
        <v>111</v>
      </c>
      <c r="R29" s="1305" t="s">
        <v>5</v>
      </c>
      <c r="S29" s="1306">
        <f t="shared" si="9"/>
        <v>100</v>
      </c>
      <c r="T29" s="1305" t="s">
        <v>5</v>
      </c>
      <c r="U29" s="1306">
        <f t="shared" si="10"/>
        <v>100</v>
      </c>
      <c r="V29" s="1305" t="s">
        <v>5</v>
      </c>
      <c r="W29" s="1306">
        <f t="shared" si="11"/>
        <v>100</v>
      </c>
      <c r="X29" s="1300"/>
      <c r="Y29" s="3703"/>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6"/>
      <c r="M30" s="1739"/>
      <c r="N30" s="1739"/>
      <c r="O30" s="1745"/>
      <c r="P30" s="3703"/>
      <c r="Q30" s="1304">
        <f t="shared" si="8"/>
        <v>111</v>
      </c>
      <c r="R30" s="1305" t="s">
        <v>5</v>
      </c>
      <c r="S30" s="1306">
        <f t="shared" si="9"/>
        <v>100</v>
      </c>
      <c r="T30" s="1305" t="s">
        <v>5</v>
      </c>
      <c r="U30" s="1306">
        <f t="shared" si="10"/>
        <v>100</v>
      </c>
      <c r="V30" s="1305" t="s">
        <v>5</v>
      </c>
      <c r="W30" s="1306">
        <f t="shared" si="11"/>
        <v>100</v>
      </c>
      <c r="X30" s="1300"/>
      <c r="Y30" s="3703"/>
      <c r="Z30" s="1307">
        <f t="shared" si="12"/>
        <v>111</v>
      </c>
      <c r="AA30" s="1307">
        <f t="shared" si="3"/>
        <v>1</v>
      </c>
      <c r="AB30" s="1307">
        <f t="shared" si="4"/>
        <v>1</v>
      </c>
      <c r="AC30" s="1307">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6"/>
      <c r="M31" s="1739"/>
      <c r="N31" s="1739"/>
      <c r="O31" s="1745"/>
      <c r="P31" s="3703"/>
      <c r="Q31" s="1304">
        <f t="shared" si="8"/>
        <v>111</v>
      </c>
      <c r="R31" s="1305" t="s">
        <v>5</v>
      </c>
      <c r="S31" s="1306">
        <f t="shared" si="9"/>
        <v>100</v>
      </c>
      <c r="T31" s="1305" t="s">
        <v>5</v>
      </c>
      <c r="U31" s="1306">
        <f t="shared" si="10"/>
        <v>100</v>
      </c>
      <c r="V31" s="1305" t="s">
        <v>5</v>
      </c>
      <c r="W31" s="1306">
        <f t="shared" si="11"/>
        <v>100</v>
      </c>
      <c r="X31" s="1300"/>
      <c r="Y31" s="3703"/>
      <c r="Z31" s="1307">
        <f t="shared" si="12"/>
        <v>111</v>
      </c>
      <c r="AA31" s="1307">
        <f t="shared" si="3"/>
        <v>1</v>
      </c>
      <c r="AB31" s="1307">
        <f t="shared" si="4"/>
        <v>1</v>
      </c>
      <c r="AC31" s="1307">
        <f t="shared" si="5"/>
        <v>1</v>
      </c>
    </row>
    <row r="32" spans="1:29" ht="15">
      <c r="A32" s="2201"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6"/>
      <c r="M32" s="1739"/>
      <c r="N32" s="1739"/>
      <c r="O32" s="1745"/>
      <c r="P32" s="3704" t="s">
        <v>499</v>
      </c>
      <c r="Q32" s="1304" t="str">
        <f t="shared" si="8"/>
        <v>商业类型</v>
      </c>
      <c r="R32" s="1305" t="s">
        <v>5</v>
      </c>
      <c r="S32" s="1306">
        <f t="shared" si="9"/>
        <v>100</v>
      </c>
      <c r="T32" s="1305" t="s">
        <v>5</v>
      </c>
      <c r="U32" s="1306">
        <f t="shared" si="10"/>
        <v>100</v>
      </c>
      <c r="V32" s="1305" t="s">
        <v>5</v>
      </c>
      <c r="W32" s="1306">
        <f t="shared" si="11"/>
        <v>100</v>
      </c>
      <c r="X32" s="1300"/>
      <c r="Y32" s="3705" t="s">
        <v>499</v>
      </c>
      <c r="Z32" s="1307" t="str">
        <f t="shared" si="12"/>
        <v>商业类型</v>
      </c>
      <c r="AA32" s="1307">
        <f t="shared" si="3"/>
        <v>1</v>
      </c>
      <c r="AB32" s="1307">
        <f t="shared" si="4"/>
        <v>1</v>
      </c>
      <c r="AC32" s="1307">
        <f t="shared" si="5"/>
        <v>1</v>
      </c>
    </row>
    <row r="33" spans="1:29" s="1132"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4"/>
      <c r="M33" s="1768"/>
      <c r="N33" s="1768"/>
      <c r="O33" s="1747"/>
      <c r="P33" s="3705"/>
      <c r="Q33" s="818" t="str">
        <f t="shared" si="8"/>
        <v>项目建筑规模</v>
      </c>
      <c r="R33" s="1308" t="s">
        <v>5</v>
      </c>
      <c r="S33" s="1309" t="e">
        <f t="shared" si="9"/>
        <v>#N/A</v>
      </c>
      <c r="T33" s="1308" t="s">
        <v>5</v>
      </c>
      <c r="U33" s="1309" t="e">
        <f t="shared" si="10"/>
        <v>#N/A</v>
      </c>
      <c r="V33" s="1308" t="s">
        <v>5</v>
      </c>
      <c r="W33" s="1309" t="e">
        <f t="shared" si="11"/>
        <v>#N/A</v>
      </c>
      <c r="X33" s="1310"/>
      <c r="Y33" s="3705"/>
      <c r="Z33" s="1311" t="str">
        <f t="shared" si="12"/>
        <v>项目建筑规模</v>
      </c>
      <c r="AA33" s="1307" t="e">
        <f t="shared" si="3"/>
        <v>#N/A</v>
      </c>
      <c r="AB33" s="1307" t="e">
        <f t="shared" si="4"/>
        <v>#N/A</v>
      </c>
      <c r="AC33" s="1307"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6"/>
      <c r="M34" s="1739"/>
      <c r="N34" s="1739"/>
      <c r="O34" s="1745"/>
      <c r="P34" s="3705"/>
      <c r="Q34" s="1304" t="str">
        <f t="shared" si="8"/>
        <v>建筑结构</v>
      </c>
      <c r="R34" s="1305" t="s">
        <v>5</v>
      </c>
      <c r="S34" s="1306">
        <f t="shared" si="9"/>
        <v>100</v>
      </c>
      <c r="T34" s="1305" t="s">
        <v>5</v>
      </c>
      <c r="U34" s="1306">
        <f t="shared" si="10"/>
        <v>100</v>
      </c>
      <c r="V34" s="1305" t="s">
        <v>5</v>
      </c>
      <c r="W34" s="1306">
        <f t="shared" si="11"/>
        <v>100</v>
      </c>
      <c r="X34" s="1300"/>
      <c r="Y34" s="3705"/>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6"/>
      <c r="M35" s="1739"/>
      <c r="N35" s="1739"/>
      <c r="O35" s="1745"/>
      <c r="P35" s="3705"/>
      <c r="Q35" s="1304" t="str">
        <f t="shared" si="8"/>
        <v>公共部分装修</v>
      </c>
      <c r="R35" s="1305" t="s">
        <v>5</v>
      </c>
      <c r="S35" s="1306">
        <f t="shared" si="9"/>
        <v>100</v>
      </c>
      <c r="T35" s="1305" t="s">
        <v>5</v>
      </c>
      <c r="U35" s="1306">
        <f t="shared" si="10"/>
        <v>100</v>
      </c>
      <c r="V35" s="1305" t="s">
        <v>5</v>
      </c>
      <c r="W35" s="1306">
        <f t="shared" si="11"/>
        <v>100</v>
      </c>
      <c r="X35" s="1300"/>
      <c r="Y35" s="3705"/>
      <c r="Z35" s="1307" t="str">
        <f t="shared" si="12"/>
        <v>公共部分装修</v>
      </c>
      <c r="AA35" s="1307">
        <f t="shared" si="3"/>
        <v>1</v>
      </c>
      <c r="AB35" s="1307">
        <f t="shared" si="4"/>
        <v>1</v>
      </c>
      <c r="AC35" s="1307">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6"/>
      <c r="M36" s="1739"/>
      <c r="N36" s="1739"/>
      <c r="O36" s="1745"/>
      <c r="P36" s="3705"/>
      <c r="Q36" s="1304" t="str">
        <f t="shared" si="8"/>
        <v>成新度</v>
      </c>
      <c r="R36" s="1305" t="s">
        <v>5</v>
      </c>
      <c r="S36" s="1306" t="e">
        <f t="shared" si="9"/>
        <v>#N/A</v>
      </c>
      <c r="T36" s="1305" t="s">
        <v>5</v>
      </c>
      <c r="U36" s="1306" t="e">
        <f t="shared" si="10"/>
        <v>#N/A</v>
      </c>
      <c r="V36" s="1305" t="s">
        <v>5</v>
      </c>
      <c r="W36" s="1306" t="e">
        <f t="shared" si="11"/>
        <v>#N/A</v>
      </c>
      <c r="X36" s="1300"/>
      <c r="Y36" s="3705"/>
      <c r="Z36" s="1307" t="str">
        <f t="shared" si="12"/>
        <v>成新度</v>
      </c>
      <c r="AA36" s="1307" t="e">
        <f t="shared" si="3"/>
        <v>#N/A</v>
      </c>
      <c r="AB36" s="1307" t="e">
        <f t="shared" si="4"/>
        <v>#N/A</v>
      </c>
      <c r="AC36" s="1307" t="e">
        <f t="shared" si="5"/>
        <v>#N/A</v>
      </c>
    </row>
    <row r="37" spans="1:29" s="1058" customFormat="1" ht="15">
      <c r="A37" s="549"/>
      <c r="B37" s="1551"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0"/>
      <c r="M37" s="1637"/>
      <c r="N37" s="1637"/>
      <c r="O37" s="1741"/>
      <c r="P37" s="3705"/>
      <c r="Q37" s="817" t="str">
        <f t="shared" si="8"/>
        <v>市政基础设施</v>
      </c>
      <c r="R37" s="1301" t="s">
        <v>5</v>
      </c>
      <c r="S37" s="1302">
        <f t="shared" si="9"/>
        <v>100</v>
      </c>
      <c r="T37" s="1301" t="s">
        <v>5</v>
      </c>
      <c r="U37" s="1302">
        <f t="shared" si="10"/>
        <v>100</v>
      </c>
      <c r="V37" s="1301" t="s">
        <v>5</v>
      </c>
      <c r="W37" s="1302">
        <f t="shared" si="11"/>
        <v>100</v>
      </c>
      <c r="X37" s="1303"/>
      <c r="Y37" s="3705"/>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6"/>
      <c r="M38" s="1739"/>
      <c r="N38" s="1739"/>
      <c r="O38" s="1745"/>
      <c r="P38" s="3705" t="s">
        <v>706</v>
      </c>
      <c r="Q38" s="1304" t="str">
        <f t="shared" si="8"/>
        <v>业态</v>
      </c>
      <c r="R38" s="1305" t="s">
        <v>5</v>
      </c>
      <c r="S38" s="1306">
        <f t="shared" si="9"/>
        <v>100</v>
      </c>
      <c r="T38" s="1305" t="s">
        <v>5</v>
      </c>
      <c r="U38" s="1306">
        <f t="shared" si="10"/>
        <v>100</v>
      </c>
      <c r="V38" s="1305" t="s">
        <v>5</v>
      </c>
      <c r="W38" s="1306">
        <f t="shared" si="11"/>
        <v>100</v>
      </c>
      <c r="X38" s="1300"/>
      <c r="Y38" s="3705"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6"/>
      <c r="M39" s="1739"/>
      <c r="N39" s="1739"/>
      <c r="O39" s="1745"/>
      <c r="P39" s="3705"/>
      <c r="Q39" s="1304" t="str">
        <f t="shared" si="8"/>
        <v>层高</v>
      </c>
      <c r="R39" s="1305" t="s">
        <v>5</v>
      </c>
      <c r="S39" s="1306">
        <f t="shared" si="9"/>
        <v>100</v>
      </c>
      <c r="T39" s="1305" t="s">
        <v>5</v>
      </c>
      <c r="U39" s="1306">
        <f t="shared" si="10"/>
        <v>100</v>
      </c>
      <c r="V39" s="1305" t="s">
        <v>5</v>
      </c>
      <c r="W39" s="1306">
        <f t="shared" si="11"/>
        <v>100</v>
      </c>
      <c r="X39" s="1300"/>
      <c r="Y39" s="3705"/>
      <c r="Z39" s="1307" t="str">
        <f t="shared" si="12"/>
        <v>层高</v>
      </c>
      <c r="AA39" s="1307">
        <f t="shared" si="3"/>
        <v>1</v>
      </c>
      <c r="AB39" s="1307">
        <f t="shared" si="4"/>
        <v>1</v>
      </c>
      <c r="AC39" s="1307">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6"/>
      <c r="M40" s="1739"/>
      <c r="N40" s="1739"/>
      <c r="O40" s="1745"/>
      <c r="P40" s="3705"/>
      <c r="Q40" s="1304" t="str">
        <f t="shared" si="8"/>
        <v>单套建筑面积</v>
      </c>
      <c r="R40" s="1305" t="s">
        <v>5</v>
      </c>
      <c r="S40" s="1306">
        <f t="shared" si="9"/>
        <v>100</v>
      </c>
      <c r="T40" s="1305" t="s">
        <v>5</v>
      </c>
      <c r="U40" s="1306">
        <f t="shared" si="10"/>
        <v>100</v>
      </c>
      <c r="V40" s="1305" t="s">
        <v>5</v>
      </c>
      <c r="W40" s="1306">
        <f t="shared" si="11"/>
        <v>100</v>
      </c>
      <c r="X40" s="1300"/>
      <c r="Y40" s="3705"/>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4"/>
      <c r="M41" s="1768"/>
      <c r="N41" s="1768"/>
      <c r="O41" s="1747"/>
      <c r="P41" s="3705"/>
      <c r="Q41" s="818" t="str">
        <f t="shared" si="8"/>
        <v>进深比</v>
      </c>
      <c r="R41" s="1308" t="s">
        <v>5</v>
      </c>
      <c r="S41" s="1309">
        <f t="shared" si="9"/>
        <v>100</v>
      </c>
      <c r="T41" s="1308" t="s">
        <v>5</v>
      </c>
      <c r="U41" s="1309">
        <f t="shared" si="10"/>
        <v>100</v>
      </c>
      <c r="V41" s="1308" t="s">
        <v>5</v>
      </c>
      <c r="W41" s="1309">
        <f t="shared" si="11"/>
        <v>100</v>
      </c>
      <c r="X41" s="1310"/>
      <c r="Y41" s="3705"/>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6"/>
      <c r="M42" s="1739"/>
      <c r="N42" s="1739"/>
      <c r="O42" s="1745"/>
      <c r="P42" s="3705"/>
      <c r="Q42" s="1304" t="str">
        <f t="shared" si="8"/>
        <v>内部装修</v>
      </c>
      <c r="R42" s="1305" t="s">
        <v>5</v>
      </c>
      <c r="S42" s="1306">
        <f t="shared" si="9"/>
        <v>100</v>
      </c>
      <c r="T42" s="1305" t="s">
        <v>5</v>
      </c>
      <c r="U42" s="1306">
        <f t="shared" si="10"/>
        <v>100</v>
      </c>
      <c r="V42" s="1305" t="s">
        <v>5</v>
      </c>
      <c r="W42" s="1306">
        <f t="shared" si="11"/>
        <v>100</v>
      </c>
      <c r="X42" s="1300"/>
      <c r="Y42" s="3705"/>
      <c r="Z42" s="1307" t="str">
        <f t="shared" si="12"/>
        <v>内部装修</v>
      </c>
      <c r="AA42" s="1307">
        <f t="shared" si="3"/>
        <v>1</v>
      </c>
      <c r="AB42" s="1307">
        <f t="shared" si="4"/>
        <v>1</v>
      </c>
      <c r="AC42" s="1307">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6"/>
      <c r="M43" s="1739"/>
      <c r="N43" s="1739"/>
      <c r="O43" s="1745"/>
      <c r="P43" s="3705"/>
      <c r="Q43" s="1304" t="str">
        <f t="shared" si="8"/>
        <v>内部装修维护情况</v>
      </c>
      <c r="R43" s="1305" t="s">
        <v>5</v>
      </c>
      <c r="S43" s="1306">
        <f t="shared" si="9"/>
        <v>100</v>
      </c>
      <c r="T43" s="1305" t="s">
        <v>5</v>
      </c>
      <c r="U43" s="1306">
        <f t="shared" si="10"/>
        <v>100</v>
      </c>
      <c r="V43" s="1305" t="s">
        <v>5</v>
      </c>
      <c r="W43" s="1306">
        <f t="shared" si="11"/>
        <v>100</v>
      </c>
      <c r="X43" s="1300"/>
      <c r="Y43" s="3705"/>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0"/>
      <c r="M44" s="1637"/>
      <c r="N44" s="1637"/>
      <c r="O44" s="1741"/>
      <c r="P44" s="3705"/>
      <c r="Q44" s="817">
        <f t="shared" si="8"/>
        <v>111</v>
      </c>
      <c r="R44" s="1301" t="s">
        <v>5</v>
      </c>
      <c r="S44" s="1302">
        <f t="shared" si="9"/>
        <v>100</v>
      </c>
      <c r="T44" s="1301" t="s">
        <v>5</v>
      </c>
      <c r="U44" s="1302">
        <f t="shared" si="10"/>
        <v>100</v>
      </c>
      <c r="V44" s="1301" t="s">
        <v>5</v>
      </c>
      <c r="W44" s="1302">
        <f t="shared" si="11"/>
        <v>100</v>
      </c>
      <c r="X44" s="1303"/>
      <c r="Y44" s="3705"/>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6"/>
      <c r="M45" s="1739"/>
      <c r="N45" s="1739"/>
      <c r="O45" s="1745"/>
      <c r="P45" s="3705"/>
      <c r="Q45" s="1304">
        <f t="shared" si="8"/>
        <v>111</v>
      </c>
      <c r="R45" s="1305" t="s">
        <v>5</v>
      </c>
      <c r="S45" s="1306">
        <f t="shared" si="9"/>
        <v>100</v>
      </c>
      <c r="T45" s="1305" t="s">
        <v>5</v>
      </c>
      <c r="U45" s="1306">
        <f t="shared" si="10"/>
        <v>100</v>
      </c>
      <c r="V45" s="1305" t="s">
        <v>5</v>
      </c>
      <c r="W45" s="1306">
        <f t="shared" si="11"/>
        <v>100</v>
      </c>
      <c r="X45" s="1300"/>
      <c r="Y45" s="3705"/>
      <c r="Z45" s="1307">
        <f t="shared" si="12"/>
        <v>111</v>
      </c>
      <c r="AA45" s="1307">
        <f t="shared" si="3"/>
        <v>1</v>
      </c>
      <c r="AB45" s="1307">
        <f t="shared" si="4"/>
        <v>1</v>
      </c>
      <c r="AC45" s="1307">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6"/>
      <c r="M46" s="1739"/>
      <c r="N46" s="1739"/>
      <c r="O46" s="1745"/>
      <c r="P46" s="3801"/>
      <c r="Q46" s="1304">
        <f t="shared" si="8"/>
        <v>111</v>
      </c>
      <c r="R46" s="1305" t="s">
        <v>5</v>
      </c>
      <c r="S46" s="1306">
        <f t="shared" si="9"/>
        <v>100</v>
      </c>
      <c r="T46" s="1305" t="s">
        <v>5</v>
      </c>
      <c r="U46" s="1306">
        <f t="shared" si="10"/>
        <v>100</v>
      </c>
      <c r="V46" s="1305" t="s">
        <v>5</v>
      </c>
      <c r="W46" s="1306">
        <f t="shared" si="11"/>
        <v>100</v>
      </c>
      <c r="X46" s="1300"/>
      <c r="Y46" s="3801"/>
      <c r="Z46" s="1307">
        <f t="shared" si="12"/>
        <v>111</v>
      </c>
      <c r="AA46" s="1307">
        <f t="shared" si="3"/>
        <v>1</v>
      </c>
      <c r="AB46" s="1307">
        <f t="shared" si="4"/>
        <v>1</v>
      </c>
      <c r="AC46" s="1307">
        <f t="shared" si="5"/>
        <v>1</v>
      </c>
    </row>
    <row r="47" spans="1:29" ht="15">
      <c r="A47" s="556" t="s">
        <v>683</v>
      </c>
      <c r="B47" s="811"/>
      <c r="C47" s="2078" t="s">
        <v>0</v>
      </c>
      <c r="D47" s="559"/>
      <c r="E47" s="560"/>
      <c r="F47" s="561"/>
      <c r="G47" s="562"/>
      <c r="H47" s="563"/>
      <c r="I47" s="560"/>
      <c r="J47" s="563"/>
      <c r="K47" s="1333"/>
      <c r="L47" s="1748"/>
      <c r="M47" s="1739"/>
      <c r="N47" s="1739"/>
      <c r="O47" s="1739"/>
      <c r="P47" s="3700" t="str">
        <f>A47</f>
        <v>成交单价（元/平方米）</v>
      </c>
      <c r="Q47" s="3700"/>
      <c r="R47" s="3716">
        <f>E47</f>
        <v>0</v>
      </c>
      <c r="S47" s="3716"/>
      <c r="T47" s="3716">
        <f>G47</f>
        <v>0</v>
      </c>
      <c r="U47" s="3716"/>
      <c r="V47" s="3716">
        <f>I47</f>
        <v>0</v>
      </c>
      <c r="W47" s="3716"/>
      <c r="X47" s="799"/>
      <c r="Y47" s="1312"/>
      <c r="Z47" s="799"/>
      <c r="AA47" s="799"/>
      <c r="AB47" s="799"/>
      <c r="AC47" s="799"/>
    </row>
    <row r="48" spans="1:29" ht="15.75" thickBot="1">
      <c r="A48" s="564" t="s">
        <v>2037</v>
      </c>
      <c r="B48" s="812"/>
      <c r="C48" s="2079" t="e">
        <f>R49</f>
        <v>#DIV/0!</v>
      </c>
      <c r="D48" s="2547" t="s">
        <v>2243</v>
      </c>
      <c r="E48" s="2080" t="e">
        <f>R48</f>
        <v>#DIV/0!</v>
      </c>
      <c r="F48" s="2548"/>
      <c r="G48" s="2079" t="e">
        <f>T48</f>
        <v>#DIV/0!</v>
      </c>
      <c r="H48" s="2548"/>
      <c r="I48" s="2080" t="e">
        <f>V48</f>
        <v>#DIV/0!</v>
      </c>
      <c r="J48" s="2548"/>
      <c r="K48" s="2555">
        <f>F48+H48+J48</f>
        <v>0</v>
      </c>
      <c r="L48" s="1748"/>
      <c r="M48" s="1739"/>
      <c r="N48" s="1739"/>
      <c r="O48" s="1739"/>
      <c r="P48" s="3700" t="str">
        <f>A48</f>
        <v>比较价格（元/平方米）</v>
      </c>
      <c r="Q48" s="3700"/>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799"/>
      <c r="Y48" s="799"/>
      <c r="Z48" s="799"/>
      <c r="AA48" s="799"/>
      <c r="AB48" s="799"/>
      <c r="AC48" s="799"/>
    </row>
    <row r="49" spans="1:29" ht="15.75" thickBot="1">
      <c r="A49" s="568" t="s">
        <v>2180</v>
      </c>
      <c r="B49" s="569"/>
      <c r="C49" s="469" t="e">
        <f>R49</f>
        <v>#DIV/0!</v>
      </c>
      <c r="D49" s="469"/>
      <c r="E49" s="469"/>
      <c r="F49" s="469"/>
      <c r="G49" s="469"/>
      <c r="H49" s="469"/>
      <c r="I49" s="469"/>
      <c r="J49" s="469"/>
      <c r="K49" s="1334"/>
      <c r="L49" s="1748"/>
      <c r="M49" s="1739"/>
      <c r="N49" s="1739"/>
      <c r="O49" s="1739"/>
      <c r="P49" s="3706" t="str">
        <f>A49</f>
        <v>估价对象XX用房的比较价格（楼面单价，元/平方米）</v>
      </c>
      <c r="Q49" s="3707"/>
      <c r="R49" s="3800" t="e">
        <f>IF(F1="售价",ROUND(IF(D48="简单平均",AVERAGE(R48:V48),R48*F48+T48*H48+V48*J48),0),ROUND(IF(D48="简单平均",AVERAGE(R48:V48),R48*F48+T48*H48+V48*J48),1))</f>
        <v>#DIV/0!</v>
      </c>
      <c r="S49" s="3800"/>
      <c r="T49" s="3800"/>
      <c r="U49" s="3800"/>
      <c r="V49" s="3800"/>
      <c r="W49" s="3800"/>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1.75"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5">
      <c r="A58" s="592" t="s">
        <v>478</v>
      </c>
      <c r="B58" s="593"/>
      <c r="C58" s="2110" t="str">
        <f>YEAR(C7)&amp;"-"&amp;MONTH(C7)</f>
        <v>2025-5</v>
      </c>
      <c r="D58" s="2112">
        <f>EDATE(C58,-1)</f>
        <v>45748</v>
      </c>
      <c r="E58" s="2112">
        <f t="shared" ref="E58:O58" si="13">EDATE(D58,-1)</f>
        <v>45717</v>
      </c>
      <c r="F58" s="2112">
        <f t="shared" si="13"/>
        <v>45689</v>
      </c>
      <c r="G58" s="2112">
        <f t="shared" si="13"/>
        <v>45658</v>
      </c>
      <c r="H58" s="2112">
        <f t="shared" si="13"/>
        <v>45627</v>
      </c>
      <c r="I58" s="2112">
        <f t="shared" si="13"/>
        <v>45597</v>
      </c>
      <c r="J58" s="2112">
        <f t="shared" si="13"/>
        <v>45566</v>
      </c>
      <c r="K58" s="2112">
        <f t="shared" si="13"/>
        <v>45536</v>
      </c>
      <c r="L58" s="2112">
        <f t="shared" si="13"/>
        <v>45505</v>
      </c>
      <c r="M58" s="2112">
        <f t="shared" si="13"/>
        <v>45474</v>
      </c>
      <c r="N58" s="2112">
        <f t="shared" si="13"/>
        <v>45444</v>
      </c>
      <c r="O58" s="2112">
        <f t="shared" si="13"/>
        <v>45413</v>
      </c>
      <c r="P58" s="1762"/>
      <c r="Q58" s="1762"/>
      <c r="R58" s="1762"/>
      <c r="S58" s="1762"/>
      <c r="T58" s="1762"/>
      <c r="U58" s="1762"/>
      <c r="V58" s="1762"/>
      <c r="W58" s="1762"/>
      <c r="X58" s="1762"/>
      <c r="Y58" s="1762"/>
      <c r="Z58" s="1762"/>
      <c r="AA58" s="1762"/>
      <c r="AB58" s="1762"/>
      <c r="AC58" s="1762"/>
    </row>
    <row r="59" spans="1:29" s="1058" customFormat="1" ht="15">
      <c r="A59" s="527"/>
      <c r="B59" s="594"/>
      <c r="C59" s="595">
        <v>100</v>
      </c>
      <c r="D59" s="596"/>
      <c r="E59" s="596"/>
      <c r="F59" s="596"/>
      <c r="G59" s="596"/>
      <c r="H59" s="596"/>
      <c r="I59" s="596"/>
      <c r="J59" s="596"/>
      <c r="K59" s="596"/>
      <c r="L59" s="596"/>
      <c r="M59" s="487"/>
      <c r="N59" s="596"/>
      <c r="O59" s="597"/>
      <c r="P59" s="1760"/>
      <c r="Q59" s="1637"/>
      <c r="R59" s="1637"/>
      <c r="S59" s="1637"/>
      <c r="T59" s="1637"/>
      <c r="U59" s="1637"/>
      <c r="V59" s="1637"/>
      <c r="W59" s="1637"/>
      <c r="X59" s="1637"/>
      <c r="Y59" s="1637"/>
      <c r="Z59" s="1637"/>
      <c r="AA59" s="1637"/>
      <c r="AB59" s="1637"/>
      <c r="AC59" s="1637"/>
    </row>
    <row r="60" spans="1:29" s="1058" customFormat="1" ht="15.7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5">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5.75"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044"/>
    </row>
    <row r="63" spans="1:29">
      <c r="A63" s="607" t="s">
        <v>525</v>
      </c>
      <c r="B63" s="608" t="s">
        <v>483</v>
      </c>
      <c r="C63" s="645">
        <f>C9</f>
        <v>0</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5.75" thickBot="1">
      <c r="A64" s="482"/>
      <c r="B64" s="612"/>
      <c r="C64" s="613"/>
      <c r="D64" s="613"/>
      <c r="E64" s="613"/>
      <c r="F64" s="613"/>
      <c r="G64" s="613"/>
      <c r="H64" s="613"/>
      <c r="I64" s="613"/>
      <c r="J64" s="613"/>
      <c r="K64" s="613"/>
      <c r="L64" s="613"/>
      <c r="M64" s="614"/>
      <c r="N64" s="1765"/>
      <c r="O64" s="1765"/>
      <c r="P64" s="1763"/>
      <c r="Q64" s="1760"/>
      <c r="R64" s="1739"/>
      <c r="S64" s="1739"/>
      <c r="T64" s="1739"/>
      <c r="U64" s="1739"/>
      <c r="V64" s="1739"/>
      <c r="W64" s="1739"/>
      <c r="X64" s="1739"/>
      <c r="Y64" s="1739"/>
      <c r="Z64" s="1739"/>
      <c r="AA64" s="1739"/>
      <c r="AB64" s="1739"/>
      <c r="AC64" s="1739"/>
    </row>
    <row r="65" spans="1:29" ht="27.75" thickTop="1">
      <c r="A65" s="482"/>
      <c r="B65" s="615" t="s">
        <v>486</v>
      </c>
      <c r="C65" s="658"/>
      <c r="D65" s="658"/>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5.75" thickBot="1">
      <c r="A66" s="482"/>
      <c r="B66" s="620"/>
      <c r="C66" s="613"/>
      <c r="D66" s="613"/>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82"/>
      <c r="B68" s="625"/>
      <c r="C68" s="491"/>
      <c r="D68" s="491"/>
      <c r="E68" s="491"/>
      <c r="F68" s="491"/>
      <c r="G68" s="491"/>
      <c r="H68" s="491"/>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5.75"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5.75"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5.75"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5.75" thickBot="1">
      <c r="A73" s="629"/>
      <c r="B73" s="620"/>
      <c r="C73" s="634"/>
      <c r="D73" s="613"/>
      <c r="E73" s="613"/>
      <c r="F73" s="613"/>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5.75"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5.75"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7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7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7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7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75" thickTop="1">
      <c r="A86" s="486"/>
      <c r="B86" s="615" t="s">
        <v>711</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75" thickTop="1">
      <c r="A88" s="486"/>
      <c r="B88" s="615" t="str">
        <f>B26</f>
        <v>平面位置/可视性</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5.75" thickBot="1">
      <c r="A89" s="486"/>
      <c r="B89" s="620"/>
      <c r="C89" s="634"/>
      <c r="D89" s="613"/>
      <c r="E89" s="613"/>
      <c r="F89" s="613"/>
      <c r="G89" s="613"/>
      <c r="H89" s="613"/>
      <c r="I89" s="613"/>
      <c r="J89" s="613"/>
      <c r="K89" s="613"/>
      <c r="L89" s="613"/>
      <c r="M89" s="613"/>
      <c r="N89" s="1765"/>
      <c r="O89" s="1765"/>
      <c r="P89" s="1763"/>
      <c r="Q89" s="1760"/>
      <c r="R89" s="1637"/>
      <c r="S89" s="1637"/>
      <c r="T89" s="1637"/>
      <c r="U89" s="1637"/>
      <c r="V89" s="1637"/>
      <c r="W89" s="1637"/>
      <c r="X89" s="1637"/>
      <c r="Y89" s="1637"/>
      <c r="Z89" s="1637"/>
      <c r="AA89" s="1637"/>
      <c r="AB89" s="1637"/>
      <c r="AC89" s="1637"/>
    </row>
    <row r="90" spans="1:29" s="1132" customFormat="1" ht="15.75" thickTop="1">
      <c r="A90" s="629"/>
      <c r="B90" s="615" t="str">
        <f>B27</f>
        <v>人流量</v>
      </c>
      <c r="C90" s="630"/>
      <c r="D90" s="630"/>
      <c r="E90" s="630"/>
      <c r="F90" s="630"/>
      <c r="G90" s="630"/>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6"/>
      <c r="O91" s="1766"/>
      <c r="P91" s="1766"/>
      <c r="Q91" s="1767"/>
      <c r="R91" s="1768"/>
      <c r="S91" s="1768"/>
      <c r="T91" s="1768"/>
      <c r="U91" s="1768"/>
      <c r="V91" s="1768"/>
      <c r="W91" s="1768"/>
      <c r="X91" s="1768"/>
      <c r="Y91" s="1768"/>
      <c r="Z91" s="1768"/>
      <c r="AA91" s="1768"/>
      <c r="AB91" s="1768"/>
      <c r="AC91" s="1768"/>
    </row>
    <row r="92" spans="1:29" ht="15.75" thickTop="1">
      <c r="A92" s="482"/>
      <c r="B92" s="615" t="str">
        <f>B28</f>
        <v>楼层</v>
      </c>
      <c r="C92" s="630"/>
      <c r="D92" s="630"/>
      <c r="E92" s="630"/>
      <c r="F92" s="630"/>
      <c r="G92" s="630"/>
      <c r="H92" s="630"/>
      <c r="I92" s="630"/>
      <c r="J92" s="630"/>
      <c r="K92" s="630"/>
      <c r="L92" s="814"/>
      <c r="M92" s="815"/>
      <c r="N92" s="1764"/>
      <c r="O92" s="1764"/>
      <c r="P92" s="1763"/>
      <c r="Q92" s="1760"/>
      <c r="R92" s="1739"/>
      <c r="S92" s="1739"/>
      <c r="T92" s="1739"/>
      <c r="U92" s="1739"/>
      <c r="V92" s="1739"/>
      <c r="W92" s="1739"/>
      <c r="X92" s="1739"/>
      <c r="Y92" s="1739"/>
      <c r="Z92" s="1739"/>
      <c r="AA92" s="1739"/>
      <c r="AB92" s="1739"/>
      <c r="AC92" s="1739"/>
    </row>
    <row r="93" spans="1:29" ht="15.75" thickBot="1">
      <c r="A93" s="482"/>
      <c r="B93" s="620"/>
      <c r="C93" s="613"/>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5.75"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5.75" thickBot="1">
      <c r="A95" s="482"/>
      <c r="B95" s="620"/>
      <c r="C95" s="634"/>
      <c r="D95" s="613"/>
      <c r="E95" s="613"/>
      <c r="F95" s="613"/>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5.75"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5.75" thickBot="1">
      <c r="A97" s="482"/>
      <c r="B97" s="620"/>
      <c r="C97" s="634"/>
      <c r="D97" s="613"/>
      <c r="E97" s="613"/>
      <c r="F97" s="613"/>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5.75" thickTop="1">
      <c r="A98" s="482"/>
      <c r="B98" s="623">
        <f>B31</f>
        <v>111</v>
      </c>
      <c r="C98" s="630"/>
      <c r="D98" s="630"/>
      <c r="E98" s="630"/>
      <c r="F98" s="630"/>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5.75" thickBot="1">
      <c r="A99" s="493"/>
      <c r="B99" s="641"/>
      <c r="C99" s="642"/>
      <c r="D99" s="642"/>
      <c r="E99" s="642"/>
      <c r="F99" s="642"/>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c r="A100" s="607" t="s">
        <v>500</v>
      </c>
      <c r="B100" s="608" t="s">
        <v>712</v>
      </c>
      <c r="C100" s="547"/>
      <c r="D100" s="547"/>
      <c r="E100" s="547"/>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5"/>
      <c r="O101" s="1765"/>
      <c r="P101" s="1763"/>
      <c r="Q101" s="1760"/>
      <c r="R101" s="1739"/>
      <c r="S101" s="1739"/>
      <c r="T101" s="1739"/>
      <c r="U101" s="1739"/>
      <c r="V101" s="1739"/>
      <c r="W101" s="1739"/>
      <c r="X101" s="1739"/>
      <c r="Y101" s="1739"/>
      <c r="Z101" s="1739"/>
      <c r="AA101" s="1739"/>
      <c r="AB101" s="1739"/>
      <c r="AC101" s="1739"/>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c r="D103" s="79"/>
      <c r="E103" s="79"/>
      <c r="F103" s="79"/>
      <c r="G103" s="79"/>
      <c r="H103" s="79"/>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5.75" thickBot="1">
      <c r="A104" s="629"/>
      <c r="B104" s="620"/>
      <c r="C104" s="634"/>
      <c r="D104" s="613"/>
      <c r="E104" s="613"/>
      <c r="F104" s="613"/>
      <c r="G104" s="613"/>
      <c r="H104" s="613"/>
      <c r="I104" s="613"/>
      <c r="J104" s="613"/>
      <c r="K104" s="613"/>
      <c r="L104" s="613"/>
      <c r="M104" s="614"/>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630"/>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691</v>
      </c>
      <c r="C107" s="630"/>
      <c r="D107" s="630"/>
      <c r="E107" s="630"/>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c r="A110" s="543"/>
      <c r="B110" s="623"/>
      <c r="C110" s="817">
        <v>0.5</v>
      </c>
      <c r="D110" s="817">
        <v>0.6</v>
      </c>
      <c r="E110" s="817">
        <v>0.7</v>
      </c>
      <c r="F110" s="817">
        <v>0.8</v>
      </c>
      <c r="G110" s="817">
        <v>0.9</v>
      </c>
      <c r="H110" s="817">
        <v>1.0001</v>
      </c>
      <c r="I110" s="827"/>
      <c r="J110" s="827"/>
      <c r="K110" s="828"/>
      <c r="L110" s="829"/>
      <c r="M110" s="830"/>
      <c r="N110" s="1764"/>
      <c r="O110" s="1764"/>
      <c r="P110" s="1763"/>
      <c r="Q110" s="1760"/>
      <c r="R110" s="1739"/>
      <c r="S110" s="1739"/>
      <c r="T110" s="1739"/>
      <c r="U110" s="1739"/>
      <c r="V110" s="1739"/>
      <c r="W110" s="1739"/>
      <c r="X110" s="1739"/>
      <c r="Y110" s="1739"/>
      <c r="Z110" s="1739"/>
      <c r="AA110" s="1739"/>
      <c r="AB110" s="1739"/>
      <c r="AC110" s="1739"/>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5"/>
      <c r="O111" s="1765"/>
      <c r="P111" s="1763"/>
      <c r="Q111" s="1760"/>
      <c r="R111" s="1739"/>
      <c r="S111" s="1739"/>
      <c r="T111" s="1739"/>
      <c r="U111" s="1739"/>
      <c r="V111" s="1739"/>
      <c r="W111" s="1739"/>
      <c r="X111" s="1739"/>
      <c r="Y111" s="1739"/>
      <c r="Z111" s="1739"/>
      <c r="AA111" s="1739"/>
      <c r="AB111" s="1739"/>
      <c r="AC111" s="1739"/>
    </row>
    <row r="112" spans="1:29" s="1132" customFormat="1" ht="15" thickTop="1">
      <c r="A112" s="552"/>
      <c r="B112" s="1552" t="s">
        <v>1834</v>
      </c>
      <c r="C112" s="630"/>
      <c r="D112" s="630"/>
      <c r="E112" s="630"/>
      <c r="F112" s="630"/>
      <c r="G112" s="630"/>
      <c r="H112" s="658"/>
      <c r="I112" s="658"/>
      <c r="J112" s="658"/>
      <c r="K112" s="659"/>
      <c r="L112" s="660"/>
      <c r="M112" s="661"/>
      <c r="N112" s="1766"/>
      <c r="O112" s="1766"/>
      <c r="P112" s="1766"/>
      <c r="Q112" s="1767"/>
      <c r="R112" s="1768"/>
      <c r="S112" s="1768"/>
      <c r="T112" s="1768"/>
      <c r="U112" s="1768"/>
      <c r="V112" s="1768"/>
      <c r="W112" s="1768"/>
      <c r="X112" s="1768"/>
      <c r="Y112" s="1768"/>
      <c r="Z112" s="1768"/>
      <c r="AA112" s="1768"/>
      <c r="AB112" s="1768"/>
      <c r="AC112" s="1768"/>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713</v>
      </c>
      <c r="C114" s="630"/>
      <c r="D114" s="630"/>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615" t="s">
        <v>714</v>
      </c>
      <c r="C116" s="630"/>
      <c r="D116" s="630"/>
      <c r="E116" s="630"/>
      <c r="F116" s="630"/>
      <c r="G116" s="630"/>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715</v>
      </c>
      <c r="C118" s="831"/>
      <c r="D118" s="831"/>
      <c r="E118" s="831"/>
      <c r="F118" s="831"/>
      <c r="G118" s="831"/>
      <c r="H118" s="631"/>
      <c r="I118" s="631"/>
      <c r="J118" s="631"/>
      <c r="K118" s="631"/>
      <c r="L118" s="632"/>
      <c r="M118" s="633"/>
      <c r="N118" s="1764"/>
      <c r="O118" s="1764"/>
      <c r="P118" s="1763"/>
      <c r="Q118" s="1760"/>
      <c r="R118" s="1739"/>
      <c r="S118" s="1739"/>
      <c r="T118" s="1739"/>
      <c r="U118" s="1739"/>
      <c r="V118" s="1739"/>
      <c r="W118" s="1739"/>
      <c r="X118" s="1739"/>
      <c r="Y118" s="1739"/>
      <c r="Z118" s="1739"/>
      <c r="AA118" s="1739"/>
      <c r="AB118" s="1739"/>
      <c r="AC118" s="1739"/>
    </row>
    <row r="119" spans="1:29" ht="15.75" thickBot="1">
      <c r="A119" s="482"/>
      <c r="B119" s="620"/>
      <c r="C119" s="634"/>
      <c r="D119" s="613"/>
      <c r="E119" s="613"/>
      <c r="F119" s="613"/>
      <c r="G119" s="613"/>
      <c r="H119" s="613"/>
      <c r="I119" s="613"/>
      <c r="J119" s="613"/>
      <c r="K119" s="613"/>
      <c r="L119" s="613"/>
      <c r="M119" s="614"/>
      <c r="N119" s="1765"/>
      <c r="O119" s="1765"/>
      <c r="P119" s="1763"/>
      <c r="Q119" s="1760"/>
      <c r="R119" s="1739"/>
      <c r="S119" s="1739"/>
      <c r="T119" s="1739"/>
      <c r="U119" s="1739"/>
      <c r="V119" s="1739"/>
      <c r="W119" s="1739"/>
      <c r="X119" s="1739"/>
      <c r="Y119" s="1739"/>
      <c r="Z119" s="1739"/>
      <c r="AA119" s="1739"/>
      <c r="AB119" s="1739"/>
      <c r="AC119" s="1739"/>
    </row>
    <row r="120" spans="1:29" s="1132" customFormat="1" ht="15" thickTop="1">
      <c r="A120" s="552"/>
      <c r="B120" s="615" t="s">
        <v>716</v>
      </c>
      <c r="C120" s="658"/>
      <c r="D120" s="658"/>
      <c r="E120" s="658"/>
      <c r="F120" s="658"/>
      <c r="G120" s="631"/>
      <c r="H120" s="631"/>
      <c r="I120" s="631"/>
      <c r="J120" s="631"/>
      <c r="K120" s="631"/>
      <c r="L120" s="632"/>
      <c r="M120" s="633"/>
      <c r="N120" s="1766"/>
      <c r="O120" s="1766"/>
      <c r="P120" s="1766"/>
      <c r="Q120" s="1767"/>
      <c r="R120" s="1768"/>
      <c r="S120" s="1768"/>
      <c r="T120" s="1768"/>
      <c r="U120" s="1768"/>
      <c r="V120" s="1768"/>
      <c r="W120" s="1768"/>
      <c r="X120" s="1768"/>
      <c r="Y120" s="1768"/>
      <c r="Z120" s="1768"/>
      <c r="AA120" s="1768"/>
      <c r="AB120" s="1768"/>
      <c r="AC120" s="1768"/>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630"/>
      <c r="D122" s="630"/>
      <c r="E122" s="630"/>
      <c r="F122" s="658"/>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5"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5.75"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5"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5.75" thickBot="1">
      <c r="A129" s="482"/>
      <c r="B129" s="620"/>
      <c r="C129" s="634"/>
      <c r="D129" s="613"/>
      <c r="E129" s="613"/>
      <c r="F129" s="613"/>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5"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5.75"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4"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454" t="s">
        <v>717</v>
      </c>
      <c r="C1" s="455" t="s">
        <v>667</v>
      </c>
      <c r="D1" s="783"/>
      <c r="E1" s="457"/>
      <c r="F1" s="2115"/>
      <c r="G1" s="1326" t="s">
        <v>668</v>
      </c>
      <c r="H1" s="457"/>
      <c r="I1" s="457"/>
      <c r="J1" s="457"/>
      <c r="K1" s="458"/>
      <c r="L1" s="2713"/>
      <c r="M1" s="2714"/>
      <c r="N1" s="2714"/>
      <c r="O1" s="2714"/>
      <c r="P1" s="2769"/>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2769"/>
      <c r="Q2" s="1737"/>
      <c r="R2" s="1737"/>
      <c r="S2" s="1737"/>
      <c r="T2" s="1737"/>
      <c r="U2" s="1737"/>
      <c r="V2" s="1737"/>
      <c r="W2" s="1737"/>
      <c r="X2" s="1737"/>
      <c r="Y2" s="1737"/>
      <c r="Z2" s="1737"/>
      <c r="AA2" s="1737"/>
      <c r="AB2" s="1737"/>
      <c r="AC2" s="1671"/>
    </row>
    <row r="3" spans="1:29" s="1129" customFormat="1" ht="28.5" customHeight="1" thickBot="1">
      <c r="A3" s="460" t="s">
        <v>468</v>
      </c>
      <c r="B3" s="461" t="e">
        <f>C50</f>
        <v>#DIV/0!</v>
      </c>
      <c r="C3" s="786" t="s">
        <v>669</v>
      </c>
      <c r="D3" s="785">
        <f>SUMIF('数据-汇总表'!$C19:$C33,D1,'数据-汇总表'!$E19:$E33)</f>
        <v>0</v>
      </c>
      <c r="E3" s="1671"/>
      <c r="F3" s="1734"/>
      <c r="G3" s="1733"/>
      <c r="H3" s="1733"/>
      <c r="I3" s="1733"/>
      <c r="J3" s="1733"/>
      <c r="K3" s="1735"/>
      <c r="L3" s="1736"/>
      <c r="M3" s="1737"/>
      <c r="N3" s="1737"/>
      <c r="O3" s="1737"/>
      <c r="P3" s="2769"/>
      <c r="Q3" s="1737"/>
      <c r="R3" s="1737"/>
      <c r="S3" s="1737"/>
      <c r="T3" s="1737"/>
      <c r="U3" s="1737"/>
      <c r="V3" s="1737"/>
      <c r="W3" s="1737"/>
      <c r="X3" s="1737"/>
      <c r="Y3" s="1737"/>
      <c r="Z3" s="1737"/>
      <c r="AA3" s="1737"/>
      <c r="AB3" s="1737"/>
      <c r="AC3" s="1671"/>
    </row>
    <row r="4" spans="1:29" ht="15">
      <c r="A4" s="463" t="s">
        <v>470</v>
      </c>
      <c r="B4" s="464"/>
      <c r="C4" s="3708" t="s">
        <v>471</v>
      </c>
      <c r="D4" s="3709"/>
      <c r="E4" s="3734" t="s">
        <v>472</v>
      </c>
      <c r="F4" s="3735"/>
      <c r="G4" s="3708" t="s">
        <v>473</v>
      </c>
      <c r="H4" s="3709"/>
      <c r="I4" s="3708" t="s">
        <v>474</v>
      </c>
      <c r="J4" s="3709"/>
      <c r="K4" s="465" t="s">
        <v>475</v>
      </c>
      <c r="L4" s="1738"/>
      <c r="M4" s="1739"/>
      <c r="N4" s="1739"/>
      <c r="O4" s="1739"/>
      <c r="P4" s="3802" t="s">
        <v>476</v>
      </c>
      <c r="Q4" s="3711"/>
      <c r="R4" s="3694" t="s">
        <v>472</v>
      </c>
      <c r="S4" s="3695"/>
      <c r="T4" s="3694" t="s">
        <v>473</v>
      </c>
      <c r="U4" s="3695"/>
      <c r="V4" s="3716" t="s">
        <v>474</v>
      </c>
      <c r="W4" s="3716"/>
      <c r="X4" s="1300"/>
      <c r="Y4" s="3694" t="s">
        <v>476</v>
      </c>
      <c r="Z4" s="3695"/>
      <c r="AA4" s="3689" t="s">
        <v>472</v>
      </c>
      <c r="AB4" s="3689" t="s">
        <v>473</v>
      </c>
      <c r="AC4" s="3689" t="s">
        <v>474</v>
      </c>
    </row>
    <row r="5" spans="1:29" ht="15">
      <c r="A5" s="466"/>
      <c r="B5" s="467"/>
      <c r="C5" s="3719" t="s">
        <v>2174</v>
      </c>
      <c r="D5" s="3720"/>
      <c r="E5" s="3736" t="s">
        <v>2175</v>
      </c>
      <c r="F5" s="3737"/>
      <c r="G5" s="3719" t="s">
        <v>2176</v>
      </c>
      <c r="H5" s="3720"/>
      <c r="I5" s="3719" t="s">
        <v>2177</v>
      </c>
      <c r="J5" s="3720"/>
      <c r="K5" s="465"/>
      <c r="L5" s="1738"/>
      <c r="M5" s="1739"/>
      <c r="N5" s="1739"/>
      <c r="O5" s="1739"/>
      <c r="P5" s="3803"/>
      <c r="Q5" s="3713"/>
      <c r="R5" s="3696"/>
      <c r="S5" s="3697"/>
      <c r="T5" s="3696"/>
      <c r="U5" s="3697"/>
      <c r="V5" s="3716"/>
      <c r="W5" s="3716"/>
      <c r="X5" s="1300"/>
      <c r="Y5" s="3696"/>
      <c r="Z5" s="3697"/>
      <c r="AA5" s="3690"/>
      <c r="AB5" s="3690"/>
      <c r="AC5" s="3690"/>
    </row>
    <row r="6" spans="1:29" ht="15.75" thickBot="1">
      <c r="A6" s="468"/>
      <c r="B6" s="469"/>
      <c r="C6" s="3717" t="s">
        <v>2178</v>
      </c>
      <c r="D6" s="3718"/>
      <c r="E6" s="3738" t="s">
        <v>2178</v>
      </c>
      <c r="F6" s="3739"/>
      <c r="G6" s="3717" t="s">
        <v>2178</v>
      </c>
      <c r="H6" s="3718"/>
      <c r="I6" s="3717" t="s">
        <v>2178</v>
      </c>
      <c r="J6" s="3718"/>
      <c r="K6" s="465" t="s">
        <v>477</v>
      </c>
      <c r="L6" s="1738"/>
      <c r="M6" s="1739"/>
      <c r="N6" s="1739"/>
      <c r="O6" s="1739"/>
      <c r="P6" s="3804"/>
      <c r="Q6" s="3715"/>
      <c r="R6" s="3696"/>
      <c r="S6" s="3697"/>
      <c r="T6" s="3698"/>
      <c r="U6" s="3699"/>
      <c r="V6" s="3716"/>
      <c r="W6" s="3716"/>
      <c r="X6" s="1300"/>
      <c r="Y6" s="3698"/>
      <c r="Z6" s="3699"/>
      <c r="AA6" s="3691"/>
      <c r="AB6" s="3691"/>
      <c r="AC6" s="3691"/>
    </row>
    <row r="7" spans="1:29" s="1058" customFormat="1" ht="15.75" thickBot="1">
      <c r="A7" s="2206"/>
      <c r="B7" s="2213" t="s">
        <v>478</v>
      </c>
      <c r="C7" s="470">
        <f>'数据-取费表'!B2</f>
        <v>45789</v>
      </c>
      <c r="D7" s="471">
        <v>100</v>
      </c>
      <c r="E7" s="472"/>
      <c r="F7" s="473">
        <f>SUMIF(59:59,YEAR(E7)&amp;"-"&amp;MONTH(E7),60:60)</f>
        <v>0</v>
      </c>
      <c r="G7" s="472"/>
      <c r="H7" s="471">
        <f>SUMIF(59:59,YEAR(G7)&amp;"-"&amp;MONTH(G7),60:60)</f>
        <v>0</v>
      </c>
      <c r="I7" s="472"/>
      <c r="J7" s="471">
        <f>SUMIF(59:59,YEAR(I7)&amp;"-"&amp;MONTH(I7),60:60)</f>
        <v>0</v>
      </c>
      <c r="K7" s="88"/>
      <c r="L7" s="1740"/>
      <c r="M7" s="1637"/>
      <c r="N7" s="1637"/>
      <c r="O7" s="1637"/>
      <c r="P7" s="3701" t="s">
        <v>479</v>
      </c>
      <c r="Q7" s="3701"/>
      <c r="R7" s="1301" t="s">
        <v>5</v>
      </c>
      <c r="S7" s="1302">
        <f t="shared" ref="S7:S15" si="0">F7</f>
        <v>0</v>
      </c>
      <c r="T7" s="1301" t="s">
        <v>5</v>
      </c>
      <c r="U7" s="1302">
        <f t="shared" ref="U7:U15" si="1">H7</f>
        <v>0</v>
      </c>
      <c r="V7" s="1301" t="s">
        <v>5</v>
      </c>
      <c r="W7" s="1302">
        <f t="shared" ref="W7:W15" si="2">J7</f>
        <v>0</v>
      </c>
      <c r="X7" s="1303"/>
      <c r="Y7" s="3692" t="s">
        <v>479</v>
      </c>
      <c r="Z7" s="3693"/>
      <c r="AA7" s="995" t="e">
        <f>D7/F7</f>
        <v>#DIV/0!</v>
      </c>
      <c r="AB7" s="995" t="e">
        <f>D7/H7</f>
        <v>#DIV/0!</v>
      </c>
      <c r="AC7" s="995" t="e">
        <f>D7/J7</f>
        <v>#DIV/0!</v>
      </c>
    </row>
    <row r="8" spans="1:29" s="1058" customFormat="1" ht="15.75" thickBot="1">
      <c r="A8" s="2207"/>
      <c r="B8" s="2214" t="s">
        <v>480</v>
      </c>
      <c r="C8" s="475" t="s">
        <v>524</v>
      </c>
      <c r="D8" s="471">
        <v>100</v>
      </c>
      <c r="E8" s="475"/>
      <c r="F8" s="473">
        <f>SUMIF(62:62,E8,63:63)-SUMIF(62:62,C8,63:63)+100</f>
        <v>0</v>
      </c>
      <c r="G8" s="475"/>
      <c r="H8" s="471">
        <f>SUMIF(62:62,G8,63:63)-SUMIF(62:62,C8,63:63)+100</f>
        <v>0</v>
      </c>
      <c r="I8" s="475"/>
      <c r="J8" s="471">
        <f>SUMIF(62:62,I8,63:63)-SUMIF(62:62,C8,63:63)+100</f>
        <v>0</v>
      </c>
      <c r="K8" s="88"/>
      <c r="L8" s="1740"/>
      <c r="M8" s="1637"/>
      <c r="N8" s="1637"/>
      <c r="O8" s="1637"/>
      <c r="P8" s="3701" t="s">
        <v>482</v>
      </c>
      <c r="Q8" s="3693"/>
      <c r="R8" s="1301" t="s">
        <v>5</v>
      </c>
      <c r="S8" s="1302">
        <f t="shared" si="0"/>
        <v>0</v>
      </c>
      <c r="T8" s="1301" t="s">
        <v>5</v>
      </c>
      <c r="U8" s="1302">
        <f t="shared" si="1"/>
        <v>0</v>
      </c>
      <c r="V8" s="1301" t="s">
        <v>5</v>
      </c>
      <c r="W8" s="1302">
        <f t="shared" si="2"/>
        <v>0</v>
      </c>
      <c r="X8" s="1303"/>
      <c r="Y8" s="3692" t="s">
        <v>482</v>
      </c>
      <c r="Z8" s="3693"/>
      <c r="AA8" s="995" t="e">
        <f t="shared" ref="AA8:AA47" si="3">D8/F8</f>
        <v>#DIV/0!</v>
      </c>
      <c r="AB8" s="995" t="e">
        <f t="shared" ref="AB8:AB47" si="4">D8/H8</f>
        <v>#DIV/0!</v>
      </c>
      <c r="AC8" s="995" t="e">
        <f t="shared" ref="AC8:AC47" si="5">D8/J8</f>
        <v>#DIV/0!</v>
      </c>
    </row>
    <row r="9" spans="1:29" s="1058" customFormat="1" ht="15">
      <c r="A9" s="2208"/>
      <c r="B9" s="2215" t="s">
        <v>2033</v>
      </c>
      <c r="C9" s="791"/>
      <c r="D9" s="154">
        <v>100</v>
      </c>
      <c r="E9" s="793"/>
      <c r="F9" s="154">
        <f>SUMIF(64:64,E9,65:65)-SUMIF(64:64,C9,65:65)+100</f>
        <v>100</v>
      </c>
      <c r="G9" s="792"/>
      <c r="H9" s="154">
        <f>SUMIF(64:64,G9,65:65)-SUMIF(64:64,C9,65:65)+100</f>
        <v>100</v>
      </c>
      <c r="I9" s="792"/>
      <c r="J9" s="154">
        <f>SUMIF(64:64,I9,65:65)-SUMIF(64:64,C9,65:65)+100</f>
        <v>100</v>
      </c>
      <c r="K9" s="88"/>
      <c r="L9" s="1740"/>
      <c r="M9" s="1637"/>
      <c r="N9" s="1637"/>
      <c r="O9" s="1637"/>
      <c r="P9" s="3700" t="s">
        <v>484</v>
      </c>
      <c r="Q9" s="817" t="str">
        <f t="shared" ref="Q9:Q15" si="6">B9</f>
        <v>用途</v>
      </c>
      <c r="R9" s="1301" t="s">
        <v>5</v>
      </c>
      <c r="S9" s="1302">
        <f t="shared" si="0"/>
        <v>100</v>
      </c>
      <c r="T9" s="1301" t="s">
        <v>5</v>
      </c>
      <c r="U9" s="1302">
        <f t="shared" si="1"/>
        <v>100</v>
      </c>
      <c r="V9" s="1301" t="s">
        <v>5</v>
      </c>
      <c r="W9" s="1302">
        <f t="shared" si="2"/>
        <v>100</v>
      </c>
      <c r="X9" s="1303"/>
      <c r="Y9" s="3652" t="s">
        <v>485</v>
      </c>
      <c r="Z9" s="995" t="str">
        <f t="shared" ref="Z9:Z15" si="7">Q9</f>
        <v>用途</v>
      </c>
      <c r="AA9" s="995">
        <f t="shared" si="3"/>
        <v>1</v>
      </c>
      <c r="AB9" s="995">
        <f t="shared" si="4"/>
        <v>1</v>
      </c>
      <c r="AC9" s="995">
        <f t="shared" si="5"/>
        <v>1</v>
      </c>
    </row>
    <row r="10" spans="1:29" s="1131" customFormat="1" ht="27">
      <c r="A10" s="2209"/>
      <c r="B10" s="2214" t="s">
        <v>2034</v>
      </c>
      <c r="C10" s="3382"/>
      <c r="D10" s="235">
        <v>100</v>
      </c>
      <c r="E10" s="3382"/>
      <c r="F10" s="235">
        <f>SUMIF(66:66,E10,67:67)-SUMIF(66:66,C10,67:67)+100</f>
        <v>100</v>
      </c>
      <c r="G10" s="3383"/>
      <c r="H10" s="235">
        <f>SUMIF(66:66,G10,67:67)-SUMIF(66:66,C10,67:67)+100</f>
        <v>100</v>
      </c>
      <c r="I10" s="3382"/>
      <c r="J10" s="235">
        <f>SUMIF(66:66,I10,67:67)-SUMIF(66:66,C10,67:67)+100</f>
        <v>100</v>
      </c>
      <c r="K10" s="88"/>
      <c r="L10" s="1742"/>
      <c r="M10" s="1775"/>
      <c r="N10" s="1775"/>
      <c r="O10" s="1775"/>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4"/>
      <c r="M11" s="1739"/>
      <c r="N11" s="1739"/>
      <c r="O11" s="1739"/>
      <c r="P11" s="3700"/>
      <c r="Q11" s="817" t="str">
        <f t="shared" si="6"/>
        <v>容积率</v>
      </c>
      <c r="R11" s="1301" t="s">
        <v>5</v>
      </c>
      <c r="S11" s="1302" t="e">
        <f t="shared" si="0"/>
        <v>#N/A</v>
      </c>
      <c r="T11" s="1301" t="s">
        <v>5</v>
      </c>
      <c r="U11" s="1302" t="e">
        <f t="shared" si="1"/>
        <v>#N/A</v>
      </c>
      <c r="V11" s="1301" t="s">
        <v>5</v>
      </c>
      <c r="W11" s="1302" t="e">
        <f t="shared" si="2"/>
        <v>#N/A</v>
      </c>
      <c r="X11" s="1303"/>
      <c r="Y11" s="3652"/>
      <c r="Z11" s="995" t="str">
        <f t="shared" si="7"/>
        <v>容积率</v>
      </c>
      <c r="AA11" s="995" t="e">
        <f t="shared" si="3"/>
        <v>#N/A</v>
      </c>
      <c r="AB11" s="995" t="e">
        <f t="shared" si="4"/>
        <v>#N/A</v>
      </c>
      <c r="AC11" s="995" t="e">
        <f t="shared" si="5"/>
        <v>#N/A</v>
      </c>
    </row>
    <row r="12" spans="1:29" s="1058" customFormat="1" ht="15">
      <c r="A12" s="2211"/>
      <c r="B12" s="2217">
        <v>111</v>
      </c>
      <c r="C12" s="478"/>
      <c r="D12" s="488">
        <v>100</v>
      </c>
      <c r="E12" s="478"/>
      <c r="F12" s="235">
        <f>SUMIF(71:71,E12,72:72)-SUMIF(71:71,C12,72:72)+100</f>
        <v>100</v>
      </c>
      <c r="G12" s="832"/>
      <c r="H12" s="235">
        <f>SUMIF(71:71,G12,72:72)-SUMIF(71:71,C12,72:72)+100</f>
        <v>100</v>
      </c>
      <c r="I12" s="478"/>
      <c r="J12" s="235">
        <f>SUMIF(71:71,I12,72:72)-SUMIF(71:71,C12,72:72)+100</f>
        <v>100</v>
      </c>
      <c r="K12" s="531"/>
      <c r="L12" s="1740"/>
      <c r="M12" s="1637"/>
      <c r="N12" s="1637"/>
      <c r="O12" s="1637"/>
      <c r="P12" s="3700"/>
      <c r="Q12" s="817">
        <f t="shared" si="6"/>
        <v>111</v>
      </c>
      <c r="R12" s="1301" t="s">
        <v>5</v>
      </c>
      <c r="S12" s="1302">
        <f t="shared" si="0"/>
        <v>100</v>
      </c>
      <c r="T12" s="1301" t="s">
        <v>5</v>
      </c>
      <c r="U12" s="1302">
        <f t="shared" si="1"/>
        <v>100</v>
      </c>
      <c r="V12" s="1301" t="s">
        <v>5</v>
      </c>
      <c r="W12" s="1302">
        <f t="shared" si="2"/>
        <v>100</v>
      </c>
      <c r="X12" s="1303"/>
      <c r="Y12" s="3652"/>
      <c r="Z12" s="995">
        <f t="shared" si="7"/>
        <v>111</v>
      </c>
      <c r="AA12" s="995">
        <f>D12/F12</f>
        <v>1</v>
      </c>
      <c r="AB12" s="995">
        <f>D12/H12</f>
        <v>1</v>
      </c>
      <c r="AC12" s="995">
        <f>D12/J12</f>
        <v>1</v>
      </c>
    </row>
    <row r="13" spans="1:29" ht="15">
      <c r="A13" s="2211"/>
      <c r="B13" s="2217">
        <v>111</v>
      </c>
      <c r="C13" s="489"/>
      <c r="D13" s="490">
        <v>100</v>
      </c>
      <c r="E13" s="478"/>
      <c r="F13" s="235">
        <f>SUMIF(73:73,E13,74:74)-SUMIF(73:73,C13,74:74)+100</f>
        <v>100</v>
      </c>
      <c r="G13" s="832"/>
      <c r="H13" s="490">
        <f>SUMIF(73:73,G13,74:74)-SUMIF(73:73,C13,74:74)+100</f>
        <v>100</v>
      </c>
      <c r="I13" s="478"/>
      <c r="J13" s="490">
        <f>SUMIF(73:73,I13,74:74)-SUMIF(73:73,C13,74:74)+100</f>
        <v>100</v>
      </c>
      <c r="K13" s="531"/>
      <c r="L13" s="1746"/>
      <c r="M13" s="1739"/>
      <c r="N13" s="1739"/>
      <c r="O13" s="1739"/>
      <c r="P13" s="3700"/>
      <c r="Q13" s="817">
        <f t="shared" si="6"/>
        <v>111</v>
      </c>
      <c r="R13" s="1301" t="s">
        <v>5</v>
      </c>
      <c r="S13" s="1302">
        <f t="shared" si="0"/>
        <v>100</v>
      </c>
      <c r="T13" s="1301" t="s">
        <v>5</v>
      </c>
      <c r="U13" s="1302">
        <f t="shared" si="1"/>
        <v>100</v>
      </c>
      <c r="V13" s="1301" t="s">
        <v>5</v>
      </c>
      <c r="W13" s="1302">
        <f t="shared" si="2"/>
        <v>100</v>
      </c>
      <c r="X13" s="1303"/>
      <c r="Y13" s="3652"/>
      <c r="Z13" s="995">
        <f t="shared" si="7"/>
        <v>111</v>
      </c>
      <c r="AA13" s="995">
        <f t="shared" si="3"/>
        <v>1</v>
      </c>
      <c r="AB13" s="995">
        <f t="shared" si="4"/>
        <v>1</v>
      </c>
      <c r="AC13" s="995">
        <f t="shared" si="5"/>
        <v>1</v>
      </c>
    </row>
    <row r="14" spans="1:29" ht="15.75" thickBot="1">
      <c r="A14" s="2212"/>
      <c r="B14" s="2218">
        <v>111</v>
      </c>
      <c r="C14" s="495"/>
      <c r="D14" s="496">
        <v>100</v>
      </c>
      <c r="E14" s="833"/>
      <c r="F14" s="496">
        <f>SUMIF(75:75,E14,76:76)-SUMIF(75:75,C14,76:76)+100</f>
        <v>100</v>
      </c>
      <c r="G14" s="832"/>
      <c r="H14" s="496">
        <f>SUMIF(75:75,G14,76:76)-SUMIF(75:75,C14,76:76)+100</f>
        <v>100</v>
      </c>
      <c r="I14" s="478"/>
      <c r="J14" s="496">
        <f>SUMIF(75:75,I14,76:76)-SUMIF(75:75,C14,76:76)+100</f>
        <v>100</v>
      </c>
      <c r="K14" s="531"/>
      <c r="L14" s="1746"/>
      <c r="M14" s="1739"/>
      <c r="N14" s="1739"/>
      <c r="O14" s="1739"/>
      <c r="P14" s="3700"/>
      <c r="Q14" s="817">
        <f t="shared" si="6"/>
        <v>111</v>
      </c>
      <c r="R14" s="1301" t="s">
        <v>5</v>
      </c>
      <c r="S14" s="1302">
        <f t="shared" si="0"/>
        <v>100</v>
      </c>
      <c r="T14" s="1301" t="s">
        <v>5</v>
      </c>
      <c r="U14" s="1302">
        <f t="shared" si="1"/>
        <v>100</v>
      </c>
      <c r="V14" s="1301" t="s">
        <v>5</v>
      </c>
      <c r="W14" s="1302">
        <f t="shared" si="2"/>
        <v>100</v>
      </c>
      <c r="X14" s="1303"/>
      <c r="Y14" s="3652"/>
      <c r="Z14" s="995">
        <f t="shared" si="7"/>
        <v>111</v>
      </c>
      <c r="AA14" s="995">
        <f t="shared" si="3"/>
        <v>1</v>
      </c>
      <c r="AB14" s="995">
        <f t="shared" si="4"/>
        <v>1</v>
      </c>
      <c r="AC14" s="995">
        <f t="shared" si="5"/>
        <v>1</v>
      </c>
    </row>
    <row r="15" spans="1:29" ht="15">
      <c r="A15" s="2204"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6"/>
      <c r="M15" s="1739"/>
      <c r="N15" s="1739"/>
      <c r="O15" s="1739"/>
      <c r="P15" s="3702" t="s">
        <v>489</v>
      </c>
      <c r="Q15" s="1304" t="str">
        <f t="shared" si="6"/>
        <v>办公集聚程度</v>
      </c>
      <c r="R15" s="1305" t="s">
        <v>5</v>
      </c>
      <c r="S15" s="1306">
        <f t="shared" si="0"/>
        <v>100</v>
      </c>
      <c r="T15" s="1305" t="s">
        <v>5</v>
      </c>
      <c r="U15" s="1306">
        <f t="shared" si="1"/>
        <v>100</v>
      </c>
      <c r="V15" s="1305" t="s">
        <v>5</v>
      </c>
      <c r="W15" s="1306">
        <f t="shared" si="2"/>
        <v>100</v>
      </c>
      <c r="X15" s="1300"/>
      <c r="Y15" s="3702"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6"/>
      <c r="M16" s="1739"/>
      <c r="N16" s="1739"/>
      <c r="O16" s="1739"/>
      <c r="P16" s="3703"/>
      <c r="Q16" s="1304"/>
      <c r="R16" s="1305"/>
      <c r="S16" s="1306"/>
      <c r="T16" s="1305"/>
      <c r="U16" s="1306"/>
      <c r="V16" s="1305"/>
      <c r="W16" s="1306"/>
      <c r="X16" s="1300"/>
      <c r="Y16" s="3703"/>
      <c r="Z16" s="1307"/>
      <c r="AA16" s="1307">
        <v>1</v>
      </c>
      <c r="AB16" s="1307">
        <v>1</v>
      </c>
      <c r="AC16" s="1307">
        <v>1</v>
      </c>
    </row>
    <row r="17" spans="1:29" ht="42.75">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6"/>
      <c r="M17" s="1739"/>
      <c r="N17" s="1739"/>
      <c r="O17" s="1739"/>
      <c r="P17" s="3703"/>
      <c r="Q17" s="1304" t="str">
        <f>B17</f>
        <v>交通便捷度</v>
      </c>
      <c r="R17" s="1305" t="s">
        <v>5</v>
      </c>
      <c r="S17" s="1306">
        <f>F17</f>
        <v>100</v>
      </c>
      <c r="T17" s="1305" t="s">
        <v>5</v>
      </c>
      <c r="U17" s="1306">
        <f>H17</f>
        <v>100</v>
      </c>
      <c r="V17" s="1305" t="s">
        <v>5</v>
      </c>
      <c r="W17" s="1306">
        <f>J17</f>
        <v>100</v>
      </c>
      <c r="X17" s="1300"/>
      <c r="Y17" s="3703"/>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6"/>
      <c r="M18" s="1739"/>
      <c r="N18" s="1739"/>
      <c r="O18" s="1739"/>
      <c r="P18" s="3703"/>
      <c r="Q18" s="1304"/>
      <c r="R18" s="1305"/>
      <c r="S18" s="1306"/>
      <c r="T18" s="1305"/>
      <c r="U18" s="1306"/>
      <c r="V18" s="1305"/>
      <c r="W18" s="1306"/>
      <c r="X18" s="1300"/>
      <c r="Y18" s="3703"/>
      <c r="Z18" s="1307"/>
      <c r="AA18" s="1307">
        <v>1</v>
      </c>
      <c r="AB18" s="1307">
        <v>1</v>
      </c>
      <c r="AC18" s="1307">
        <v>1</v>
      </c>
    </row>
    <row r="19" spans="1:29" ht="15">
      <c r="A19" s="482"/>
      <c r="B19" s="2059"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6"/>
      <c r="M19" s="1739"/>
      <c r="N19" s="1739"/>
      <c r="O19" s="1739"/>
      <c r="P19" s="3703"/>
      <c r="Q19" s="1304" t="str">
        <f>B19</f>
        <v>公共配套设施</v>
      </c>
      <c r="R19" s="1305" t="s">
        <v>5</v>
      </c>
      <c r="S19" s="1306">
        <f>F19</f>
        <v>100</v>
      </c>
      <c r="T19" s="1305" t="s">
        <v>5</v>
      </c>
      <c r="U19" s="1306">
        <f>H19</f>
        <v>100</v>
      </c>
      <c r="V19" s="1305" t="s">
        <v>5</v>
      </c>
      <c r="W19" s="1306">
        <f>J19</f>
        <v>100</v>
      </c>
      <c r="X19" s="1300"/>
      <c r="Y19" s="3703"/>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6"/>
      <c r="M20" s="1739"/>
      <c r="N20" s="1739"/>
      <c r="O20" s="1739"/>
      <c r="P20" s="3703"/>
      <c r="Q20" s="1304"/>
      <c r="R20" s="1305"/>
      <c r="S20" s="1306"/>
      <c r="T20" s="1305"/>
      <c r="U20" s="1306"/>
      <c r="V20" s="1305"/>
      <c r="W20" s="1306"/>
      <c r="X20" s="1300"/>
      <c r="Y20" s="3703"/>
      <c r="Z20" s="1307"/>
      <c r="AA20" s="1307">
        <v>1</v>
      </c>
      <c r="AB20" s="1307">
        <v>1</v>
      </c>
      <c r="AC20" s="1307">
        <v>1</v>
      </c>
    </row>
    <row r="21" spans="1:29" ht="15">
      <c r="A21" s="482"/>
      <c r="B21" s="2047"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6"/>
      <c r="M21" s="1739"/>
      <c r="N21" s="1739"/>
      <c r="O21" s="1739"/>
      <c r="P21" s="3703"/>
      <c r="Q21" s="1304" t="str">
        <f>B21</f>
        <v>基础设施水平</v>
      </c>
      <c r="R21" s="1305" t="s">
        <v>5</v>
      </c>
      <c r="S21" s="1306">
        <f>F21</f>
        <v>100</v>
      </c>
      <c r="T21" s="1305" t="s">
        <v>5</v>
      </c>
      <c r="U21" s="1306">
        <f>H21</f>
        <v>100</v>
      </c>
      <c r="V21" s="1305" t="s">
        <v>5</v>
      </c>
      <c r="W21" s="1306">
        <f>J21</f>
        <v>100</v>
      </c>
      <c r="X21" s="1300"/>
      <c r="Y21" s="3703"/>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8"/>
      <c r="L22" s="1746"/>
      <c r="M22" s="1739"/>
      <c r="N22" s="1739"/>
      <c r="O22" s="1739"/>
      <c r="P22" s="3703"/>
      <c r="Q22" s="1304"/>
      <c r="R22" s="1305"/>
      <c r="S22" s="1306"/>
      <c r="T22" s="1305"/>
      <c r="U22" s="1306"/>
      <c r="V22" s="1305"/>
      <c r="W22" s="1306"/>
      <c r="X22" s="1300"/>
      <c r="Y22" s="3703"/>
      <c r="Z22" s="1307"/>
      <c r="AA22" s="1307">
        <v>1</v>
      </c>
      <c r="AB22" s="1307">
        <v>1</v>
      </c>
      <c r="AC22" s="1307">
        <v>1</v>
      </c>
    </row>
    <row r="23" spans="1:29" ht="28.5">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6"/>
      <c r="M23" s="1739"/>
      <c r="N23" s="1739"/>
      <c r="O23" s="1739"/>
      <c r="P23" s="3703"/>
      <c r="Q23" s="1304" t="str">
        <f>B23</f>
        <v>环境质量</v>
      </c>
      <c r="R23" s="1305" t="s">
        <v>5</v>
      </c>
      <c r="S23" s="1306">
        <f>F23</f>
        <v>100</v>
      </c>
      <c r="T23" s="1305" t="s">
        <v>5</v>
      </c>
      <c r="U23" s="1306">
        <f>H23</f>
        <v>100</v>
      </c>
      <c r="V23" s="1305" t="s">
        <v>5</v>
      </c>
      <c r="W23" s="1306">
        <f>J23</f>
        <v>100</v>
      </c>
      <c r="X23" s="1300"/>
      <c r="Y23" s="3703"/>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6"/>
      <c r="M24" s="1739"/>
      <c r="N24" s="1739"/>
      <c r="O24" s="1739"/>
      <c r="P24" s="3703"/>
      <c r="Q24" s="1304"/>
      <c r="R24" s="1305"/>
      <c r="S24" s="1306"/>
      <c r="T24" s="1305"/>
      <c r="U24" s="1306"/>
      <c r="V24" s="1305"/>
      <c r="W24" s="1306"/>
      <c r="X24" s="1300"/>
      <c r="Y24" s="3703"/>
      <c r="Z24" s="1307"/>
      <c r="AA24" s="1307">
        <v>1</v>
      </c>
      <c r="AB24" s="1307">
        <v>1</v>
      </c>
      <c r="AC24" s="1307">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6"/>
      <c r="M25" s="1739"/>
      <c r="N25" s="1739"/>
      <c r="O25" s="1739"/>
      <c r="P25" s="3703"/>
      <c r="Q25" s="1304" t="str">
        <f>B25</f>
        <v>毗邻道路的类型与等级</v>
      </c>
      <c r="R25" s="1305" t="s">
        <v>5</v>
      </c>
      <c r="S25" s="1306">
        <f>F25</f>
        <v>100</v>
      </c>
      <c r="T25" s="1305" t="s">
        <v>5</v>
      </c>
      <c r="U25" s="1306">
        <f>H25</f>
        <v>100</v>
      </c>
      <c r="V25" s="1305" t="s">
        <v>5</v>
      </c>
      <c r="W25" s="1306">
        <f>J25</f>
        <v>100</v>
      </c>
      <c r="X25" s="1300"/>
      <c r="Y25" s="3703"/>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6"/>
      <c r="M26" s="1739"/>
      <c r="N26" s="1739"/>
      <c r="O26" s="1739"/>
      <c r="P26" s="3703"/>
      <c r="Q26" s="1304"/>
      <c r="R26" s="1305"/>
      <c r="S26" s="1306"/>
      <c r="T26" s="1305"/>
      <c r="U26" s="1306"/>
      <c r="V26" s="1305"/>
      <c r="W26" s="1306"/>
      <c r="X26" s="1300"/>
      <c r="Y26" s="3703"/>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6"/>
      <c r="M27" s="1739"/>
      <c r="N27" s="1739"/>
      <c r="O27" s="1739"/>
      <c r="P27" s="3703"/>
      <c r="Q27" s="1304" t="str">
        <f t="shared" ref="Q27:Q47" si="8">B27</f>
        <v>楼层</v>
      </c>
      <c r="R27" s="1305" t="s">
        <v>5</v>
      </c>
      <c r="S27" s="1306">
        <f>F27</f>
        <v>100</v>
      </c>
      <c r="T27" s="1305" t="s">
        <v>5</v>
      </c>
      <c r="U27" s="1306">
        <f>H27</f>
        <v>100</v>
      </c>
      <c r="V27" s="1305" t="s">
        <v>5</v>
      </c>
      <c r="W27" s="1306">
        <f>J27</f>
        <v>100</v>
      </c>
      <c r="X27" s="1300"/>
      <c r="Y27" s="3703"/>
      <c r="Z27" s="1307" t="str">
        <f>Q27</f>
        <v>楼层</v>
      </c>
      <c r="AA27" s="1307">
        <f t="shared" si="3"/>
        <v>1</v>
      </c>
      <c r="AB27" s="1307">
        <f t="shared" si="4"/>
        <v>1</v>
      </c>
      <c r="AC27" s="1307">
        <f t="shared" si="5"/>
        <v>1</v>
      </c>
    </row>
    <row r="28" spans="1:29" s="1058"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0"/>
      <c r="M28" s="1637"/>
      <c r="N28" s="1637"/>
      <c r="O28" s="1637"/>
      <c r="P28" s="3703"/>
      <c r="Q28" s="817" t="str">
        <f t="shared" si="8"/>
        <v>朝向</v>
      </c>
      <c r="R28" s="1301" t="s">
        <v>5</v>
      </c>
      <c r="S28" s="1302">
        <f>F28</f>
        <v>100</v>
      </c>
      <c r="T28" s="1301" t="s">
        <v>5</v>
      </c>
      <c r="U28" s="1302">
        <f>H28</f>
        <v>100</v>
      </c>
      <c r="V28" s="1301" t="s">
        <v>5</v>
      </c>
      <c r="W28" s="1302">
        <f>J28</f>
        <v>100</v>
      </c>
      <c r="X28" s="1303"/>
      <c r="Y28" s="3703"/>
      <c r="Z28" s="995"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6"/>
      <c r="M29" s="1739"/>
      <c r="N29" s="1739"/>
      <c r="O29" s="1739"/>
      <c r="P29" s="3703"/>
      <c r="Q29" s="1304">
        <f t="shared" si="8"/>
        <v>111</v>
      </c>
      <c r="R29" s="1305" t="s">
        <v>5</v>
      </c>
      <c r="S29" s="1306">
        <f t="shared" ref="S29:S47" si="9">F29</f>
        <v>100</v>
      </c>
      <c r="T29" s="1305" t="s">
        <v>5</v>
      </c>
      <c r="U29" s="1306">
        <f t="shared" ref="U29:U47" si="10">H29</f>
        <v>100</v>
      </c>
      <c r="V29" s="1305" t="s">
        <v>5</v>
      </c>
      <c r="W29" s="1306">
        <f t="shared" ref="W29:W47" si="11">J29</f>
        <v>100</v>
      </c>
      <c r="X29" s="1300"/>
      <c r="Y29" s="3703"/>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6"/>
      <c r="M30" s="1739"/>
      <c r="N30" s="1739"/>
      <c r="O30" s="1739"/>
      <c r="P30" s="3703"/>
      <c r="Q30" s="1304">
        <f t="shared" si="8"/>
        <v>111</v>
      </c>
      <c r="R30" s="1305" t="s">
        <v>5</v>
      </c>
      <c r="S30" s="1306">
        <f t="shared" si="9"/>
        <v>100</v>
      </c>
      <c r="T30" s="1305" t="s">
        <v>5</v>
      </c>
      <c r="U30" s="1306">
        <f t="shared" si="10"/>
        <v>100</v>
      </c>
      <c r="V30" s="1305" t="s">
        <v>5</v>
      </c>
      <c r="W30" s="1306">
        <f t="shared" si="11"/>
        <v>100</v>
      </c>
      <c r="X30" s="1300"/>
      <c r="Y30" s="3703"/>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6"/>
      <c r="M31" s="1739"/>
      <c r="N31" s="1739"/>
      <c r="O31" s="1739"/>
      <c r="P31" s="3703"/>
      <c r="Q31" s="1304">
        <f t="shared" si="8"/>
        <v>111</v>
      </c>
      <c r="R31" s="1305" t="s">
        <v>5</v>
      </c>
      <c r="S31" s="1306">
        <f t="shared" si="9"/>
        <v>100</v>
      </c>
      <c r="T31" s="1305" t="s">
        <v>5</v>
      </c>
      <c r="U31" s="1306">
        <f t="shared" si="10"/>
        <v>100</v>
      </c>
      <c r="V31" s="1305" t="s">
        <v>5</v>
      </c>
      <c r="W31" s="1306">
        <f t="shared" si="11"/>
        <v>100</v>
      </c>
      <c r="X31" s="1300"/>
      <c r="Y31" s="3703"/>
      <c r="Z31" s="1307">
        <f t="shared" si="12"/>
        <v>111</v>
      </c>
      <c r="AA31" s="1307">
        <f t="shared" si="3"/>
        <v>1</v>
      </c>
      <c r="AB31" s="1307">
        <f t="shared" si="4"/>
        <v>1</v>
      </c>
      <c r="AC31" s="1307">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6"/>
      <c r="M32" s="1739"/>
      <c r="N32" s="1739"/>
      <c r="O32" s="1739"/>
      <c r="P32" s="3703"/>
      <c r="Q32" s="1304">
        <f t="shared" si="8"/>
        <v>111</v>
      </c>
      <c r="R32" s="1305" t="s">
        <v>5</v>
      </c>
      <c r="S32" s="1306">
        <f t="shared" si="9"/>
        <v>100</v>
      </c>
      <c r="T32" s="1305" t="s">
        <v>5</v>
      </c>
      <c r="U32" s="1306">
        <f t="shared" si="10"/>
        <v>100</v>
      </c>
      <c r="V32" s="1305" t="s">
        <v>5</v>
      </c>
      <c r="W32" s="1306">
        <f t="shared" si="11"/>
        <v>100</v>
      </c>
      <c r="X32" s="1300"/>
      <c r="Y32" s="3703"/>
      <c r="Z32" s="1307">
        <f t="shared" si="12"/>
        <v>111</v>
      </c>
      <c r="AA32" s="1307">
        <f t="shared" si="3"/>
        <v>1</v>
      </c>
      <c r="AB32" s="1307">
        <f t="shared" si="4"/>
        <v>1</v>
      </c>
      <c r="AC32" s="1307">
        <f t="shared" si="5"/>
        <v>1</v>
      </c>
    </row>
    <row r="33" spans="1:29" ht="15">
      <c r="A33" s="2201"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6"/>
      <c r="M33" s="1739"/>
      <c r="N33" s="1739"/>
      <c r="O33" s="1739"/>
      <c r="P33" s="3704" t="s">
        <v>499</v>
      </c>
      <c r="Q33" s="1304" t="str">
        <f t="shared" si="8"/>
        <v>建筑类型</v>
      </c>
      <c r="R33" s="1305" t="s">
        <v>5</v>
      </c>
      <c r="S33" s="1306">
        <f t="shared" si="9"/>
        <v>100</v>
      </c>
      <c r="T33" s="1305" t="s">
        <v>5</v>
      </c>
      <c r="U33" s="1306">
        <f t="shared" si="10"/>
        <v>100</v>
      </c>
      <c r="V33" s="1305" t="s">
        <v>5</v>
      </c>
      <c r="W33" s="1306">
        <f t="shared" si="11"/>
        <v>100</v>
      </c>
      <c r="X33" s="1300"/>
      <c r="Y33" s="3705" t="s">
        <v>499</v>
      </c>
      <c r="Z33" s="1307" t="str">
        <f t="shared" si="12"/>
        <v>建筑类型</v>
      </c>
      <c r="AA33" s="1307">
        <f t="shared" si="3"/>
        <v>1</v>
      </c>
      <c r="AB33" s="1307">
        <f t="shared" si="4"/>
        <v>1</v>
      </c>
      <c r="AC33" s="1307">
        <f t="shared" si="5"/>
        <v>1</v>
      </c>
    </row>
    <row r="34" spans="1:29" s="1132"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4"/>
      <c r="M34" s="1768"/>
      <c r="N34" s="1768"/>
      <c r="O34" s="1768"/>
      <c r="P34" s="3705"/>
      <c r="Q34" s="818" t="str">
        <f t="shared" si="8"/>
        <v>项目建筑规模</v>
      </c>
      <c r="R34" s="1308" t="s">
        <v>5</v>
      </c>
      <c r="S34" s="1309" t="e">
        <f t="shared" si="9"/>
        <v>#N/A</v>
      </c>
      <c r="T34" s="1308" t="s">
        <v>5</v>
      </c>
      <c r="U34" s="1309" t="e">
        <f t="shared" si="10"/>
        <v>#N/A</v>
      </c>
      <c r="V34" s="1308" t="s">
        <v>5</v>
      </c>
      <c r="W34" s="1309" t="e">
        <f t="shared" si="11"/>
        <v>#N/A</v>
      </c>
      <c r="X34" s="1310"/>
      <c r="Y34" s="3705"/>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6"/>
      <c r="M35" s="1739"/>
      <c r="N35" s="1739"/>
      <c r="O35" s="1739"/>
      <c r="P35" s="3705"/>
      <c r="Q35" s="1304" t="str">
        <f t="shared" si="8"/>
        <v>建筑结构</v>
      </c>
      <c r="R35" s="1305" t="s">
        <v>5</v>
      </c>
      <c r="S35" s="1306">
        <f t="shared" si="9"/>
        <v>100</v>
      </c>
      <c r="T35" s="1305" t="s">
        <v>5</v>
      </c>
      <c r="U35" s="1306">
        <f t="shared" si="10"/>
        <v>100</v>
      </c>
      <c r="V35" s="1305" t="s">
        <v>5</v>
      </c>
      <c r="W35" s="1306">
        <f t="shared" si="11"/>
        <v>100</v>
      </c>
      <c r="X35" s="1300"/>
      <c r="Y35" s="3705"/>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6"/>
      <c r="M36" s="1739"/>
      <c r="N36" s="1739"/>
      <c r="O36" s="1739"/>
      <c r="P36" s="3705"/>
      <c r="Q36" s="1304" t="str">
        <f t="shared" si="8"/>
        <v>公共部分装修</v>
      </c>
      <c r="R36" s="1305" t="s">
        <v>5</v>
      </c>
      <c r="S36" s="1306">
        <f t="shared" si="9"/>
        <v>100</v>
      </c>
      <c r="T36" s="1305" t="s">
        <v>5</v>
      </c>
      <c r="U36" s="1306">
        <f t="shared" si="10"/>
        <v>100</v>
      </c>
      <c r="V36" s="1305" t="s">
        <v>5</v>
      </c>
      <c r="W36" s="1306">
        <f t="shared" si="11"/>
        <v>100</v>
      </c>
      <c r="X36" s="1300"/>
      <c r="Y36" s="3705"/>
      <c r="Z36" s="1307" t="str">
        <f t="shared" si="12"/>
        <v>公共部分装修</v>
      </c>
      <c r="AA36" s="1307">
        <f t="shared" si="3"/>
        <v>1</v>
      </c>
      <c r="AB36" s="1307">
        <f t="shared" si="4"/>
        <v>1</v>
      </c>
      <c r="AC36" s="1307">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6"/>
      <c r="M37" s="1739"/>
      <c r="N37" s="1739"/>
      <c r="O37" s="1739"/>
      <c r="P37" s="3705"/>
      <c r="Q37" s="1304" t="str">
        <f t="shared" si="8"/>
        <v>成新度</v>
      </c>
      <c r="R37" s="1305" t="s">
        <v>5</v>
      </c>
      <c r="S37" s="1306" t="e">
        <f t="shared" si="9"/>
        <v>#N/A</v>
      </c>
      <c r="T37" s="1305" t="s">
        <v>5</v>
      </c>
      <c r="U37" s="1306" t="e">
        <f t="shared" si="10"/>
        <v>#N/A</v>
      </c>
      <c r="V37" s="1305" t="s">
        <v>5</v>
      </c>
      <c r="W37" s="1306" t="e">
        <f t="shared" si="11"/>
        <v>#N/A</v>
      </c>
      <c r="X37" s="1300"/>
      <c r="Y37" s="3705"/>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0"/>
      <c r="M38" s="1637"/>
      <c r="N38" s="1637"/>
      <c r="O38" s="1637"/>
      <c r="P38" s="3705"/>
      <c r="Q38" s="817" t="str">
        <f t="shared" si="8"/>
        <v>写字楼等级</v>
      </c>
      <c r="R38" s="1301" t="s">
        <v>5</v>
      </c>
      <c r="S38" s="1302">
        <f t="shared" si="9"/>
        <v>100</v>
      </c>
      <c r="T38" s="1301" t="s">
        <v>5</v>
      </c>
      <c r="U38" s="1302">
        <f t="shared" si="10"/>
        <v>100</v>
      </c>
      <c r="V38" s="1301" t="s">
        <v>5</v>
      </c>
      <c r="W38" s="1302">
        <f t="shared" si="11"/>
        <v>100</v>
      </c>
      <c r="X38" s="1303"/>
      <c r="Y38" s="3705"/>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6"/>
      <c r="M39" s="1739"/>
      <c r="N39" s="1739"/>
      <c r="O39" s="1739"/>
      <c r="P39" s="3705" t="s">
        <v>499</v>
      </c>
      <c r="Q39" s="1304" t="str">
        <f t="shared" si="8"/>
        <v>物业管理</v>
      </c>
      <c r="R39" s="1305" t="s">
        <v>5</v>
      </c>
      <c r="S39" s="1306">
        <f t="shared" si="9"/>
        <v>100</v>
      </c>
      <c r="T39" s="1305" t="s">
        <v>5</v>
      </c>
      <c r="U39" s="1306">
        <f t="shared" si="10"/>
        <v>100</v>
      </c>
      <c r="V39" s="1305" t="s">
        <v>5</v>
      </c>
      <c r="W39" s="1306">
        <f t="shared" si="11"/>
        <v>100</v>
      </c>
      <c r="X39" s="1300"/>
      <c r="Y39" s="3705" t="s">
        <v>499</v>
      </c>
      <c r="Z39" s="1307" t="str">
        <f t="shared" si="12"/>
        <v>物业管理</v>
      </c>
      <c r="AA39" s="1307">
        <f t="shared" si="3"/>
        <v>1</v>
      </c>
      <c r="AB39" s="1307">
        <f t="shared" si="4"/>
        <v>1</v>
      </c>
      <c r="AC39" s="1307">
        <f t="shared" si="5"/>
        <v>1</v>
      </c>
    </row>
    <row r="40" spans="1:29" ht="15">
      <c r="A40" s="543"/>
      <c r="B40" s="1551"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6"/>
      <c r="M40" s="1739"/>
      <c r="N40" s="1739"/>
      <c r="O40" s="1739"/>
      <c r="P40" s="3705"/>
      <c r="Q40" s="1304" t="str">
        <f t="shared" si="8"/>
        <v>市政基础设施</v>
      </c>
      <c r="R40" s="1305" t="s">
        <v>5</v>
      </c>
      <c r="S40" s="1306">
        <f t="shared" si="9"/>
        <v>100</v>
      </c>
      <c r="T40" s="1305" t="s">
        <v>5</v>
      </c>
      <c r="U40" s="1306">
        <f t="shared" si="10"/>
        <v>100</v>
      </c>
      <c r="V40" s="1305" t="s">
        <v>5</v>
      </c>
      <c r="W40" s="1306">
        <f t="shared" si="11"/>
        <v>100</v>
      </c>
      <c r="X40" s="1300"/>
      <c r="Y40" s="3705"/>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6"/>
      <c r="M41" s="1739"/>
      <c r="N41" s="1739"/>
      <c r="O41" s="1739"/>
      <c r="P41" s="3705"/>
      <c r="Q41" s="1304" t="str">
        <f t="shared" si="8"/>
        <v>层高</v>
      </c>
      <c r="R41" s="1305" t="s">
        <v>5</v>
      </c>
      <c r="S41" s="1306">
        <f t="shared" si="9"/>
        <v>100</v>
      </c>
      <c r="T41" s="1305" t="s">
        <v>5</v>
      </c>
      <c r="U41" s="1306">
        <f t="shared" si="10"/>
        <v>100</v>
      </c>
      <c r="V41" s="1305" t="s">
        <v>5</v>
      </c>
      <c r="W41" s="1306">
        <f t="shared" si="11"/>
        <v>100</v>
      </c>
      <c r="X41" s="1300"/>
      <c r="Y41" s="3705"/>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4"/>
      <c r="M42" s="1768"/>
      <c r="N42" s="1768"/>
      <c r="O42" s="1768"/>
      <c r="P42" s="3705"/>
      <c r="Q42" s="818" t="str">
        <f t="shared" si="8"/>
        <v>单套建筑面积</v>
      </c>
      <c r="R42" s="1308" t="s">
        <v>5</v>
      </c>
      <c r="S42" s="1309">
        <f t="shared" si="9"/>
        <v>100</v>
      </c>
      <c r="T42" s="1308" t="s">
        <v>5</v>
      </c>
      <c r="U42" s="1309">
        <f t="shared" si="10"/>
        <v>100</v>
      </c>
      <c r="V42" s="1308" t="s">
        <v>5</v>
      </c>
      <c r="W42" s="1309">
        <f t="shared" si="11"/>
        <v>100</v>
      </c>
      <c r="X42" s="1310"/>
      <c r="Y42" s="3705"/>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6"/>
      <c r="M43" s="1739"/>
      <c r="N43" s="1739"/>
      <c r="O43" s="1739"/>
      <c r="P43" s="3705"/>
      <c r="Q43" s="1304" t="str">
        <f t="shared" si="8"/>
        <v>内部装修</v>
      </c>
      <c r="R43" s="1305" t="s">
        <v>5</v>
      </c>
      <c r="S43" s="1306">
        <f t="shared" si="9"/>
        <v>100</v>
      </c>
      <c r="T43" s="1305" t="s">
        <v>5</v>
      </c>
      <c r="U43" s="1306">
        <f t="shared" si="10"/>
        <v>100</v>
      </c>
      <c r="V43" s="1305" t="s">
        <v>5</v>
      </c>
      <c r="W43" s="1306">
        <f t="shared" si="11"/>
        <v>100</v>
      </c>
      <c r="X43" s="1300"/>
      <c r="Y43" s="3705"/>
      <c r="Z43" s="1307" t="str">
        <f t="shared" si="12"/>
        <v>内部装修</v>
      </c>
      <c r="AA43" s="1307">
        <f t="shared" si="3"/>
        <v>1</v>
      </c>
      <c r="AB43" s="1307">
        <f t="shared" si="4"/>
        <v>1</v>
      </c>
      <c r="AC43" s="1307">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6"/>
      <c r="M44" s="1739"/>
      <c r="N44" s="1739"/>
      <c r="O44" s="1739"/>
      <c r="P44" s="3705"/>
      <c r="Q44" s="1304" t="str">
        <f t="shared" si="8"/>
        <v>内部装修维护情况</v>
      </c>
      <c r="R44" s="1305" t="s">
        <v>5</v>
      </c>
      <c r="S44" s="1306">
        <f t="shared" si="9"/>
        <v>100</v>
      </c>
      <c r="T44" s="1305" t="s">
        <v>5</v>
      </c>
      <c r="U44" s="1306">
        <f t="shared" si="10"/>
        <v>100</v>
      </c>
      <c r="V44" s="1305" t="s">
        <v>5</v>
      </c>
      <c r="W44" s="1306">
        <f t="shared" si="11"/>
        <v>100</v>
      </c>
      <c r="X44" s="1300"/>
      <c r="Y44" s="3705"/>
      <c r="Z44" s="1307" t="str">
        <f t="shared" si="12"/>
        <v>内部装修维护情况</v>
      </c>
      <c r="AA44" s="1307">
        <f t="shared" si="3"/>
        <v>1</v>
      </c>
      <c r="AB44" s="1307">
        <f t="shared" si="4"/>
        <v>1</v>
      </c>
      <c r="AC44" s="1307">
        <f t="shared" si="5"/>
        <v>1</v>
      </c>
    </row>
    <row r="45" spans="1:29" s="1058"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0"/>
      <c r="M45" s="1637"/>
      <c r="N45" s="1637"/>
      <c r="O45" s="1637"/>
      <c r="P45" s="3705"/>
      <c r="Q45" s="817">
        <f t="shared" si="8"/>
        <v>111</v>
      </c>
      <c r="R45" s="1301" t="s">
        <v>5</v>
      </c>
      <c r="S45" s="1302">
        <f t="shared" si="9"/>
        <v>100</v>
      </c>
      <c r="T45" s="1301" t="s">
        <v>5</v>
      </c>
      <c r="U45" s="1302">
        <f t="shared" si="10"/>
        <v>100</v>
      </c>
      <c r="V45" s="1301" t="s">
        <v>5</v>
      </c>
      <c r="W45" s="1302">
        <f t="shared" si="11"/>
        <v>100</v>
      </c>
      <c r="X45" s="1303"/>
      <c r="Y45" s="3705"/>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6"/>
      <c r="M46" s="1739"/>
      <c r="N46" s="1739"/>
      <c r="O46" s="1739"/>
      <c r="P46" s="3705"/>
      <c r="Q46" s="1304">
        <f t="shared" si="8"/>
        <v>111</v>
      </c>
      <c r="R46" s="1305" t="s">
        <v>5</v>
      </c>
      <c r="S46" s="1306">
        <f t="shared" si="9"/>
        <v>100</v>
      </c>
      <c r="T46" s="1305" t="s">
        <v>5</v>
      </c>
      <c r="U46" s="1306">
        <f t="shared" si="10"/>
        <v>100</v>
      </c>
      <c r="V46" s="1305" t="s">
        <v>5</v>
      </c>
      <c r="W46" s="1306">
        <f t="shared" si="11"/>
        <v>100</v>
      </c>
      <c r="X46" s="1300"/>
      <c r="Y46" s="3705"/>
      <c r="Z46" s="1307">
        <f t="shared" si="12"/>
        <v>111</v>
      </c>
      <c r="AA46" s="1307">
        <f t="shared" si="3"/>
        <v>1</v>
      </c>
      <c r="AB46" s="1307">
        <f t="shared" si="4"/>
        <v>1</v>
      </c>
      <c r="AC46" s="1307">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6"/>
      <c r="M47" s="1739"/>
      <c r="N47" s="1739"/>
      <c r="O47" s="1739"/>
      <c r="P47" s="3801"/>
      <c r="Q47" s="1304">
        <f t="shared" si="8"/>
        <v>111</v>
      </c>
      <c r="R47" s="1305" t="s">
        <v>5</v>
      </c>
      <c r="S47" s="1306">
        <f t="shared" si="9"/>
        <v>100</v>
      </c>
      <c r="T47" s="1305" t="s">
        <v>5</v>
      </c>
      <c r="U47" s="1306">
        <f t="shared" si="10"/>
        <v>100</v>
      </c>
      <c r="V47" s="1305" t="s">
        <v>5</v>
      </c>
      <c r="W47" s="1306">
        <f t="shared" si="11"/>
        <v>100</v>
      </c>
      <c r="X47" s="1300"/>
      <c r="Y47" s="3801"/>
      <c r="Z47" s="1307">
        <f t="shared" si="12"/>
        <v>111</v>
      </c>
      <c r="AA47" s="1307">
        <f t="shared" si="3"/>
        <v>1</v>
      </c>
      <c r="AB47" s="1307">
        <f t="shared" si="4"/>
        <v>1</v>
      </c>
      <c r="AC47" s="1307">
        <f t="shared" si="5"/>
        <v>1</v>
      </c>
    </row>
    <row r="48" spans="1:29" ht="15">
      <c r="A48" s="556" t="s">
        <v>683</v>
      </c>
      <c r="B48" s="811"/>
      <c r="C48" s="2078" t="s">
        <v>0</v>
      </c>
      <c r="D48" s="559"/>
      <c r="E48" s="560"/>
      <c r="F48" s="561"/>
      <c r="G48" s="562"/>
      <c r="H48" s="563"/>
      <c r="I48" s="560"/>
      <c r="J48" s="563"/>
      <c r="K48" s="1333"/>
      <c r="L48" s="1748"/>
      <c r="M48" s="1739"/>
      <c r="N48" s="1739"/>
      <c r="O48" s="1739"/>
      <c r="P48" s="3707" t="str">
        <f>A48</f>
        <v>成交单价（元/平方米）</v>
      </c>
      <c r="Q48" s="3700"/>
      <c r="R48" s="3716">
        <f>E48</f>
        <v>0</v>
      </c>
      <c r="S48" s="3716"/>
      <c r="T48" s="3716">
        <f>G48</f>
        <v>0</v>
      </c>
      <c r="U48" s="3716"/>
      <c r="V48" s="3716">
        <f>I48</f>
        <v>0</v>
      </c>
      <c r="W48" s="3716"/>
      <c r="X48" s="799"/>
      <c r="Y48" s="1312"/>
      <c r="Z48" s="799"/>
      <c r="AA48" s="799"/>
      <c r="AB48" s="799"/>
      <c r="AC48" s="799"/>
    </row>
    <row r="49" spans="1:29" ht="15.75" thickBot="1">
      <c r="A49" s="564" t="s">
        <v>2037</v>
      </c>
      <c r="B49" s="812"/>
      <c r="C49" s="2079" t="e">
        <f>R50</f>
        <v>#DIV/0!</v>
      </c>
      <c r="D49" s="2547" t="s">
        <v>2243</v>
      </c>
      <c r="E49" s="2080" t="e">
        <f>R49</f>
        <v>#DIV/0!</v>
      </c>
      <c r="F49" s="2548"/>
      <c r="G49" s="2079" t="e">
        <f>T49</f>
        <v>#DIV/0!</v>
      </c>
      <c r="H49" s="2548"/>
      <c r="I49" s="2080" t="e">
        <f>V49</f>
        <v>#DIV/0!</v>
      </c>
      <c r="J49" s="2548"/>
      <c r="K49" s="2555">
        <f>F49+H49+J49</f>
        <v>0</v>
      </c>
      <c r="L49" s="1748"/>
      <c r="M49" s="1739"/>
      <c r="N49" s="1739"/>
      <c r="O49" s="1739"/>
      <c r="P49" s="3707" t="str">
        <f>A49</f>
        <v>比较价格（元/平方米）</v>
      </c>
      <c r="Q49" s="3700"/>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799"/>
      <c r="Y49" s="799"/>
      <c r="Z49" s="799"/>
      <c r="AA49" s="799"/>
      <c r="AB49" s="799"/>
      <c r="AC49" s="799"/>
    </row>
    <row r="50" spans="1:29" ht="15.75" thickBot="1">
      <c r="A50" s="568" t="s">
        <v>2180</v>
      </c>
      <c r="B50" s="569"/>
      <c r="C50" s="469" t="e">
        <f>R50</f>
        <v>#DIV/0!</v>
      </c>
      <c r="D50" s="469"/>
      <c r="E50" s="469"/>
      <c r="F50" s="469"/>
      <c r="G50" s="469"/>
      <c r="H50" s="469"/>
      <c r="I50" s="469"/>
      <c r="J50" s="469"/>
      <c r="K50" s="1334"/>
      <c r="L50" s="1748"/>
      <c r="M50" s="1739"/>
      <c r="N50" s="1739"/>
      <c r="O50" s="1739"/>
      <c r="P50" s="3805" t="str">
        <f>A50</f>
        <v>估价对象XX用房的比较价格（楼面单价，元/平方米）</v>
      </c>
      <c r="Q50" s="3707"/>
      <c r="R50" s="3800" t="e">
        <f>IF(F1="售价",ROUND(IF(D49="简单平均",AVERAGE(R49:V49),R49*F49+T49*H49+V49*J49),0),ROUND(IF(D49="简单平均",AVERAGE(R49:V49),R49*F49+T49*H49+V49*J49),1))</f>
        <v>#DIV/0!</v>
      </c>
      <c r="S50" s="3800"/>
      <c r="T50" s="3800"/>
      <c r="U50" s="3800"/>
      <c r="V50" s="3800"/>
      <c r="W50" s="3800"/>
      <c r="X50" s="799"/>
      <c r="Y50" s="799"/>
      <c r="Z50" s="799"/>
      <c r="AA50" s="799"/>
      <c r="AB50" s="799"/>
      <c r="AC50" s="799"/>
    </row>
    <row r="51" spans="1:29">
      <c r="A51" s="2716"/>
      <c r="B51" s="2716"/>
      <c r="C51" s="2716"/>
      <c r="D51" s="2716"/>
      <c r="E51" s="2716"/>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9"/>
      <c r="L54" s="1752"/>
      <c r="M54" s="1739"/>
      <c r="N54" s="1739"/>
      <c r="O54" s="1739"/>
      <c r="P54" s="1801"/>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0"/>
      <c r="L55" s="1755"/>
      <c r="M55" s="1749"/>
      <c r="N55" s="1749"/>
      <c r="O55" s="1749"/>
      <c r="P55" s="1802"/>
      <c r="Q55" s="1749"/>
      <c r="R55" s="1749"/>
      <c r="S55" s="1749"/>
      <c r="T55" s="1749"/>
      <c r="U55" s="1749"/>
      <c r="V55" s="1749"/>
      <c r="W55" s="1749"/>
      <c r="X55" s="1749"/>
      <c r="Y55" s="1749"/>
      <c r="Z55" s="1749"/>
      <c r="AA55" s="1749"/>
      <c r="AB55" s="1749"/>
      <c r="AC55" s="1749"/>
    </row>
    <row r="56" spans="1:29" s="1137"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1.75" thickBot="1">
      <c r="A58" s="1315" t="s">
        <v>522</v>
      </c>
      <c r="B58" s="799"/>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9" customFormat="1" ht="15">
      <c r="A59" s="592" t="s">
        <v>478</v>
      </c>
      <c r="B59" s="593"/>
      <c r="C59" s="2110" t="str">
        <f>YEAR(C7)&amp;"-"&amp;MONTH(C7)</f>
        <v>2025-5</v>
      </c>
      <c r="D59" s="2112">
        <f>EDATE(C59,-1)</f>
        <v>45748</v>
      </c>
      <c r="E59" s="2112">
        <f t="shared" ref="E59:O59" si="13">EDATE(D59,-1)</f>
        <v>45717</v>
      </c>
      <c r="F59" s="2112">
        <f t="shared" si="13"/>
        <v>45689</v>
      </c>
      <c r="G59" s="2112">
        <f t="shared" si="13"/>
        <v>45658</v>
      </c>
      <c r="H59" s="2112">
        <f t="shared" si="13"/>
        <v>45627</v>
      </c>
      <c r="I59" s="2112">
        <f t="shared" si="13"/>
        <v>45597</v>
      </c>
      <c r="J59" s="2112">
        <f t="shared" si="13"/>
        <v>45566</v>
      </c>
      <c r="K59" s="2112">
        <f t="shared" si="13"/>
        <v>45536</v>
      </c>
      <c r="L59" s="2112">
        <f t="shared" si="13"/>
        <v>45505</v>
      </c>
      <c r="M59" s="2112">
        <f t="shared" si="13"/>
        <v>45474</v>
      </c>
      <c r="N59" s="2112">
        <f t="shared" si="13"/>
        <v>45444</v>
      </c>
      <c r="O59" s="2112">
        <f t="shared" si="13"/>
        <v>45413</v>
      </c>
      <c r="P59" s="1804"/>
      <c r="Q59" s="1762"/>
      <c r="R59" s="1762"/>
      <c r="S59" s="1762"/>
      <c r="T59" s="1762"/>
      <c r="U59" s="1762"/>
      <c r="V59" s="1762"/>
      <c r="W59" s="1762"/>
      <c r="X59" s="1762"/>
      <c r="Y59" s="1762"/>
      <c r="Z59" s="1762"/>
      <c r="AA59" s="1762"/>
      <c r="AB59" s="1762"/>
      <c r="AC59" s="1762"/>
    </row>
    <row r="60" spans="1:29" s="1058" customFormat="1" ht="15">
      <c r="A60" s="527"/>
      <c r="B60" s="594"/>
      <c r="C60" s="595">
        <v>100</v>
      </c>
      <c r="D60" s="596"/>
      <c r="E60" s="596"/>
      <c r="F60" s="596"/>
      <c r="G60" s="596"/>
      <c r="H60" s="596"/>
      <c r="I60" s="596"/>
      <c r="J60" s="596"/>
      <c r="K60" s="596"/>
      <c r="L60" s="596"/>
      <c r="M60" s="487"/>
      <c r="N60" s="596"/>
      <c r="O60" s="487"/>
      <c r="P60" s="1805"/>
      <c r="Q60" s="1637"/>
      <c r="R60" s="1637"/>
      <c r="S60" s="1637"/>
      <c r="T60" s="1637"/>
      <c r="U60" s="1637"/>
      <c r="V60" s="1637"/>
      <c r="W60" s="1637"/>
      <c r="X60" s="1637"/>
      <c r="Y60" s="1637"/>
      <c r="Z60" s="1637"/>
      <c r="AA60" s="1637"/>
      <c r="AB60" s="1637"/>
      <c r="AC60" s="1637"/>
    </row>
    <row r="61" spans="1:29" s="1058" customFormat="1" ht="15.75" thickBot="1">
      <c r="A61" s="262" t="s">
        <v>523</v>
      </c>
      <c r="B61" s="598"/>
      <c r="C61" s="599"/>
      <c r="D61" s="600"/>
      <c r="E61" s="600"/>
      <c r="F61" s="600"/>
      <c r="G61" s="600"/>
      <c r="H61" s="600"/>
      <c r="I61" s="600"/>
      <c r="J61" s="600"/>
      <c r="K61" s="600"/>
      <c r="L61" s="600"/>
      <c r="M61" s="601"/>
      <c r="N61" s="600"/>
      <c r="O61" s="601"/>
      <c r="P61" s="1805"/>
      <c r="Q61" s="1760"/>
      <c r="R61" s="1637"/>
      <c r="S61" s="1637"/>
      <c r="T61" s="1637"/>
      <c r="U61" s="1637"/>
      <c r="V61" s="1637"/>
      <c r="W61" s="1637"/>
      <c r="X61" s="1637"/>
      <c r="Y61" s="1637"/>
      <c r="Z61" s="1637"/>
      <c r="AA61" s="1637"/>
      <c r="AB61" s="1637"/>
      <c r="AC61" s="1637"/>
    </row>
    <row r="62" spans="1:29" s="1058" customFormat="1" ht="15">
      <c r="A62" s="603" t="s">
        <v>480</v>
      </c>
      <c r="B62" s="594"/>
      <c r="C62" s="604" t="s">
        <v>524</v>
      </c>
      <c r="D62" s="80"/>
      <c r="E62" s="80"/>
      <c r="F62" s="80"/>
      <c r="G62" s="80"/>
      <c r="H62" s="80"/>
      <c r="I62" s="80"/>
      <c r="J62" s="80"/>
      <c r="K62" s="80"/>
      <c r="L62" s="605"/>
      <c r="M62" s="606"/>
      <c r="N62" s="1763"/>
      <c r="O62" s="1763"/>
      <c r="P62" s="1806"/>
      <c r="Q62" s="1760"/>
      <c r="R62" s="1637"/>
      <c r="S62" s="1637"/>
      <c r="T62" s="1637"/>
      <c r="U62" s="1637"/>
      <c r="V62" s="1637"/>
      <c r="W62" s="1637"/>
      <c r="X62" s="1637"/>
      <c r="Y62" s="1637"/>
      <c r="Z62" s="1637"/>
      <c r="AA62" s="1637"/>
      <c r="AB62" s="1637"/>
      <c r="AC62" s="1637"/>
    </row>
    <row r="63" spans="1:29" s="1058" customFormat="1" ht="15.75" thickBot="1">
      <c r="A63" s="603"/>
      <c r="B63" s="594"/>
      <c r="C63" s="813">
        <v>100</v>
      </c>
      <c r="D63" s="596"/>
      <c r="E63" s="596"/>
      <c r="F63" s="596"/>
      <c r="G63" s="596"/>
      <c r="H63" s="596"/>
      <c r="I63" s="596"/>
      <c r="J63" s="596"/>
      <c r="K63" s="596"/>
      <c r="L63" s="596"/>
      <c r="M63" s="597"/>
      <c r="N63" s="1763"/>
      <c r="O63" s="1763"/>
      <c r="P63" s="1805"/>
      <c r="Q63" s="1760"/>
      <c r="R63" s="1637"/>
      <c r="S63" s="1637"/>
      <c r="T63" s="1637"/>
      <c r="U63" s="1637"/>
      <c r="V63" s="1637"/>
      <c r="W63" s="1637"/>
      <c r="X63" s="1637"/>
      <c r="Y63" s="1637"/>
      <c r="Z63" s="1637"/>
      <c r="AA63" s="1637"/>
      <c r="AB63" s="1637"/>
      <c r="AC63" s="1637"/>
    </row>
    <row r="64" spans="1:29">
      <c r="A64" s="607" t="s">
        <v>525</v>
      </c>
      <c r="B64" s="608" t="s">
        <v>483</v>
      </c>
      <c r="C64" s="645">
        <f>C9</f>
        <v>0</v>
      </c>
      <c r="D64" s="547"/>
      <c r="E64" s="547"/>
      <c r="F64" s="547"/>
      <c r="G64" s="547"/>
      <c r="H64" s="547"/>
      <c r="I64" s="547"/>
      <c r="J64" s="547"/>
      <c r="K64" s="609"/>
      <c r="L64" s="610"/>
      <c r="M64" s="611"/>
      <c r="N64" s="1764"/>
      <c r="O64" s="1764"/>
      <c r="P64" s="1807"/>
      <c r="Q64" s="1760"/>
      <c r="R64" s="1739"/>
      <c r="S64" s="1739"/>
      <c r="T64" s="1739"/>
      <c r="U64" s="1739"/>
      <c r="V64" s="1739"/>
      <c r="W64" s="1739"/>
      <c r="X64" s="1739"/>
      <c r="Y64" s="1739"/>
      <c r="Z64" s="1739"/>
      <c r="AA64" s="1739"/>
      <c r="AB64" s="1739"/>
      <c r="AC64" s="1739"/>
    </row>
    <row r="65" spans="1:29" ht="15.75" thickBot="1">
      <c r="A65" s="482"/>
      <c r="B65" s="612"/>
      <c r="C65" s="613"/>
      <c r="D65" s="613"/>
      <c r="E65" s="613"/>
      <c r="F65" s="613"/>
      <c r="G65" s="613"/>
      <c r="H65" s="613"/>
      <c r="I65" s="613"/>
      <c r="J65" s="613"/>
      <c r="K65" s="613"/>
      <c r="L65" s="613"/>
      <c r="M65" s="614"/>
      <c r="N65" s="1765"/>
      <c r="O65" s="1765"/>
      <c r="P65" s="1807"/>
      <c r="Q65" s="1760"/>
      <c r="R65" s="1739"/>
      <c r="S65" s="1739"/>
      <c r="T65" s="1739"/>
      <c r="U65" s="1739"/>
      <c r="V65" s="1739"/>
      <c r="W65" s="1739"/>
      <c r="X65" s="1739"/>
      <c r="Y65" s="1739"/>
      <c r="Z65" s="1739"/>
      <c r="AA65" s="1739"/>
      <c r="AB65" s="1739"/>
      <c r="AC65" s="1739"/>
    </row>
    <row r="66" spans="1:29" ht="27.75" thickTop="1">
      <c r="A66" s="482"/>
      <c r="B66" s="615" t="s">
        <v>486</v>
      </c>
      <c r="C66" s="658"/>
      <c r="D66" s="658"/>
      <c r="E66" s="658"/>
      <c r="F66" s="658"/>
      <c r="G66" s="658"/>
      <c r="H66" s="658"/>
      <c r="I66" s="658"/>
      <c r="J66" s="658"/>
      <c r="K66" s="659"/>
      <c r="L66" s="660"/>
      <c r="M66" s="661"/>
      <c r="N66" s="1764"/>
      <c r="O66" s="1764"/>
      <c r="P66" s="1807"/>
      <c r="Q66" s="1760"/>
      <c r="R66" s="1739"/>
      <c r="S66" s="1739"/>
      <c r="T66" s="1739"/>
      <c r="U66" s="1739"/>
      <c r="V66" s="1739"/>
      <c r="W66" s="1739"/>
      <c r="X66" s="1739"/>
      <c r="Y66" s="1739"/>
      <c r="Z66" s="1739"/>
      <c r="AA66" s="1739"/>
      <c r="AB66" s="1739"/>
      <c r="AC66" s="1739"/>
    </row>
    <row r="67" spans="1:29" ht="15.75" thickBot="1">
      <c r="A67" s="482"/>
      <c r="B67" s="620"/>
      <c r="C67" s="613"/>
      <c r="D67" s="613"/>
      <c r="E67" s="613"/>
      <c r="F67" s="613"/>
      <c r="G67" s="613"/>
      <c r="H67" s="613"/>
      <c r="I67" s="613"/>
      <c r="J67" s="613"/>
      <c r="K67" s="613"/>
      <c r="L67" s="613"/>
      <c r="M67" s="614"/>
      <c r="N67" s="1765"/>
      <c r="O67" s="1765"/>
      <c r="P67" s="1807"/>
      <c r="Q67" s="1760"/>
      <c r="R67" s="1739"/>
      <c r="S67" s="1739"/>
      <c r="T67" s="1739"/>
      <c r="U67" s="1739"/>
      <c r="V67" s="1739"/>
      <c r="W67" s="1739"/>
      <c r="X67" s="1739"/>
      <c r="Y67" s="1739"/>
      <c r="Z67" s="1739"/>
      <c r="AA67" s="1739"/>
      <c r="AB67" s="1739"/>
      <c r="AC67" s="1739"/>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5"/>
      <c r="O68" s="1765"/>
      <c r="P68" s="1807"/>
      <c r="Q68" s="1760"/>
      <c r="R68" s="1739"/>
      <c r="S68" s="1739"/>
      <c r="T68" s="1739"/>
      <c r="U68" s="1739"/>
      <c r="V68" s="1739"/>
      <c r="W68" s="1739"/>
      <c r="X68" s="1739"/>
      <c r="Y68" s="1739"/>
      <c r="Z68" s="1739"/>
      <c r="AA68" s="1739"/>
      <c r="AB68" s="1739"/>
      <c r="AC68" s="1739"/>
    </row>
    <row r="69" spans="1:29" ht="15">
      <c r="A69" s="482"/>
      <c r="B69" s="625"/>
      <c r="C69" s="491"/>
      <c r="D69" s="491"/>
      <c r="E69" s="491"/>
      <c r="F69" s="491"/>
      <c r="G69" s="491"/>
      <c r="H69" s="491"/>
      <c r="I69" s="491"/>
      <c r="J69" s="491"/>
      <c r="K69" s="626"/>
      <c r="L69" s="627"/>
      <c r="M69" s="628"/>
      <c r="N69" s="1764"/>
      <c r="O69" s="1764"/>
      <c r="P69" s="1807"/>
      <c r="Q69" s="1760"/>
      <c r="R69" s="1739"/>
      <c r="S69" s="1739"/>
      <c r="T69" s="1739"/>
      <c r="U69" s="1739"/>
      <c r="V69" s="1739"/>
      <c r="W69" s="1739"/>
      <c r="X69" s="1739"/>
      <c r="Y69" s="1739"/>
      <c r="Z69" s="1739"/>
      <c r="AA69" s="1739"/>
      <c r="AB69" s="1739"/>
      <c r="AC69" s="1739"/>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5"/>
      <c r="O70" s="1765"/>
      <c r="P70" s="1807"/>
      <c r="Q70" s="1760"/>
      <c r="R70" s="1739"/>
      <c r="S70" s="1739"/>
      <c r="T70" s="1739"/>
      <c r="U70" s="1739"/>
      <c r="V70" s="1739"/>
      <c r="W70" s="1739"/>
      <c r="X70" s="1739"/>
      <c r="Y70" s="1739"/>
      <c r="Z70" s="1739"/>
      <c r="AA70" s="1739"/>
      <c r="AB70" s="1739"/>
      <c r="AC70" s="1739"/>
    </row>
    <row r="71" spans="1:29" s="1132" customFormat="1" ht="15.75" thickTop="1">
      <c r="A71" s="629"/>
      <c r="B71" s="615">
        <f>B12</f>
        <v>111</v>
      </c>
      <c r="C71" s="630"/>
      <c r="D71" s="630"/>
      <c r="E71" s="630"/>
      <c r="F71" s="630"/>
      <c r="G71" s="630"/>
      <c r="H71" s="631"/>
      <c r="I71" s="631"/>
      <c r="J71" s="631"/>
      <c r="K71" s="631"/>
      <c r="L71" s="632"/>
      <c r="M71" s="633"/>
      <c r="N71" s="1766"/>
      <c r="O71" s="1766"/>
      <c r="P71" s="1808"/>
      <c r="Q71" s="1767"/>
      <c r="R71" s="1768"/>
      <c r="S71" s="1768"/>
      <c r="T71" s="1768"/>
      <c r="U71" s="1768"/>
      <c r="V71" s="1768"/>
      <c r="W71" s="1768"/>
      <c r="X71" s="1768"/>
      <c r="Y71" s="1768"/>
      <c r="Z71" s="1768"/>
      <c r="AA71" s="1768"/>
      <c r="AB71" s="1768"/>
      <c r="AC71" s="1768"/>
    </row>
    <row r="72" spans="1:29" s="1132" customFormat="1" ht="15.75" thickBot="1">
      <c r="A72" s="629"/>
      <c r="B72" s="620"/>
      <c r="C72" s="634"/>
      <c r="D72" s="613"/>
      <c r="E72" s="613"/>
      <c r="F72" s="613"/>
      <c r="G72" s="613"/>
      <c r="H72" s="613"/>
      <c r="I72" s="613"/>
      <c r="J72" s="613"/>
      <c r="K72" s="613"/>
      <c r="L72" s="613"/>
      <c r="M72" s="614"/>
      <c r="N72" s="1765"/>
      <c r="O72" s="1765"/>
      <c r="P72" s="1808"/>
      <c r="Q72" s="1767"/>
      <c r="R72" s="1768"/>
      <c r="S72" s="1768"/>
      <c r="T72" s="1768"/>
      <c r="U72" s="1768"/>
      <c r="V72" s="1768"/>
      <c r="W72" s="1768"/>
      <c r="X72" s="1768"/>
      <c r="Y72" s="1768"/>
      <c r="Z72" s="1768"/>
      <c r="AA72" s="1768"/>
      <c r="AB72" s="1768"/>
      <c r="AC72" s="1768"/>
    </row>
    <row r="73" spans="1:29" s="1132" customFormat="1" ht="15.75" thickTop="1">
      <c r="A73" s="629"/>
      <c r="B73" s="615">
        <f>B13</f>
        <v>111</v>
      </c>
      <c r="C73" s="630"/>
      <c r="D73" s="630"/>
      <c r="E73" s="630"/>
      <c r="F73" s="630"/>
      <c r="G73" s="630"/>
      <c r="H73" s="631"/>
      <c r="I73" s="631"/>
      <c r="J73" s="631"/>
      <c r="K73" s="631"/>
      <c r="L73" s="632"/>
      <c r="M73" s="633"/>
      <c r="N73" s="1766"/>
      <c r="O73" s="1766"/>
      <c r="P73" s="1809"/>
      <c r="Q73" s="1769"/>
      <c r="R73" s="1768"/>
      <c r="S73" s="1768"/>
      <c r="T73" s="1768"/>
      <c r="U73" s="1768"/>
      <c r="V73" s="1768"/>
      <c r="W73" s="1768"/>
      <c r="X73" s="1768"/>
      <c r="Y73" s="1768"/>
      <c r="Z73" s="1768"/>
      <c r="AA73" s="1768"/>
      <c r="AB73" s="1768"/>
      <c r="AC73" s="1768"/>
    </row>
    <row r="74" spans="1:29" s="1132" customFormat="1" ht="15.75" thickBot="1">
      <c r="A74" s="629"/>
      <c r="B74" s="620"/>
      <c r="C74" s="634"/>
      <c r="D74" s="634"/>
      <c r="E74" s="634"/>
      <c r="F74" s="634"/>
      <c r="G74" s="634"/>
      <c r="H74" s="635"/>
      <c r="I74" s="635"/>
      <c r="J74" s="635"/>
      <c r="K74" s="635"/>
      <c r="L74" s="635"/>
      <c r="M74" s="636"/>
      <c r="N74" s="1766"/>
      <c r="O74" s="1766"/>
      <c r="P74" s="1808"/>
      <c r="Q74" s="1767"/>
      <c r="R74" s="1768"/>
      <c r="S74" s="1768"/>
      <c r="T74" s="1768"/>
      <c r="U74" s="1768"/>
      <c r="V74" s="1768"/>
      <c r="W74" s="1768"/>
      <c r="X74" s="1768"/>
      <c r="Y74" s="1768"/>
      <c r="Z74" s="1768"/>
      <c r="AA74" s="1768"/>
      <c r="AB74" s="1768"/>
      <c r="AC74" s="1768"/>
    </row>
    <row r="75" spans="1:29" s="1132" customFormat="1" ht="15.75" thickTop="1">
      <c r="A75" s="629"/>
      <c r="B75" s="623">
        <f>B14</f>
        <v>111</v>
      </c>
      <c r="C75" s="80"/>
      <c r="D75" s="80"/>
      <c r="E75" s="80"/>
      <c r="F75" s="80"/>
      <c r="G75" s="80"/>
      <c r="H75" s="637"/>
      <c r="I75" s="637"/>
      <c r="J75" s="637"/>
      <c r="K75" s="637"/>
      <c r="L75" s="638"/>
      <c r="M75" s="639"/>
      <c r="N75" s="1766"/>
      <c r="O75" s="1766"/>
      <c r="P75" s="1810"/>
      <c r="Q75" s="1767"/>
      <c r="R75" s="1768"/>
      <c r="S75" s="1768"/>
      <c r="T75" s="1768"/>
      <c r="U75" s="1768"/>
      <c r="V75" s="1768"/>
      <c r="W75" s="1768"/>
      <c r="X75" s="1768"/>
      <c r="Y75" s="1768"/>
      <c r="Z75" s="1768"/>
      <c r="AA75" s="1768"/>
      <c r="AB75" s="1768"/>
      <c r="AC75" s="1768"/>
    </row>
    <row r="76" spans="1:29" s="1132" customFormat="1" ht="15.75" thickBot="1">
      <c r="A76" s="640"/>
      <c r="B76" s="641"/>
      <c r="C76" s="642"/>
      <c r="D76" s="642"/>
      <c r="E76" s="642"/>
      <c r="F76" s="642"/>
      <c r="G76" s="642"/>
      <c r="H76" s="643"/>
      <c r="I76" s="643"/>
      <c r="J76" s="643"/>
      <c r="K76" s="643"/>
      <c r="L76" s="643"/>
      <c r="M76" s="644"/>
      <c r="N76" s="1766"/>
      <c r="O76" s="1766"/>
      <c r="P76" s="1808"/>
      <c r="Q76" s="1767"/>
      <c r="R76" s="1768"/>
      <c r="S76" s="1768"/>
      <c r="T76" s="1768"/>
      <c r="U76" s="1768"/>
      <c r="V76" s="1768"/>
      <c r="W76" s="1768"/>
      <c r="X76" s="1768"/>
      <c r="Y76" s="1768"/>
      <c r="Z76" s="1768"/>
      <c r="AA76" s="1768"/>
      <c r="AB76" s="1768"/>
      <c r="AC76" s="1768"/>
    </row>
    <row r="77" spans="1:29">
      <c r="A77" s="607" t="s">
        <v>488</v>
      </c>
      <c r="B77" s="608" t="s">
        <v>533</v>
      </c>
      <c r="C77" s="143" t="s">
        <v>527</v>
      </c>
      <c r="D77" s="143" t="s">
        <v>528</v>
      </c>
      <c r="E77" s="143" t="s">
        <v>529</v>
      </c>
      <c r="F77" s="143" t="s">
        <v>530</v>
      </c>
      <c r="G77" s="143" t="s">
        <v>531</v>
      </c>
      <c r="H77" s="645"/>
      <c r="I77" s="645"/>
      <c r="J77" s="645"/>
      <c r="K77" s="646"/>
      <c r="L77" s="647"/>
      <c r="M77" s="648"/>
      <c r="N77" s="1764"/>
      <c r="O77" s="1764"/>
      <c r="P77" s="1811"/>
      <c r="Q77" s="1760"/>
      <c r="R77" s="1739"/>
      <c r="S77" s="1739"/>
      <c r="T77" s="1739"/>
      <c r="U77" s="1739"/>
      <c r="V77" s="1739"/>
      <c r="W77" s="1739"/>
      <c r="X77" s="1739"/>
      <c r="Y77" s="1739"/>
      <c r="Z77" s="1739"/>
      <c r="AA77" s="1739"/>
      <c r="AB77" s="1739"/>
      <c r="AC77" s="1739"/>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5"/>
      <c r="O78" s="1765"/>
      <c r="P78" s="1807"/>
      <c r="Q78" s="1760"/>
      <c r="R78" s="1739"/>
      <c r="S78" s="1739"/>
      <c r="T78" s="1739"/>
      <c r="U78" s="1739"/>
      <c r="V78" s="1739"/>
      <c r="W78" s="1739"/>
      <c r="X78" s="1739"/>
      <c r="Y78" s="1739"/>
      <c r="Z78" s="1739"/>
      <c r="AA78" s="1739"/>
      <c r="AB78" s="1739"/>
      <c r="AC78" s="1739"/>
    </row>
    <row r="79" spans="1:29" ht="15.75" thickTop="1">
      <c r="A79" s="482"/>
      <c r="B79" s="615" t="s">
        <v>534</v>
      </c>
      <c r="C79" s="649" t="s">
        <v>527</v>
      </c>
      <c r="D79" s="649" t="s">
        <v>528</v>
      </c>
      <c r="E79" s="649" t="s">
        <v>529</v>
      </c>
      <c r="F79" s="649" t="s">
        <v>530</v>
      </c>
      <c r="G79" s="649" t="s">
        <v>531</v>
      </c>
      <c r="H79" s="616"/>
      <c r="I79" s="616"/>
      <c r="J79" s="616"/>
      <c r="K79" s="617"/>
      <c r="L79" s="618"/>
      <c r="M79" s="619"/>
      <c r="N79" s="1764"/>
      <c r="O79" s="1764"/>
      <c r="P79" s="1807"/>
      <c r="Q79" s="1760"/>
      <c r="R79" s="1739"/>
      <c r="S79" s="1739"/>
      <c r="T79" s="1739"/>
      <c r="U79" s="1739"/>
      <c r="V79" s="1739"/>
      <c r="W79" s="1739"/>
      <c r="X79" s="1739"/>
      <c r="Y79" s="1739"/>
      <c r="Z79" s="1739"/>
      <c r="AA79" s="1739"/>
      <c r="AB79" s="1739"/>
      <c r="AC79" s="1739"/>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5"/>
      <c r="O80" s="1765"/>
      <c r="P80" s="1807"/>
      <c r="Q80" s="1760"/>
      <c r="R80" s="1739"/>
      <c r="S80" s="1739"/>
      <c r="T80" s="1739"/>
      <c r="U80" s="1739"/>
      <c r="V80" s="1739"/>
      <c r="W80" s="1739"/>
      <c r="X80" s="1739"/>
      <c r="Y80" s="1739"/>
      <c r="Z80" s="1739"/>
      <c r="AA80" s="1739"/>
      <c r="AB80" s="1739"/>
      <c r="AC80" s="1739"/>
    </row>
    <row r="81" spans="1:29" ht="15.75" thickTop="1">
      <c r="A81" s="482"/>
      <c r="B81" s="1552" t="s">
        <v>1835</v>
      </c>
      <c r="C81" s="649" t="s">
        <v>527</v>
      </c>
      <c r="D81" s="649" t="s">
        <v>528</v>
      </c>
      <c r="E81" s="649" t="s">
        <v>529</v>
      </c>
      <c r="F81" s="649" t="s">
        <v>530</v>
      </c>
      <c r="G81" s="649" t="s">
        <v>531</v>
      </c>
      <c r="H81" s="616"/>
      <c r="I81" s="616"/>
      <c r="J81" s="616"/>
      <c r="K81" s="617"/>
      <c r="L81" s="618"/>
      <c r="M81" s="619"/>
      <c r="N81" s="1764"/>
      <c r="O81" s="1764"/>
      <c r="P81" s="1807"/>
      <c r="Q81" s="1760"/>
      <c r="R81" s="1739"/>
      <c r="S81" s="1739"/>
      <c r="T81" s="1739"/>
      <c r="U81" s="1739"/>
      <c r="V81" s="1739"/>
      <c r="W81" s="1739"/>
      <c r="X81" s="1739"/>
      <c r="Y81" s="1739"/>
      <c r="Z81" s="1739"/>
      <c r="AA81" s="1739"/>
      <c r="AB81" s="1739"/>
      <c r="AC81" s="1739"/>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5"/>
      <c r="O82" s="1765"/>
      <c r="P82" s="1807"/>
      <c r="Q82" s="1760"/>
      <c r="R82" s="1739"/>
      <c r="S82" s="1739"/>
      <c r="T82" s="1739"/>
      <c r="U82" s="1739"/>
      <c r="V82" s="1739"/>
      <c r="W82" s="1739"/>
      <c r="X82" s="1739"/>
      <c r="Y82" s="1739"/>
      <c r="Z82" s="1739"/>
      <c r="AA82" s="1739"/>
      <c r="AB82" s="1739"/>
      <c r="AC82" s="1739"/>
    </row>
    <row r="83" spans="1:29" ht="15.75" thickTop="1">
      <c r="A83" s="482"/>
      <c r="B83" s="2053" t="s">
        <v>1836</v>
      </c>
      <c r="C83" s="2054" t="s">
        <v>1837</v>
      </c>
      <c r="D83" s="2054" t="s">
        <v>1838</v>
      </c>
      <c r="E83" s="2054" t="s">
        <v>1839</v>
      </c>
      <c r="F83" s="2054" t="s">
        <v>1840</v>
      </c>
      <c r="G83" s="2054" t="s">
        <v>1841</v>
      </c>
      <c r="H83" s="616"/>
      <c r="I83" s="616"/>
      <c r="J83" s="616"/>
      <c r="K83" s="616"/>
      <c r="L83" s="616"/>
      <c r="M83" s="2057"/>
      <c r="N83" s="1765"/>
      <c r="O83" s="1765"/>
      <c r="P83" s="1807"/>
      <c r="Q83" s="1760"/>
      <c r="R83" s="1739"/>
      <c r="S83" s="1739"/>
      <c r="T83" s="1739"/>
      <c r="U83" s="1739"/>
      <c r="V83" s="1739"/>
      <c r="W83" s="1739"/>
      <c r="X83" s="1739"/>
      <c r="Y83" s="1739"/>
      <c r="Z83" s="1739"/>
      <c r="AA83" s="1739"/>
      <c r="AB83" s="1739"/>
      <c r="AC83" s="1739"/>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5"/>
      <c r="O84" s="1765"/>
      <c r="P84" s="1807"/>
      <c r="Q84" s="1760"/>
      <c r="R84" s="1739"/>
      <c r="S84" s="1739"/>
      <c r="T84" s="1739"/>
      <c r="U84" s="1739"/>
      <c r="V84" s="1739"/>
      <c r="W84" s="1739"/>
      <c r="X84" s="1739"/>
      <c r="Y84" s="1739"/>
      <c r="Z84" s="1739"/>
      <c r="AA84" s="1739"/>
      <c r="AB84" s="1739"/>
      <c r="AC84" s="1739"/>
    </row>
    <row r="85" spans="1:29" ht="15.75" thickTop="1">
      <c r="A85" s="482"/>
      <c r="B85" s="615" t="s">
        <v>724</v>
      </c>
      <c r="C85" s="649" t="s">
        <v>527</v>
      </c>
      <c r="D85" s="649" t="s">
        <v>528</v>
      </c>
      <c r="E85" s="649" t="s">
        <v>529</v>
      </c>
      <c r="F85" s="649" t="s">
        <v>530</v>
      </c>
      <c r="G85" s="649" t="s">
        <v>531</v>
      </c>
      <c r="H85" s="616"/>
      <c r="I85" s="616"/>
      <c r="J85" s="616"/>
      <c r="K85" s="617"/>
      <c r="L85" s="618"/>
      <c r="M85" s="619"/>
      <c r="N85" s="1764"/>
      <c r="O85" s="1764"/>
      <c r="P85" s="1807"/>
      <c r="Q85" s="1760"/>
      <c r="R85" s="1739"/>
      <c r="S85" s="1739"/>
      <c r="T85" s="1739"/>
      <c r="U85" s="1739"/>
      <c r="V85" s="1739"/>
      <c r="W85" s="1739"/>
      <c r="X85" s="1739"/>
      <c r="Y85" s="1739"/>
      <c r="Z85" s="1739"/>
      <c r="AA85" s="1739"/>
      <c r="AB85" s="1739"/>
      <c r="AC85" s="1739"/>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5"/>
      <c r="O86" s="1765"/>
      <c r="P86" s="1807"/>
      <c r="Q86" s="1760"/>
      <c r="R86" s="1739"/>
      <c r="S86" s="1739"/>
      <c r="T86" s="1739"/>
      <c r="U86" s="1739"/>
      <c r="V86" s="1739"/>
      <c r="W86" s="1739"/>
      <c r="X86" s="1739"/>
      <c r="Y86" s="1739"/>
      <c r="Z86" s="1739"/>
      <c r="AA86" s="1739"/>
      <c r="AB86" s="1739"/>
      <c r="AC86" s="1739"/>
    </row>
    <row r="87" spans="1:29" s="1058" customFormat="1" ht="27.75" thickTop="1">
      <c r="A87" s="486"/>
      <c r="B87" s="615" t="s">
        <v>725</v>
      </c>
      <c r="C87" s="630"/>
      <c r="D87" s="630"/>
      <c r="E87" s="630"/>
      <c r="F87" s="630"/>
      <c r="G87" s="630"/>
      <c r="H87" s="630"/>
      <c r="I87" s="630"/>
      <c r="J87" s="630"/>
      <c r="K87" s="630"/>
      <c r="L87" s="814"/>
      <c r="M87" s="815"/>
      <c r="N87" s="1763"/>
      <c r="O87" s="1763"/>
      <c r="P87" s="1807"/>
      <c r="Q87" s="1760"/>
      <c r="R87" s="1637"/>
      <c r="S87" s="1637"/>
      <c r="T87" s="1637"/>
      <c r="U87" s="1637"/>
      <c r="V87" s="1637"/>
      <c r="W87" s="1637"/>
      <c r="X87" s="1637"/>
      <c r="Y87" s="1637"/>
      <c r="Z87" s="1637"/>
      <c r="AA87" s="1637"/>
      <c r="AB87" s="1637"/>
      <c r="AC87" s="1637"/>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5"/>
      <c r="O88" s="1765"/>
      <c r="P88" s="1807"/>
      <c r="Q88" s="1760"/>
      <c r="R88" s="1637"/>
      <c r="S88" s="1637"/>
      <c r="T88" s="1637"/>
      <c r="U88" s="1637"/>
      <c r="V88" s="1637"/>
      <c r="W88" s="1637"/>
      <c r="X88" s="1637"/>
      <c r="Y88" s="1637"/>
      <c r="Z88" s="1637"/>
      <c r="AA88" s="1637"/>
      <c r="AB88" s="1637"/>
      <c r="AC88" s="1637"/>
    </row>
    <row r="89" spans="1:29" s="1058" customFormat="1" ht="15.75" thickTop="1">
      <c r="A89" s="486"/>
      <c r="B89" s="615" t="str">
        <f>B27</f>
        <v>楼层</v>
      </c>
      <c r="C89" s="630"/>
      <c r="D89" s="630"/>
      <c r="E89" s="630"/>
      <c r="F89" s="816"/>
      <c r="G89" s="630"/>
      <c r="H89" s="630"/>
      <c r="I89" s="630"/>
      <c r="J89" s="630"/>
      <c r="K89" s="630"/>
      <c r="L89" s="630"/>
      <c r="M89" s="815"/>
      <c r="N89" s="1763"/>
      <c r="O89" s="1763"/>
      <c r="P89" s="1807"/>
      <c r="Q89" s="1760"/>
      <c r="R89" s="1637"/>
      <c r="S89" s="1637"/>
      <c r="T89" s="1637"/>
      <c r="U89" s="1637"/>
      <c r="V89" s="1637"/>
      <c r="W89" s="1637"/>
      <c r="X89" s="1637"/>
      <c r="Y89" s="1637"/>
      <c r="Z89" s="1637"/>
      <c r="AA89" s="1637"/>
      <c r="AB89" s="1637"/>
      <c r="AC89" s="1637"/>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5"/>
      <c r="O90" s="1765"/>
      <c r="P90" s="1807"/>
      <c r="Q90" s="1760"/>
      <c r="R90" s="1637"/>
      <c r="S90" s="1637"/>
      <c r="T90" s="1637"/>
      <c r="U90" s="1637"/>
      <c r="V90" s="1637"/>
      <c r="W90" s="1637"/>
      <c r="X90" s="1637"/>
      <c r="Y90" s="1637"/>
      <c r="Z90" s="1637"/>
      <c r="AA90" s="1637"/>
      <c r="AB90" s="1637"/>
      <c r="AC90" s="1637"/>
    </row>
    <row r="91" spans="1:29" s="1132" customFormat="1" ht="15.75" thickTop="1">
      <c r="A91" s="629"/>
      <c r="B91" s="615" t="str">
        <f>B28</f>
        <v>朝向</v>
      </c>
      <c r="C91" s="630"/>
      <c r="D91" s="630"/>
      <c r="E91" s="630"/>
      <c r="F91" s="630"/>
      <c r="G91" s="630"/>
      <c r="H91" s="631"/>
      <c r="I91" s="631"/>
      <c r="J91" s="631"/>
      <c r="K91" s="631"/>
      <c r="L91" s="632"/>
      <c r="M91" s="633"/>
      <c r="N91" s="1766"/>
      <c r="O91" s="1766"/>
      <c r="P91" s="1808"/>
      <c r="Q91" s="1767"/>
      <c r="R91" s="1768"/>
      <c r="S91" s="1768"/>
      <c r="T91" s="1768"/>
      <c r="U91" s="1768"/>
      <c r="V91" s="1768"/>
      <c r="W91" s="1768"/>
      <c r="X91" s="1768"/>
      <c r="Y91" s="1768"/>
      <c r="Z91" s="1768"/>
      <c r="AA91" s="1768"/>
      <c r="AB91" s="1768"/>
      <c r="AC91" s="1768"/>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6"/>
      <c r="O92" s="1766"/>
      <c r="P92" s="1808"/>
      <c r="Q92" s="1767"/>
      <c r="R92" s="1768"/>
      <c r="S92" s="1768"/>
      <c r="T92" s="1768"/>
      <c r="U92" s="1768"/>
      <c r="V92" s="1768"/>
      <c r="W92" s="1768"/>
      <c r="X92" s="1768"/>
      <c r="Y92" s="1768"/>
      <c r="Z92" s="1768"/>
      <c r="AA92" s="1768"/>
      <c r="AB92" s="1768"/>
      <c r="AC92" s="1768"/>
    </row>
    <row r="93" spans="1:29" ht="15.75" thickTop="1">
      <c r="A93" s="482"/>
      <c r="B93" s="615">
        <f>B29</f>
        <v>111</v>
      </c>
      <c r="C93" s="630"/>
      <c r="D93" s="630"/>
      <c r="E93" s="630"/>
      <c r="F93" s="630"/>
      <c r="G93" s="630"/>
      <c r="H93" s="630"/>
      <c r="I93" s="630"/>
      <c r="J93" s="630"/>
      <c r="K93" s="630"/>
      <c r="L93" s="814"/>
      <c r="M93" s="815"/>
      <c r="N93" s="1764"/>
      <c r="O93" s="1764"/>
      <c r="P93" s="1807"/>
      <c r="Q93" s="1760"/>
      <c r="R93" s="1739"/>
      <c r="S93" s="1739"/>
      <c r="T93" s="1739"/>
      <c r="U93" s="1739"/>
      <c r="V93" s="1739"/>
      <c r="W93" s="1739"/>
      <c r="X93" s="1739"/>
      <c r="Y93" s="1739"/>
      <c r="Z93" s="1739"/>
      <c r="AA93" s="1739"/>
      <c r="AB93" s="1739"/>
      <c r="AC93" s="1739"/>
    </row>
    <row r="94" spans="1:29" ht="15.75" thickBot="1">
      <c r="A94" s="482"/>
      <c r="B94" s="620"/>
      <c r="C94" s="634"/>
      <c r="D94" s="613"/>
      <c r="E94" s="613"/>
      <c r="F94" s="613"/>
      <c r="G94" s="613"/>
      <c r="H94" s="613"/>
      <c r="I94" s="613"/>
      <c r="J94" s="613"/>
      <c r="K94" s="613"/>
      <c r="L94" s="613"/>
      <c r="M94" s="614"/>
      <c r="N94" s="1765"/>
      <c r="O94" s="1765"/>
      <c r="P94" s="1807"/>
      <c r="Q94" s="1760"/>
      <c r="R94" s="1739"/>
      <c r="S94" s="1739"/>
      <c r="T94" s="1739"/>
      <c r="U94" s="1739"/>
      <c r="V94" s="1739"/>
      <c r="W94" s="1739"/>
      <c r="X94" s="1739"/>
      <c r="Y94" s="1739"/>
      <c r="Z94" s="1739"/>
      <c r="AA94" s="1739"/>
      <c r="AB94" s="1739"/>
      <c r="AC94" s="1739"/>
    </row>
    <row r="95" spans="1:29" ht="15.75" thickTop="1">
      <c r="A95" s="482"/>
      <c r="B95" s="615">
        <f>B30</f>
        <v>111</v>
      </c>
      <c r="C95" s="630"/>
      <c r="D95" s="630"/>
      <c r="E95" s="630"/>
      <c r="F95" s="630"/>
      <c r="G95" s="658"/>
      <c r="H95" s="658"/>
      <c r="I95" s="658"/>
      <c r="J95" s="658"/>
      <c r="K95" s="659"/>
      <c r="L95" s="660"/>
      <c r="M95" s="661"/>
      <c r="N95" s="1764"/>
      <c r="O95" s="1764"/>
      <c r="P95" s="1807"/>
      <c r="Q95" s="1760"/>
      <c r="R95" s="1739"/>
      <c r="S95" s="1739"/>
      <c r="T95" s="1739"/>
      <c r="U95" s="1739"/>
      <c r="V95" s="1739"/>
      <c r="W95" s="1739"/>
      <c r="X95" s="1739"/>
      <c r="Y95" s="1739"/>
      <c r="Z95" s="1739"/>
      <c r="AA95" s="1739"/>
      <c r="AB95" s="1739"/>
      <c r="AC95" s="1739"/>
    </row>
    <row r="96" spans="1:29" ht="15.75" thickBot="1">
      <c r="A96" s="482"/>
      <c r="B96" s="620"/>
      <c r="C96" s="634"/>
      <c r="D96" s="634"/>
      <c r="E96" s="634"/>
      <c r="F96" s="634"/>
      <c r="G96" s="613"/>
      <c r="H96" s="613"/>
      <c r="I96" s="613"/>
      <c r="J96" s="613"/>
      <c r="K96" s="613"/>
      <c r="L96" s="613"/>
      <c r="M96" s="614"/>
      <c r="N96" s="1765"/>
      <c r="O96" s="1765"/>
      <c r="P96" s="1807"/>
      <c r="Q96" s="1760"/>
      <c r="R96" s="1739"/>
      <c r="S96" s="1739"/>
      <c r="T96" s="1739"/>
      <c r="U96" s="1739"/>
      <c r="V96" s="1739"/>
      <c r="W96" s="1739"/>
      <c r="X96" s="1739"/>
      <c r="Y96" s="1739"/>
      <c r="Z96" s="1739"/>
      <c r="AA96" s="1739"/>
      <c r="AB96" s="1739"/>
      <c r="AC96" s="1739"/>
    </row>
    <row r="97" spans="1:29" ht="15.75" thickTop="1">
      <c r="A97" s="482"/>
      <c r="B97" s="615">
        <f>B31</f>
        <v>111</v>
      </c>
      <c r="C97" s="630"/>
      <c r="D97" s="630"/>
      <c r="E97" s="630"/>
      <c r="F97" s="630"/>
      <c r="G97" s="658"/>
      <c r="H97" s="658"/>
      <c r="I97" s="658"/>
      <c r="J97" s="658"/>
      <c r="K97" s="659"/>
      <c r="L97" s="660"/>
      <c r="M97" s="661"/>
      <c r="N97" s="1764"/>
      <c r="O97" s="1764"/>
      <c r="P97" s="1807"/>
      <c r="Q97" s="1760"/>
      <c r="R97" s="1739"/>
      <c r="S97" s="1739"/>
      <c r="T97" s="1739"/>
      <c r="U97" s="1739"/>
      <c r="V97" s="1739"/>
      <c r="W97" s="1739"/>
      <c r="X97" s="1739"/>
      <c r="Y97" s="1739"/>
      <c r="Z97" s="1739"/>
      <c r="AA97" s="1739"/>
      <c r="AB97" s="1739"/>
      <c r="AC97" s="1739"/>
    </row>
    <row r="98" spans="1:29" ht="15.75" thickBot="1">
      <c r="A98" s="482"/>
      <c r="B98" s="620"/>
      <c r="C98" s="634"/>
      <c r="D98" s="613"/>
      <c r="E98" s="613"/>
      <c r="F98" s="613"/>
      <c r="G98" s="613"/>
      <c r="H98" s="613"/>
      <c r="I98" s="613"/>
      <c r="J98" s="613"/>
      <c r="K98" s="613"/>
      <c r="L98" s="613"/>
      <c r="M98" s="614"/>
      <c r="N98" s="1765"/>
      <c r="O98" s="1765"/>
      <c r="P98" s="1807"/>
      <c r="Q98" s="1760"/>
      <c r="R98" s="1739"/>
      <c r="S98" s="1739"/>
      <c r="T98" s="1739"/>
      <c r="U98" s="1739"/>
      <c r="V98" s="1739"/>
      <c r="W98" s="1739"/>
      <c r="X98" s="1739"/>
      <c r="Y98" s="1739"/>
      <c r="Z98" s="1739"/>
      <c r="AA98" s="1739"/>
      <c r="AB98" s="1739"/>
      <c r="AC98" s="1739"/>
    </row>
    <row r="99" spans="1:29" ht="15.75" thickTop="1">
      <c r="A99" s="482"/>
      <c r="B99" s="623">
        <f>B32</f>
        <v>111</v>
      </c>
      <c r="C99" s="80"/>
      <c r="D99" s="80"/>
      <c r="E99" s="80"/>
      <c r="F99" s="80"/>
      <c r="G99" s="662"/>
      <c r="H99" s="662"/>
      <c r="I99" s="662"/>
      <c r="J99" s="662"/>
      <c r="K99" s="663"/>
      <c r="L99" s="664"/>
      <c r="M99" s="665"/>
      <c r="N99" s="1764"/>
      <c r="O99" s="1764"/>
      <c r="P99" s="1807"/>
      <c r="Q99" s="1760"/>
      <c r="R99" s="1739"/>
      <c r="S99" s="1739"/>
      <c r="T99" s="1739"/>
      <c r="U99" s="1739"/>
      <c r="V99" s="1739"/>
      <c r="W99" s="1739"/>
      <c r="X99" s="1739"/>
      <c r="Y99" s="1739"/>
      <c r="Z99" s="1739"/>
      <c r="AA99" s="1739"/>
      <c r="AB99" s="1739"/>
      <c r="AC99" s="1739"/>
    </row>
    <row r="100" spans="1:29" ht="15.75" thickBot="1">
      <c r="A100" s="493"/>
      <c r="B100" s="641"/>
      <c r="C100" s="642"/>
      <c r="D100" s="642"/>
      <c r="E100" s="642"/>
      <c r="F100" s="642"/>
      <c r="G100" s="666"/>
      <c r="H100" s="666"/>
      <c r="I100" s="666"/>
      <c r="J100" s="666"/>
      <c r="K100" s="666"/>
      <c r="L100" s="666"/>
      <c r="M100" s="667"/>
      <c r="N100" s="1765"/>
      <c r="O100" s="1765"/>
      <c r="P100" s="1807"/>
      <c r="Q100" s="1760"/>
      <c r="R100" s="1739"/>
      <c r="S100" s="1739"/>
      <c r="T100" s="1739"/>
      <c r="U100" s="1739"/>
      <c r="V100" s="1739"/>
      <c r="W100" s="1739"/>
      <c r="X100" s="1739"/>
      <c r="Y100" s="1739"/>
      <c r="Z100" s="1739"/>
      <c r="AA100" s="1739"/>
      <c r="AB100" s="1739"/>
      <c r="AC100" s="1739"/>
    </row>
    <row r="101" spans="1:29">
      <c r="A101" s="607" t="s">
        <v>500</v>
      </c>
      <c r="B101" s="608" t="s">
        <v>687</v>
      </c>
      <c r="C101" s="547"/>
      <c r="D101" s="547"/>
      <c r="E101" s="547"/>
      <c r="F101" s="547"/>
      <c r="G101" s="547"/>
      <c r="H101" s="547"/>
      <c r="I101" s="547"/>
      <c r="J101" s="547"/>
      <c r="K101" s="609"/>
      <c r="L101" s="610"/>
      <c r="M101" s="611"/>
      <c r="N101" s="1764"/>
      <c r="O101" s="1764"/>
      <c r="P101" s="1807"/>
      <c r="Q101" s="1760"/>
      <c r="R101" s="1739"/>
      <c r="S101" s="1739"/>
      <c r="T101" s="1739"/>
      <c r="U101" s="1739"/>
      <c r="V101" s="1739"/>
      <c r="W101" s="1739"/>
      <c r="X101" s="1739"/>
      <c r="Y101" s="1739"/>
      <c r="Z101" s="1739"/>
      <c r="AA101" s="1739"/>
      <c r="AB101" s="1739"/>
      <c r="AC101" s="1739"/>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5"/>
      <c r="O102" s="1765"/>
      <c r="P102" s="1807"/>
      <c r="Q102" s="1760"/>
      <c r="R102" s="1739"/>
      <c r="S102" s="1739"/>
      <c r="T102" s="1739"/>
      <c r="U102" s="1739"/>
      <c r="V102" s="1739"/>
      <c r="W102" s="1739"/>
      <c r="X102" s="1739"/>
      <c r="Y102" s="1739"/>
      <c r="Z102" s="1739"/>
      <c r="AA102" s="1739"/>
      <c r="AB102" s="1739"/>
      <c r="AC102" s="1739"/>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2" customFormat="1">
      <c r="A104" s="552"/>
      <c r="B104" s="668"/>
      <c r="C104" s="79"/>
      <c r="D104" s="79"/>
      <c r="E104" s="79"/>
      <c r="F104" s="79"/>
      <c r="G104" s="79"/>
      <c r="H104" s="79"/>
      <c r="I104" s="79"/>
      <c r="J104" s="669"/>
      <c r="K104" s="669"/>
      <c r="L104" s="670"/>
      <c r="M104" s="671"/>
      <c r="N104" s="1766"/>
      <c r="O104" s="1766"/>
      <c r="P104" s="1808"/>
      <c r="Q104" s="1767"/>
      <c r="R104" s="1768"/>
      <c r="S104" s="1768"/>
      <c r="T104" s="1768"/>
      <c r="U104" s="1768"/>
      <c r="V104" s="1768"/>
      <c r="W104" s="1768"/>
      <c r="X104" s="1768"/>
      <c r="Y104" s="1768"/>
      <c r="Z104" s="1768"/>
      <c r="AA104" s="1768"/>
      <c r="AB104" s="1768"/>
      <c r="AC104" s="1768"/>
    </row>
    <row r="105" spans="1:29" s="1132" customFormat="1" ht="15.75" thickBot="1">
      <c r="A105" s="629"/>
      <c r="B105" s="620"/>
      <c r="C105" s="634"/>
      <c r="D105" s="613"/>
      <c r="E105" s="613"/>
      <c r="F105" s="613"/>
      <c r="G105" s="613"/>
      <c r="H105" s="613"/>
      <c r="I105" s="613"/>
      <c r="J105" s="613"/>
      <c r="K105" s="613"/>
      <c r="L105" s="613"/>
      <c r="M105" s="614"/>
      <c r="N105" s="1765"/>
      <c r="O105" s="1765"/>
      <c r="P105" s="1808"/>
      <c r="Q105" s="1767"/>
      <c r="R105" s="1768"/>
      <c r="S105" s="1768"/>
      <c r="T105" s="1768"/>
      <c r="U105" s="1768"/>
      <c r="V105" s="1768"/>
      <c r="W105" s="1768"/>
      <c r="X105" s="1768"/>
      <c r="Y105" s="1768"/>
      <c r="Z105" s="1768"/>
      <c r="AA105" s="1768"/>
      <c r="AB105" s="1768"/>
      <c r="AC105" s="1768"/>
    </row>
    <row r="106" spans="1:29" ht="15" thickTop="1">
      <c r="A106" s="543"/>
      <c r="B106" s="615" t="s">
        <v>689</v>
      </c>
      <c r="C106" s="630"/>
      <c r="D106" s="630"/>
      <c r="E106" s="658"/>
      <c r="F106" s="658"/>
      <c r="G106" s="658"/>
      <c r="H106" s="658"/>
      <c r="I106" s="658"/>
      <c r="J106" s="658"/>
      <c r="K106" s="659"/>
      <c r="L106" s="660"/>
      <c r="M106" s="661"/>
      <c r="N106" s="1764"/>
      <c r="O106" s="1764"/>
      <c r="P106" s="1807"/>
      <c r="Q106" s="1760"/>
      <c r="R106" s="1739"/>
      <c r="S106" s="1739"/>
      <c r="T106" s="1739"/>
      <c r="U106" s="1739"/>
      <c r="V106" s="1739"/>
      <c r="W106" s="1739"/>
      <c r="X106" s="1739"/>
      <c r="Y106" s="1739"/>
      <c r="Z106" s="1739"/>
      <c r="AA106" s="1739"/>
      <c r="AB106" s="1739"/>
      <c r="AC106" s="1739"/>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3"/>
      <c r="B108" s="615" t="s">
        <v>691</v>
      </c>
      <c r="C108" s="630"/>
      <c r="D108" s="630"/>
      <c r="E108" s="630"/>
      <c r="F108" s="658"/>
      <c r="G108" s="658"/>
      <c r="H108" s="658"/>
      <c r="I108" s="658"/>
      <c r="J108" s="658"/>
      <c r="K108" s="659"/>
      <c r="L108" s="660"/>
      <c r="M108" s="661"/>
      <c r="N108" s="1764"/>
      <c r="O108" s="1764"/>
      <c r="P108" s="1807"/>
      <c r="Q108" s="1760"/>
      <c r="R108" s="1739"/>
      <c r="S108" s="1739"/>
      <c r="T108" s="1739"/>
      <c r="U108" s="1739"/>
      <c r="V108" s="1739"/>
      <c r="W108" s="1739"/>
      <c r="X108" s="1739"/>
      <c r="Y108" s="1739"/>
      <c r="Z108" s="1739"/>
      <c r="AA108" s="1739"/>
      <c r="AB108" s="1739"/>
      <c r="AC108" s="1739"/>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4"/>
      <c r="O110" s="1764"/>
      <c r="P110" s="1807"/>
      <c r="Q110" s="1760"/>
      <c r="R110" s="1739"/>
      <c r="S110" s="1739"/>
      <c r="T110" s="1739"/>
      <c r="U110" s="1739"/>
      <c r="V110" s="1739"/>
      <c r="W110" s="1739"/>
      <c r="X110" s="1739"/>
      <c r="Y110" s="1739"/>
      <c r="Z110" s="1739"/>
      <c r="AA110" s="1739"/>
      <c r="AB110" s="1739"/>
      <c r="AC110" s="1739"/>
    </row>
    <row r="111" spans="1:29">
      <c r="A111" s="543"/>
      <c r="B111" s="623"/>
      <c r="C111" s="817">
        <v>0.5</v>
      </c>
      <c r="D111" s="817">
        <v>0.6</v>
      </c>
      <c r="E111" s="817">
        <v>0.7</v>
      </c>
      <c r="F111" s="817">
        <v>0.8</v>
      </c>
      <c r="G111" s="817">
        <v>0.9</v>
      </c>
      <c r="H111" s="817">
        <v>1.0001</v>
      </c>
      <c r="I111" s="827"/>
      <c r="J111" s="827"/>
      <c r="K111" s="828"/>
      <c r="L111" s="829"/>
      <c r="M111" s="830"/>
      <c r="N111" s="1764"/>
      <c r="O111" s="1764"/>
      <c r="P111" s="1807"/>
      <c r="Q111" s="1760"/>
      <c r="R111" s="1739"/>
      <c r="S111" s="1739"/>
      <c r="T111" s="1739"/>
      <c r="U111" s="1739"/>
      <c r="V111" s="1739"/>
      <c r="W111" s="1739"/>
      <c r="X111" s="1739"/>
      <c r="Y111" s="1739"/>
      <c r="Z111" s="1739"/>
      <c r="AA111" s="1739"/>
      <c r="AB111" s="1739"/>
      <c r="AC111" s="1739"/>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5"/>
      <c r="O112" s="1765"/>
      <c r="P112" s="1807"/>
      <c r="Q112" s="1760"/>
      <c r="R112" s="1739"/>
      <c r="S112" s="1739"/>
      <c r="T112" s="1739"/>
      <c r="U112" s="1739"/>
      <c r="V112" s="1739"/>
      <c r="W112" s="1739"/>
      <c r="X112" s="1739"/>
      <c r="Y112" s="1739"/>
      <c r="Z112" s="1739"/>
      <c r="AA112" s="1739"/>
      <c r="AB112" s="1739"/>
      <c r="AC112" s="1739"/>
    </row>
    <row r="113" spans="1:29" s="1132" customFormat="1" ht="15" thickTop="1">
      <c r="A113" s="552"/>
      <c r="B113" s="615" t="s">
        <v>726</v>
      </c>
      <c r="C113" s="630"/>
      <c r="D113" s="630"/>
      <c r="E113" s="630"/>
      <c r="F113" s="630"/>
      <c r="G113" s="630"/>
      <c r="H113" s="658"/>
      <c r="I113" s="658"/>
      <c r="J113" s="658"/>
      <c r="K113" s="659"/>
      <c r="L113" s="660"/>
      <c r="M113" s="661"/>
      <c r="N113" s="1766"/>
      <c r="O113" s="1766"/>
      <c r="P113" s="1808"/>
      <c r="Q113" s="1767"/>
      <c r="R113" s="1768"/>
      <c r="S113" s="1768"/>
      <c r="T113" s="1768"/>
      <c r="U113" s="1768"/>
      <c r="V113" s="1768"/>
      <c r="W113" s="1768"/>
      <c r="X113" s="1768"/>
      <c r="Y113" s="1768"/>
      <c r="Z113" s="1768"/>
      <c r="AA113" s="1768"/>
      <c r="AB113" s="1768"/>
      <c r="AC113" s="1768"/>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3"/>
      <c r="B115" s="615" t="s">
        <v>693</v>
      </c>
      <c r="C115" s="630"/>
      <c r="D115" s="630"/>
      <c r="E115" s="658"/>
      <c r="F115" s="658"/>
      <c r="G115" s="658"/>
      <c r="H115" s="658"/>
      <c r="I115" s="658"/>
      <c r="J115" s="658"/>
      <c r="K115" s="659"/>
      <c r="L115" s="660"/>
      <c r="M115" s="661"/>
      <c r="N115" s="1764"/>
      <c r="O115" s="1764"/>
      <c r="P115" s="1807"/>
      <c r="Q115" s="1760"/>
      <c r="R115" s="1739"/>
      <c r="S115" s="1739"/>
      <c r="T115" s="1739"/>
      <c r="U115" s="1739"/>
      <c r="V115" s="1739"/>
      <c r="W115" s="1739"/>
      <c r="X115" s="1739"/>
      <c r="Y115" s="1739"/>
      <c r="Z115" s="1739"/>
      <c r="AA115" s="1739"/>
      <c r="AB115" s="1739"/>
      <c r="AC115" s="1739"/>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3"/>
      <c r="B117" s="1552" t="s">
        <v>1834</v>
      </c>
      <c r="C117" s="630"/>
      <c r="D117" s="630"/>
      <c r="E117" s="630"/>
      <c r="F117" s="630"/>
      <c r="G117" s="630"/>
      <c r="H117" s="658"/>
      <c r="I117" s="658"/>
      <c r="J117" s="658"/>
      <c r="K117" s="659"/>
      <c r="L117" s="660"/>
      <c r="M117" s="661"/>
      <c r="N117" s="1764"/>
      <c r="O117" s="1764"/>
      <c r="P117" s="1807"/>
      <c r="Q117" s="1760"/>
      <c r="R117" s="1739"/>
      <c r="S117" s="1739"/>
      <c r="T117" s="1739"/>
      <c r="U117" s="1739"/>
      <c r="V117" s="1739"/>
      <c r="W117" s="1739"/>
      <c r="X117" s="1739"/>
      <c r="Y117" s="1739"/>
      <c r="Z117" s="1739"/>
      <c r="AA117" s="1739"/>
      <c r="AB117" s="1739"/>
      <c r="AC117" s="1739"/>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5"/>
      <c r="O118" s="1765"/>
      <c r="P118" s="1807"/>
      <c r="Q118" s="1760"/>
      <c r="R118" s="1739"/>
      <c r="S118" s="1739"/>
      <c r="T118" s="1739"/>
      <c r="U118" s="1739"/>
      <c r="V118" s="1739"/>
      <c r="W118" s="1739"/>
      <c r="X118" s="1739"/>
      <c r="Y118" s="1739"/>
      <c r="Z118" s="1739"/>
      <c r="AA118" s="1739"/>
      <c r="AB118" s="1739"/>
      <c r="AC118" s="1739"/>
    </row>
    <row r="119" spans="1:29" ht="15" thickTop="1">
      <c r="A119" s="543"/>
      <c r="B119" s="838" t="s">
        <v>727</v>
      </c>
      <c r="C119" s="658"/>
      <c r="D119" s="658"/>
      <c r="E119" s="658"/>
      <c r="F119" s="658"/>
      <c r="G119" s="658"/>
      <c r="H119" s="658"/>
      <c r="I119" s="658"/>
      <c r="J119" s="658"/>
      <c r="K119" s="658"/>
      <c r="L119" s="839"/>
      <c r="M119" s="840"/>
      <c r="N119" s="1765"/>
      <c r="O119" s="1765"/>
      <c r="P119" s="1812"/>
      <c r="Q119" s="1800"/>
      <c r="R119" s="1739"/>
      <c r="S119" s="1739"/>
      <c r="T119" s="1739"/>
      <c r="U119" s="1739"/>
      <c r="V119" s="1739"/>
      <c r="W119" s="1739"/>
      <c r="X119" s="1739"/>
      <c r="Y119" s="1739"/>
      <c r="Z119" s="1739"/>
      <c r="AA119" s="1739"/>
      <c r="AB119" s="1739"/>
      <c r="AC119" s="1739"/>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5"/>
      <c r="O120" s="1765"/>
      <c r="P120" s="1807"/>
      <c r="Q120" s="1760"/>
      <c r="R120" s="1739"/>
      <c r="S120" s="1739"/>
      <c r="T120" s="1739"/>
      <c r="U120" s="1739"/>
      <c r="V120" s="1739"/>
      <c r="W120" s="1739"/>
      <c r="X120" s="1739"/>
      <c r="Y120" s="1739"/>
      <c r="Z120" s="1739"/>
      <c r="AA120" s="1739"/>
      <c r="AB120" s="1739"/>
      <c r="AC120" s="1739"/>
    </row>
    <row r="121" spans="1:29" s="1132" customFormat="1" ht="15" thickTop="1">
      <c r="A121" s="552"/>
      <c r="B121" s="615" t="s">
        <v>715</v>
      </c>
      <c r="C121" s="630"/>
      <c r="D121" s="630"/>
      <c r="E121" s="630"/>
      <c r="F121" s="658"/>
      <c r="G121" s="631"/>
      <c r="H121" s="631"/>
      <c r="I121" s="631"/>
      <c r="J121" s="631"/>
      <c r="K121" s="631"/>
      <c r="L121" s="632"/>
      <c r="M121" s="633"/>
      <c r="N121" s="1766"/>
      <c r="O121" s="1766"/>
      <c r="P121" s="1808"/>
      <c r="Q121" s="1767"/>
      <c r="R121" s="1768"/>
      <c r="S121" s="1768"/>
      <c r="T121" s="1768"/>
      <c r="U121" s="1768"/>
      <c r="V121" s="1768"/>
      <c r="W121" s="1768"/>
      <c r="X121" s="1768"/>
      <c r="Y121" s="1768"/>
      <c r="Z121" s="1768"/>
      <c r="AA121" s="1768"/>
      <c r="AB121" s="1768"/>
      <c r="AC121" s="1768"/>
    </row>
    <row r="122" spans="1:29" s="1132" customFormat="1" ht="15.75" thickBot="1">
      <c r="A122" s="629"/>
      <c r="B122" s="612"/>
      <c r="C122" s="634"/>
      <c r="D122" s="634"/>
      <c r="E122" s="634"/>
      <c r="F122" s="634"/>
      <c r="G122" s="634"/>
      <c r="H122" s="634"/>
      <c r="I122" s="634"/>
      <c r="J122" s="634"/>
      <c r="K122" s="634"/>
      <c r="L122" s="634"/>
      <c r="M122" s="634"/>
      <c r="N122" s="1766"/>
      <c r="O122" s="1766"/>
      <c r="P122" s="1808"/>
      <c r="Q122" s="1767"/>
      <c r="R122" s="1768"/>
      <c r="S122" s="1768"/>
      <c r="T122" s="1768"/>
      <c r="U122" s="1768"/>
      <c r="V122" s="1768"/>
      <c r="W122" s="1768"/>
      <c r="X122" s="1768"/>
      <c r="Y122" s="1768"/>
      <c r="Z122" s="1768"/>
      <c r="AA122" s="1768"/>
      <c r="AB122" s="1768"/>
      <c r="AC122" s="1768"/>
    </row>
    <row r="123" spans="1:29" ht="15" thickTop="1">
      <c r="A123" s="543"/>
      <c r="B123" s="615" t="s">
        <v>695</v>
      </c>
      <c r="C123" s="630"/>
      <c r="D123" s="630"/>
      <c r="E123" s="630"/>
      <c r="F123" s="658"/>
      <c r="G123" s="658"/>
      <c r="H123" s="658"/>
      <c r="I123" s="658"/>
      <c r="J123" s="658"/>
      <c r="K123" s="659"/>
      <c r="L123" s="660"/>
      <c r="M123" s="661"/>
      <c r="N123" s="1764"/>
      <c r="O123" s="1764"/>
      <c r="P123" s="1807"/>
      <c r="Q123" s="1760"/>
      <c r="R123" s="1739"/>
      <c r="S123" s="1739"/>
      <c r="T123" s="1739"/>
      <c r="U123" s="1739"/>
      <c r="V123" s="1739"/>
      <c r="W123" s="1739"/>
      <c r="X123" s="1739"/>
      <c r="Y123" s="1739"/>
      <c r="Z123" s="1739"/>
      <c r="AA123" s="1739"/>
      <c r="AB123" s="1739"/>
      <c r="AC123" s="1739"/>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5"/>
      <c r="O124" s="1765"/>
      <c r="P124" s="1807"/>
      <c r="Q124" s="1760"/>
      <c r="R124" s="1739"/>
      <c r="S124" s="1739"/>
      <c r="T124" s="1739"/>
      <c r="U124" s="1739"/>
      <c r="V124" s="1739"/>
      <c r="W124" s="1739"/>
      <c r="X124" s="1739"/>
      <c r="Y124" s="1739"/>
      <c r="Z124" s="1739"/>
      <c r="AA124" s="1739"/>
      <c r="AB124" s="1739"/>
      <c r="AC124" s="1739"/>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4"/>
      <c r="O125" s="1764"/>
      <c r="P125" s="1808"/>
      <c r="Q125" s="1760"/>
      <c r="R125" s="1739"/>
      <c r="S125" s="1739"/>
      <c r="T125" s="1739"/>
      <c r="U125" s="1739"/>
      <c r="V125" s="1739"/>
      <c r="W125" s="1739"/>
      <c r="X125" s="1739"/>
      <c r="Y125" s="1739"/>
      <c r="Z125" s="1739"/>
      <c r="AA125" s="1739"/>
      <c r="AB125" s="1739"/>
      <c r="AC125" s="1739"/>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5"/>
      <c r="O126" s="1765"/>
      <c r="P126" s="1807"/>
      <c r="Q126" s="1760"/>
      <c r="R126" s="1739"/>
      <c r="S126" s="1739"/>
      <c r="T126" s="1739"/>
      <c r="U126" s="1739"/>
      <c r="V126" s="1739"/>
      <c r="W126" s="1739"/>
      <c r="X126" s="1739"/>
      <c r="Y126" s="1739"/>
      <c r="Z126" s="1739"/>
      <c r="AA126" s="1739"/>
      <c r="AB126" s="1739"/>
      <c r="AC126" s="1739"/>
    </row>
    <row r="127" spans="1:29" s="1132" customFormat="1" ht="15" thickTop="1">
      <c r="A127" s="552"/>
      <c r="B127" s="615">
        <f>B45</f>
        <v>111</v>
      </c>
      <c r="C127" s="630"/>
      <c r="D127" s="630"/>
      <c r="E127" s="630"/>
      <c r="F127" s="630"/>
      <c r="G127" s="630"/>
      <c r="H127" s="631"/>
      <c r="I127" s="631"/>
      <c r="J127" s="631"/>
      <c r="K127" s="631"/>
      <c r="L127" s="632"/>
      <c r="M127" s="633"/>
      <c r="N127" s="1766"/>
      <c r="O127" s="1766"/>
      <c r="P127" s="1808"/>
      <c r="Q127" s="1767"/>
      <c r="R127" s="1768"/>
      <c r="S127" s="1768"/>
      <c r="T127" s="1768"/>
      <c r="U127" s="1768"/>
      <c r="V127" s="1768"/>
      <c r="W127" s="1768"/>
      <c r="X127" s="1768"/>
      <c r="Y127" s="1768"/>
      <c r="Z127" s="1768"/>
      <c r="AA127" s="1768"/>
      <c r="AB127" s="1768"/>
      <c r="AC127" s="1768"/>
    </row>
    <row r="128" spans="1:29" s="1132" customFormat="1" ht="15.75" thickBot="1">
      <c r="A128" s="629"/>
      <c r="B128" s="620"/>
      <c r="C128" s="634"/>
      <c r="D128" s="613"/>
      <c r="E128" s="613"/>
      <c r="F128" s="613"/>
      <c r="G128" s="634"/>
      <c r="H128" s="635"/>
      <c r="I128" s="635"/>
      <c r="J128" s="635"/>
      <c r="K128" s="635"/>
      <c r="L128" s="635"/>
      <c r="M128" s="636"/>
      <c r="N128" s="1766"/>
      <c r="O128" s="1766"/>
      <c r="P128" s="1808"/>
      <c r="Q128" s="1767"/>
      <c r="R128" s="1768"/>
      <c r="S128" s="1768"/>
      <c r="T128" s="1768"/>
      <c r="U128" s="1768"/>
      <c r="V128" s="1768"/>
      <c r="W128" s="1768"/>
      <c r="X128" s="1768"/>
      <c r="Y128" s="1768"/>
      <c r="Z128" s="1768"/>
      <c r="AA128" s="1768"/>
      <c r="AB128" s="1768"/>
      <c r="AC128" s="1768"/>
    </row>
    <row r="129" spans="1:29" ht="15" thickTop="1">
      <c r="A129" s="543"/>
      <c r="B129" s="615">
        <f>B46</f>
        <v>111</v>
      </c>
      <c r="C129" s="630"/>
      <c r="D129" s="630"/>
      <c r="E129" s="630"/>
      <c r="F129" s="630"/>
      <c r="G129" s="658"/>
      <c r="H129" s="658"/>
      <c r="I129" s="658"/>
      <c r="J129" s="658"/>
      <c r="K129" s="659"/>
      <c r="L129" s="660"/>
      <c r="M129" s="661"/>
      <c r="N129" s="1764"/>
      <c r="O129" s="1764"/>
      <c r="P129" s="1807"/>
      <c r="Q129" s="1760"/>
      <c r="R129" s="1739"/>
      <c r="S129" s="1739"/>
      <c r="T129" s="1739"/>
      <c r="U129" s="1739"/>
      <c r="V129" s="1739"/>
      <c r="W129" s="1739"/>
      <c r="X129" s="1739"/>
      <c r="Y129" s="1739"/>
      <c r="Z129" s="1739"/>
      <c r="AA129" s="1739"/>
      <c r="AB129" s="1739"/>
      <c r="AC129" s="1739"/>
    </row>
    <row r="130" spans="1:29" ht="15.75" thickBot="1">
      <c r="A130" s="482"/>
      <c r="B130" s="620"/>
      <c r="C130" s="634"/>
      <c r="D130" s="634"/>
      <c r="E130" s="634"/>
      <c r="F130" s="634"/>
      <c r="G130" s="613"/>
      <c r="H130" s="613"/>
      <c r="I130" s="613"/>
      <c r="J130" s="613"/>
      <c r="K130" s="613"/>
      <c r="L130" s="613"/>
      <c r="M130" s="614"/>
      <c r="N130" s="1765"/>
      <c r="O130" s="1765"/>
      <c r="P130" s="1807"/>
      <c r="Q130" s="1760"/>
      <c r="R130" s="1739"/>
      <c r="S130" s="1739"/>
      <c r="T130" s="1739"/>
      <c r="U130" s="1739"/>
      <c r="V130" s="1739"/>
      <c r="W130" s="1739"/>
      <c r="X130" s="1739"/>
      <c r="Y130" s="1739"/>
      <c r="Z130" s="1739"/>
      <c r="AA130" s="1739"/>
      <c r="AB130" s="1739"/>
      <c r="AC130" s="1739"/>
    </row>
    <row r="131" spans="1:29" ht="15" thickTop="1">
      <c r="A131" s="543"/>
      <c r="B131" s="623">
        <f>B47</f>
        <v>111</v>
      </c>
      <c r="C131" s="80"/>
      <c r="D131" s="80"/>
      <c r="E131" s="80"/>
      <c r="F131" s="80"/>
      <c r="G131" s="662"/>
      <c r="H131" s="662"/>
      <c r="I131" s="662"/>
      <c r="J131" s="662"/>
      <c r="K131" s="80"/>
      <c r="L131" s="605"/>
      <c r="M131" s="665"/>
      <c r="N131" s="1764"/>
      <c r="O131" s="1764"/>
      <c r="P131" s="1807"/>
      <c r="Q131" s="1760"/>
      <c r="R131" s="1739"/>
      <c r="S131" s="1739"/>
      <c r="T131" s="1739"/>
      <c r="U131" s="1739"/>
      <c r="V131" s="1739"/>
      <c r="W131" s="1739"/>
      <c r="X131" s="1739"/>
      <c r="Y131" s="1739"/>
      <c r="Z131" s="1739"/>
      <c r="AA131" s="1739"/>
      <c r="AB131" s="1739"/>
      <c r="AC131" s="1739"/>
    </row>
    <row r="132" spans="1:29" ht="15.75" thickBot="1">
      <c r="A132" s="493"/>
      <c r="B132" s="641"/>
      <c r="C132" s="642"/>
      <c r="D132" s="642"/>
      <c r="E132" s="642"/>
      <c r="F132" s="642"/>
      <c r="G132" s="666"/>
      <c r="H132" s="666"/>
      <c r="I132" s="666"/>
      <c r="J132" s="666"/>
      <c r="K132" s="666"/>
      <c r="L132" s="666"/>
      <c r="M132" s="667"/>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454" t="s">
        <v>728</v>
      </c>
      <c r="C1" s="455" t="s">
        <v>667</v>
      </c>
      <c r="D1" s="783"/>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C43</f>
        <v>#DIV/0!</v>
      </c>
      <c r="C3" s="786" t="s">
        <v>669</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3" t="s">
        <v>470</v>
      </c>
      <c r="B4" s="464"/>
      <c r="C4" s="3708" t="s">
        <v>471</v>
      </c>
      <c r="D4" s="3709"/>
      <c r="E4" s="3734" t="s">
        <v>472</v>
      </c>
      <c r="F4" s="3735"/>
      <c r="G4" s="3708" t="s">
        <v>473</v>
      </c>
      <c r="H4" s="3709"/>
      <c r="I4" s="3708" t="s">
        <v>474</v>
      </c>
      <c r="J4" s="3709"/>
      <c r="K4" s="465" t="s">
        <v>475</v>
      </c>
      <c r="L4" s="1738"/>
      <c r="M4" s="1739"/>
      <c r="N4" s="1739"/>
      <c r="O4" s="1739"/>
      <c r="P4" s="3710" t="s">
        <v>476</v>
      </c>
      <c r="Q4" s="3711"/>
      <c r="R4" s="3694" t="s">
        <v>472</v>
      </c>
      <c r="S4" s="3695"/>
      <c r="T4" s="3694" t="s">
        <v>473</v>
      </c>
      <c r="U4" s="3695"/>
      <c r="V4" s="3716" t="s">
        <v>474</v>
      </c>
      <c r="W4" s="3716"/>
      <c r="X4" s="1300"/>
      <c r="Y4" s="3694" t="s">
        <v>476</v>
      </c>
      <c r="Z4" s="3695"/>
      <c r="AA4" s="3689" t="s">
        <v>472</v>
      </c>
      <c r="AB4" s="3690" t="s">
        <v>473</v>
      </c>
      <c r="AC4" s="3689" t="s">
        <v>474</v>
      </c>
    </row>
    <row r="5" spans="1:29" ht="15">
      <c r="A5" s="466"/>
      <c r="B5" s="467"/>
      <c r="C5" s="3719" t="s">
        <v>2174</v>
      </c>
      <c r="D5" s="3720"/>
      <c r="E5" s="3736" t="s">
        <v>2175</v>
      </c>
      <c r="F5" s="3737"/>
      <c r="G5" s="3719" t="s">
        <v>2176</v>
      </c>
      <c r="H5" s="3720"/>
      <c r="I5" s="3719" t="s">
        <v>2177</v>
      </c>
      <c r="J5" s="3720"/>
      <c r="K5" s="465"/>
      <c r="L5" s="1738"/>
      <c r="M5" s="1739"/>
      <c r="N5" s="1739"/>
      <c r="O5" s="1739"/>
      <c r="P5" s="3712"/>
      <c r="Q5" s="3713"/>
      <c r="R5" s="3696"/>
      <c r="S5" s="3697"/>
      <c r="T5" s="3696"/>
      <c r="U5" s="3697"/>
      <c r="V5" s="3716"/>
      <c r="W5" s="3716"/>
      <c r="X5" s="1300"/>
      <c r="Y5" s="3696"/>
      <c r="Z5" s="3697"/>
      <c r="AA5" s="3690"/>
      <c r="AB5" s="3690"/>
      <c r="AC5" s="3690"/>
    </row>
    <row r="6" spans="1:29" ht="15.75" thickBot="1">
      <c r="A6" s="468"/>
      <c r="B6" s="469"/>
      <c r="C6" s="3717" t="s">
        <v>2178</v>
      </c>
      <c r="D6" s="3718"/>
      <c r="E6" s="3738" t="s">
        <v>2178</v>
      </c>
      <c r="F6" s="3739"/>
      <c r="G6" s="3717" t="s">
        <v>2178</v>
      </c>
      <c r="H6" s="3718"/>
      <c r="I6" s="3717" t="s">
        <v>2178</v>
      </c>
      <c r="J6" s="3718"/>
      <c r="K6" s="465" t="s">
        <v>477</v>
      </c>
      <c r="L6" s="1738"/>
      <c r="M6" s="1739"/>
      <c r="N6" s="1739"/>
      <c r="O6" s="1739"/>
      <c r="P6" s="3714"/>
      <c r="Q6" s="3715"/>
      <c r="R6" s="3696"/>
      <c r="S6" s="3697"/>
      <c r="T6" s="3698"/>
      <c r="U6" s="3699"/>
      <c r="V6" s="3716"/>
      <c r="W6" s="3716"/>
      <c r="X6" s="1300"/>
      <c r="Y6" s="3698"/>
      <c r="Z6" s="3699"/>
      <c r="AA6" s="3691"/>
      <c r="AB6" s="3691"/>
      <c r="AC6" s="3691"/>
    </row>
    <row r="7" spans="1:29" s="1058" customFormat="1" ht="15.75" thickBot="1">
      <c r="A7" s="2206"/>
      <c r="B7" s="2213" t="s">
        <v>478</v>
      </c>
      <c r="C7" s="470">
        <f>'数据-取费表'!B2</f>
        <v>45789</v>
      </c>
      <c r="D7" s="471">
        <v>100</v>
      </c>
      <c r="E7" s="472"/>
      <c r="F7" s="473">
        <f>SUMIF(52:52,YEAR(E7)&amp;"-"&amp;MONTH(E7),53:53)</f>
        <v>0</v>
      </c>
      <c r="G7" s="472"/>
      <c r="H7" s="471">
        <f>SUMIF(52:52,YEAR(G7)&amp;"-"&amp;MONTH(G7),53:53)</f>
        <v>0</v>
      </c>
      <c r="I7" s="472"/>
      <c r="J7" s="471">
        <f>SUMIF(52:52,YEAR(I7)&amp;"-"&amp;MONTH(I7),53:53)</f>
        <v>0</v>
      </c>
      <c r="K7" s="88"/>
      <c r="L7" s="1740"/>
      <c r="M7" s="1637"/>
      <c r="N7" s="1637"/>
      <c r="O7" s="1637"/>
      <c r="P7" s="3692" t="s">
        <v>479</v>
      </c>
      <c r="Q7" s="3701"/>
      <c r="R7" s="1301" t="s">
        <v>5</v>
      </c>
      <c r="S7" s="1302">
        <f t="shared" ref="S7:S15" si="0">F7</f>
        <v>0</v>
      </c>
      <c r="T7" s="1301" t="s">
        <v>5</v>
      </c>
      <c r="U7" s="1302">
        <f t="shared" ref="U7:U15" si="1">H7</f>
        <v>0</v>
      </c>
      <c r="V7" s="1301" t="s">
        <v>5</v>
      </c>
      <c r="W7" s="1302">
        <f t="shared" ref="W7:W15" si="2">J7</f>
        <v>0</v>
      </c>
      <c r="X7" s="1303"/>
      <c r="Y7" s="3692" t="s">
        <v>479</v>
      </c>
      <c r="Z7" s="3693"/>
      <c r="AA7" s="995" t="e">
        <f>D7/F7</f>
        <v>#DIV/0!</v>
      </c>
      <c r="AB7" s="995" t="e">
        <f>D7/H7</f>
        <v>#DIV/0!</v>
      </c>
      <c r="AC7" s="995" t="e">
        <f>D7/J7</f>
        <v>#DIV/0!</v>
      </c>
    </row>
    <row r="8" spans="1:29" s="1058" customFormat="1" ht="15.75" thickBot="1">
      <c r="A8" s="2207"/>
      <c r="B8" s="2214" t="s">
        <v>480</v>
      </c>
      <c r="C8" s="475" t="s">
        <v>524</v>
      </c>
      <c r="D8" s="471">
        <v>100</v>
      </c>
      <c r="E8" s="475"/>
      <c r="F8" s="473">
        <f>SUMIF(55:55,E8,56:56)-SUMIF(55:55,C8,56:56)+100</f>
        <v>0</v>
      </c>
      <c r="G8" s="475"/>
      <c r="H8" s="471">
        <f>SUMIF(55:55,G8,56:56)-SUMIF(55:55,C8,56:56)+100</f>
        <v>0</v>
      </c>
      <c r="I8" s="475"/>
      <c r="J8" s="471">
        <f>SUMIF(55:55,I8,56:56)-SUMIF(55:55,C8,56:56)+100</f>
        <v>0</v>
      </c>
      <c r="K8" s="88"/>
      <c r="L8" s="1740"/>
      <c r="M8" s="1637"/>
      <c r="N8" s="1637"/>
      <c r="O8" s="1637"/>
      <c r="P8" s="3692" t="s">
        <v>482</v>
      </c>
      <c r="Q8" s="3693"/>
      <c r="R8" s="1301" t="s">
        <v>5</v>
      </c>
      <c r="S8" s="1302">
        <f t="shared" si="0"/>
        <v>0</v>
      </c>
      <c r="T8" s="1301" t="s">
        <v>5</v>
      </c>
      <c r="U8" s="1302">
        <f t="shared" si="1"/>
        <v>0</v>
      </c>
      <c r="V8" s="1301" t="s">
        <v>5</v>
      </c>
      <c r="W8" s="1302">
        <f t="shared" si="2"/>
        <v>0</v>
      </c>
      <c r="X8" s="1303"/>
      <c r="Y8" s="3692" t="s">
        <v>482</v>
      </c>
      <c r="Z8" s="3693"/>
      <c r="AA8" s="995" t="e">
        <f t="shared" ref="AA8:AA40" si="3">D8/F8</f>
        <v>#DIV/0!</v>
      </c>
      <c r="AB8" s="995" t="e">
        <f t="shared" ref="AB8:AB40" si="4">D8/H8</f>
        <v>#DIV/0!</v>
      </c>
      <c r="AC8" s="995" t="e">
        <f t="shared" ref="AC8:AC40" si="5">D8/J8</f>
        <v>#DIV/0!</v>
      </c>
    </row>
    <row r="9" spans="1:29" s="1058" customFormat="1" ht="15">
      <c r="A9" s="2208"/>
      <c r="B9" s="2215" t="s">
        <v>2033</v>
      </c>
      <c r="C9" s="791"/>
      <c r="D9" s="154">
        <v>100</v>
      </c>
      <c r="E9" s="793"/>
      <c r="F9" s="154">
        <f>SUMIF(57:57,E9,58:58)-SUMIF(57:57,C9,58:58)+100</f>
        <v>100</v>
      </c>
      <c r="G9" s="792"/>
      <c r="H9" s="154">
        <f>SUMIF(57:57,G9,58:58)-SUMIF(57:57,C9,58:58)+100</f>
        <v>100</v>
      </c>
      <c r="I9" s="792"/>
      <c r="J9" s="154">
        <f>SUMIF(57:57,I9,58:58)-SUMIF(57:57,C9,58:58)+100</f>
        <v>100</v>
      </c>
      <c r="K9" s="88"/>
      <c r="L9" s="1740"/>
      <c r="M9" s="1637"/>
      <c r="N9" s="1637"/>
      <c r="O9" s="1741"/>
      <c r="P9" s="3700" t="s">
        <v>484</v>
      </c>
      <c r="Q9" s="817" t="str">
        <f t="shared" ref="Q9:Q15" si="6">B9</f>
        <v>用途</v>
      </c>
      <c r="R9" s="1301" t="s">
        <v>5</v>
      </c>
      <c r="S9" s="1302">
        <f t="shared" si="0"/>
        <v>100</v>
      </c>
      <c r="T9" s="1301" t="s">
        <v>5</v>
      </c>
      <c r="U9" s="1302">
        <f t="shared" si="1"/>
        <v>100</v>
      </c>
      <c r="V9" s="1301" t="s">
        <v>5</v>
      </c>
      <c r="W9" s="1302">
        <f t="shared" si="2"/>
        <v>100</v>
      </c>
      <c r="X9" s="1303"/>
      <c r="Y9" s="3652" t="s">
        <v>485</v>
      </c>
      <c r="Z9" s="995" t="str">
        <f t="shared" ref="Z9:Z15" si="7">Q9</f>
        <v>用途</v>
      </c>
      <c r="AA9" s="995">
        <f t="shared" si="3"/>
        <v>1</v>
      </c>
      <c r="AB9" s="995">
        <f t="shared" si="4"/>
        <v>1</v>
      </c>
      <c r="AC9" s="995">
        <f t="shared" si="5"/>
        <v>1</v>
      </c>
    </row>
    <row r="10" spans="1:29" s="1131" customFormat="1" ht="27">
      <c r="A10" s="2209"/>
      <c r="B10" s="2214" t="s">
        <v>2034</v>
      </c>
      <c r="C10" s="3382"/>
      <c r="D10" s="235">
        <v>100</v>
      </c>
      <c r="E10" s="3382"/>
      <c r="F10" s="235">
        <f>SUMIF(59:59,E10,60:60)-SUMIF(59:59,C10,60:60)+100</f>
        <v>100</v>
      </c>
      <c r="G10" s="3383"/>
      <c r="H10" s="235">
        <f>SUMIF(59:59,G10,60:60)-SUMIF(59:59,C10,60:60)+100</f>
        <v>100</v>
      </c>
      <c r="I10" s="3382"/>
      <c r="J10" s="235">
        <f>SUMIF(59:59,I10,60:60)-SUMIF(59:59,C10,60:60)+100</f>
        <v>100</v>
      </c>
      <c r="K10" s="88"/>
      <c r="L10" s="1742"/>
      <c r="M10" s="1775"/>
      <c r="N10" s="1775"/>
      <c r="O10" s="1743"/>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4"/>
      <c r="M11" s="1739"/>
      <c r="N11" s="1739"/>
      <c r="O11" s="1745"/>
      <c r="P11" s="3700"/>
      <c r="Q11" s="817" t="str">
        <f t="shared" si="6"/>
        <v>容积率</v>
      </c>
      <c r="R11" s="1301" t="s">
        <v>5</v>
      </c>
      <c r="S11" s="1302" t="e">
        <f t="shared" si="0"/>
        <v>#N/A</v>
      </c>
      <c r="T11" s="1301" t="s">
        <v>5</v>
      </c>
      <c r="U11" s="1302" t="e">
        <f t="shared" si="1"/>
        <v>#N/A</v>
      </c>
      <c r="V11" s="1301" t="s">
        <v>5</v>
      </c>
      <c r="W11" s="1302" t="e">
        <f t="shared" si="2"/>
        <v>#N/A</v>
      </c>
      <c r="X11" s="1303"/>
      <c r="Y11" s="3652"/>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SUMIF(64:64,E12,65:65)-SUMIF(64:64,C12,65:65)+100</f>
        <v>100</v>
      </c>
      <c r="G12" s="841"/>
      <c r="H12" s="235">
        <f>SUMIF(64:64,G12,65:65)-SUMIF(64:64,C12,65:65)+100</f>
        <v>100</v>
      </c>
      <c r="I12" s="805"/>
      <c r="J12" s="235">
        <f>SUMIF(64:64,I12,65:65)-SUMIF(64:64,C12,65:65)+100</f>
        <v>100</v>
      </c>
      <c r="K12" s="531"/>
      <c r="L12" s="1740"/>
      <c r="M12" s="1637"/>
      <c r="N12" s="1637"/>
      <c r="O12" s="1741"/>
      <c r="P12" s="3700"/>
      <c r="Q12" s="817">
        <f t="shared" si="6"/>
        <v>111</v>
      </c>
      <c r="R12" s="1301" t="s">
        <v>5</v>
      </c>
      <c r="S12" s="1302">
        <f t="shared" si="0"/>
        <v>100</v>
      </c>
      <c r="T12" s="1301" t="s">
        <v>5</v>
      </c>
      <c r="U12" s="1302">
        <f t="shared" si="1"/>
        <v>100</v>
      </c>
      <c r="V12" s="1301" t="s">
        <v>5</v>
      </c>
      <c r="W12" s="1302">
        <f t="shared" si="2"/>
        <v>100</v>
      </c>
      <c r="X12" s="1303"/>
      <c r="Y12" s="3652"/>
      <c r="Z12" s="995">
        <f t="shared" si="7"/>
        <v>111</v>
      </c>
      <c r="AA12" s="995">
        <f>D12/F12</f>
        <v>1</v>
      </c>
      <c r="AB12" s="995">
        <f>D12/H12</f>
        <v>1</v>
      </c>
      <c r="AC12" s="995">
        <f>D12/J12</f>
        <v>1</v>
      </c>
    </row>
    <row r="13" spans="1:29" ht="15">
      <c r="A13" s="2211"/>
      <c r="B13" s="2217">
        <v>111</v>
      </c>
      <c r="C13" s="489"/>
      <c r="D13" s="490">
        <v>100</v>
      </c>
      <c r="E13" s="489"/>
      <c r="F13" s="235">
        <f>SUMIF(66:66,E13,67:67)-SUMIF(66:66,C13,67:67)+100</f>
        <v>100</v>
      </c>
      <c r="G13" s="841"/>
      <c r="H13" s="490">
        <f>SUMIF(66:66,G13,67:67)-SUMIF(66:66,C13,67:67)+100</f>
        <v>100</v>
      </c>
      <c r="I13" s="805"/>
      <c r="J13" s="490">
        <f>SUMIF(66:66,I13,67:67)-SUMIF(66:66,C13,67:67)+100</f>
        <v>100</v>
      </c>
      <c r="K13" s="531"/>
      <c r="L13" s="1746"/>
      <c r="M13" s="1739"/>
      <c r="N13" s="1739"/>
      <c r="O13" s="1745"/>
      <c r="P13" s="3700"/>
      <c r="Q13" s="817">
        <f t="shared" si="6"/>
        <v>111</v>
      </c>
      <c r="R13" s="1301" t="s">
        <v>5</v>
      </c>
      <c r="S13" s="1302">
        <f t="shared" si="0"/>
        <v>100</v>
      </c>
      <c r="T13" s="1301" t="s">
        <v>5</v>
      </c>
      <c r="U13" s="1302">
        <f t="shared" si="1"/>
        <v>100</v>
      </c>
      <c r="V13" s="1301" t="s">
        <v>5</v>
      </c>
      <c r="W13" s="1302">
        <f t="shared" si="2"/>
        <v>100</v>
      </c>
      <c r="X13" s="1303"/>
      <c r="Y13" s="3652"/>
      <c r="Z13" s="995">
        <f t="shared" si="7"/>
        <v>111</v>
      </c>
      <c r="AA13" s="995">
        <f t="shared" si="3"/>
        <v>1</v>
      </c>
      <c r="AB13" s="995">
        <f t="shared" si="4"/>
        <v>1</v>
      </c>
      <c r="AC13" s="995">
        <f t="shared" si="5"/>
        <v>1</v>
      </c>
    </row>
    <row r="14" spans="1:29" ht="15.75" thickBot="1">
      <c r="A14" s="2212"/>
      <c r="B14" s="2218">
        <v>111</v>
      </c>
      <c r="C14" s="495"/>
      <c r="D14" s="496">
        <v>100</v>
      </c>
      <c r="E14" s="495"/>
      <c r="F14" s="496">
        <f>SUMIF(68:68,E14,69:69)-SUMIF(68:68,C14,69:69)+100</f>
        <v>100</v>
      </c>
      <c r="G14" s="841"/>
      <c r="H14" s="496">
        <f>SUMIF(68:68,G14,69:69)-SUMIF(68:68,C14,69:69)+100</f>
        <v>100</v>
      </c>
      <c r="I14" s="805"/>
      <c r="J14" s="496">
        <f>SUMIF(68:68,I14,69:69)-SUMIF(68:68,C14,69:69)+100</f>
        <v>100</v>
      </c>
      <c r="K14" s="531"/>
      <c r="L14" s="1746"/>
      <c r="M14" s="1739"/>
      <c r="N14" s="1739"/>
      <c r="O14" s="1745"/>
      <c r="P14" s="3700"/>
      <c r="Q14" s="817">
        <f t="shared" si="6"/>
        <v>111</v>
      </c>
      <c r="R14" s="1301" t="s">
        <v>5</v>
      </c>
      <c r="S14" s="1302">
        <f t="shared" si="0"/>
        <v>100</v>
      </c>
      <c r="T14" s="1301" t="s">
        <v>5</v>
      </c>
      <c r="U14" s="1302">
        <f t="shared" si="1"/>
        <v>100</v>
      </c>
      <c r="V14" s="1301" t="s">
        <v>5</v>
      </c>
      <c r="W14" s="1302">
        <f t="shared" si="2"/>
        <v>100</v>
      </c>
      <c r="X14" s="1303"/>
      <c r="Y14" s="3652"/>
      <c r="Z14" s="995">
        <f t="shared" si="7"/>
        <v>111</v>
      </c>
      <c r="AA14" s="995">
        <f t="shared" si="3"/>
        <v>1</v>
      </c>
      <c r="AB14" s="995">
        <f t="shared" si="4"/>
        <v>1</v>
      </c>
      <c r="AC14" s="995">
        <f t="shared" si="5"/>
        <v>1</v>
      </c>
    </row>
    <row r="15" spans="1:29" ht="15">
      <c r="A15" s="2204"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6"/>
      <c r="M15" s="1739"/>
      <c r="N15" s="1739"/>
      <c r="O15" s="1745"/>
      <c r="P15" s="3702" t="s">
        <v>489</v>
      </c>
      <c r="Q15" s="1304" t="str">
        <f t="shared" si="6"/>
        <v>产业集聚程度</v>
      </c>
      <c r="R15" s="1305" t="s">
        <v>5</v>
      </c>
      <c r="S15" s="1306">
        <f t="shared" si="0"/>
        <v>100</v>
      </c>
      <c r="T15" s="1305" t="s">
        <v>5</v>
      </c>
      <c r="U15" s="1306">
        <f t="shared" si="1"/>
        <v>100</v>
      </c>
      <c r="V15" s="1305" t="s">
        <v>5</v>
      </c>
      <c r="W15" s="1306">
        <f t="shared" si="2"/>
        <v>100</v>
      </c>
      <c r="X15" s="1300"/>
      <c r="Y15" s="3702"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03"/>
      <c r="Q16" s="1304"/>
      <c r="R16" s="1305"/>
      <c r="S16" s="1306"/>
      <c r="T16" s="1305"/>
      <c r="U16" s="1306"/>
      <c r="V16" s="1305"/>
      <c r="W16" s="1306"/>
      <c r="X16" s="1300"/>
      <c r="Y16" s="3703"/>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6"/>
      <c r="M17" s="1739"/>
      <c r="N17" s="1739"/>
      <c r="O17" s="1745"/>
      <c r="P17" s="3703"/>
      <c r="Q17" s="1304" t="str">
        <f>B17</f>
        <v>交通便捷度</v>
      </c>
      <c r="R17" s="1305" t="s">
        <v>5</v>
      </c>
      <c r="S17" s="1306">
        <f>F17</f>
        <v>100</v>
      </c>
      <c r="T17" s="1305" t="s">
        <v>5</v>
      </c>
      <c r="U17" s="1306">
        <f>H17</f>
        <v>100</v>
      </c>
      <c r="V17" s="1305" t="s">
        <v>5</v>
      </c>
      <c r="W17" s="1306">
        <f>J17</f>
        <v>100</v>
      </c>
      <c r="X17" s="1300"/>
      <c r="Y17" s="3703"/>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03"/>
      <c r="Q18" s="1304"/>
      <c r="R18" s="1305"/>
      <c r="S18" s="1306"/>
      <c r="T18" s="1305"/>
      <c r="U18" s="1306"/>
      <c r="V18" s="1305"/>
      <c r="W18" s="1306"/>
      <c r="X18" s="1300"/>
      <c r="Y18" s="3703"/>
      <c r="Z18" s="1307"/>
      <c r="AA18" s="1307">
        <v>1</v>
      </c>
      <c r="AB18" s="1307">
        <v>1</v>
      </c>
      <c r="AC18" s="1307">
        <v>1</v>
      </c>
    </row>
    <row r="19" spans="1:29" ht="15">
      <c r="A19" s="482"/>
      <c r="B19" s="2059"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6"/>
      <c r="M19" s="1739"/>
      <c r="N19" s="1739"/>
      <c r="O19" s="1745"/>
      <c r="P19" s="3703"/>
      <c r="Q19" s="1304" t="str">
        <f>B19</f>
        <v>公共配套设施</v>
      </c>
      <c r="R19" s="1305" t="s">
        <v>5</v>
      </c>
      <c r="S19" s="1306">
        <f>F19</f>
        <v>100</v>
      </c>
      <c r="T19" s="1305" t="s">
        <v>5</v>
      </c>
      <c r="U19" s="1306">
        <f>H19</f>
        <v>100</v>
      </c>
      <c r="V19" s="1305" t="s">
        <v>5</v>
      </c>
      <c r="W19" s="1306">
        <f>J19</f>
        <v>100</v>
      </c>
      <c r="X19" s="1300"/>
      <c r="Y19" s="3703"/>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6"/>
      <c r="M20" s="1739"/>
      <c r="N20" s="1739"/>
      <c r="O20" s="1745"/>
      <c r="P20" s="3703"/>
      <c r="Q20" s="1304"/>
      <c r="R20" s="1305"/>
      <c r="S20" s="1306"/>
      <c r="T20" s="1305"/>
      <c r="U20" s="1306"/>
      <c r="V20" s="1305"/>
      <c r="W20" s="1306"/>
      <c r="X20" s="1300"/>
      <c r="Y20" s="3703"/>
      <c r="Z20" s="1307"/>
      <c r="AA20" s="1307">
        <v>1</v>
      </c>
      <c r="AB20" s="1307">
        <v>1</v>
      </c>
      <c r="AC20" s="1307">
        <v>1</v>
      </c>
    </row>
    <row r="21" spans="1:29" ht="15">
      <c r="A21" s="482"/>
      <c r="B21" s="2047"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6"/>
      <c r="M21" s="1739"/>
      <c r="N21" s="1739"/>
      <c r="O21" s="1745"/>
      <c r="P21" s="3703"/>
      <c r="Q21" s="1304" t="str">
        <f>B21</f>
        <v>基础设施水平</v>
      </c>
      <c r="R21" s="1305" t="s">
        <v>5</v>
      </c>
      <c r="S21" s="1306">
        <f>F21</f>
        <v>100</v>
      </c>
      <c r="T21" s="1305" t="s">
        <v>5</v>
      </c>
      <c r="U21" s="1306">
        <f>H21</f>
        <v>100</v>
      </c>
      <c r="V21" s="1305" t="s">
        <v>5</v>
      </c>
      <c r="W21" s="1306">
        <f>J21</f>
        <v>100</v>
      </c>
      <c r="X21" s="1300"/>
      <c r="Y21" s="3703"/>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8"/>
      <c r="L22" s="1746"/>
      <c r="M22" s="1739"/>
      <c r="N22" s="1739"/>
      <c r="O22" s="1745"/>
      <c r="P22" s="3703"/>
      <c r="Q22" s="1304"/>
      <c r="R22" s="1305"/>
      <c r="S22" s="1306"/>
      <c r="T22" s="1305"/>
      <c r="U22" s="1306"/>
      <c r="V22" s="1305"/>
      <c r="W22" s="1306"/>
      <c r="X22" s="1300"/>
      <c r="Y22" s="3703"/>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6"/>
      <c r="M23" s="1739"/>
      <c r="N23" s="1739"/>
      <c r="O23" s="1745"/>
      <c r="P23" s="3703"/>
      <c r="Q23" s="1304" t="str">
        <f>B23</f>
        <v>环境质量</v>
      </c>
      <c r="R23" s="1305" t="s">
        <v>5</v>
      </c>
      <c r="S23" s="1306">
        <f>F23</f>
        <v>100</v>
      </c>
      <c r="T23" s="1305" t="s">
        <v>5</v>
      </c>
      <c r="U23" s="1306">
        <f>H23</f>
        <v>100</v>
      </c>
      <c r="V23" s="1305" t="s">
        <v>5</v>
      </c>
      <c r="W23" s="1306">
        <f>J23</f>
        <v>100</v>
      </c>
      <c r="X23" s="1300"/>
      <c r="Y23" s="3703"/>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6"/>
      <c r="M24" s="1739"/>
      <c r="N24" s="1739"/>
      <c r="O24" s="1745"/>
      <c r="P24" s="3703"/>
      <c r="Q24" s="1304"/>
      <c r="R24" s="1305"/>
      <c r="S24" s="1306"/>
      <c r="T24" s="1305"/>
      <c r="U24" s="1306"/>
      <c r="V24" s="1305"/>
      <c r="W24" s="1306"/>
      <c r="X24" s="1300"/>
      <c r="Y24" s="3703"/>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6"/>
      <c r="M25" s="1739"/>
      <c r="N25" s="1739"/>
      <c r="O25" s="1745"/>
      <c r="P25" s="3703"/>
      <c r="Q25" s="1304">
        <f>B25</f>
        <v>111</v>
      </c>
      <c r="R25" s="1305" t="s">
        <v>5</v>
      </c>
      <c r="S25" s="1306">
        <f>F25</f>
        <v>100</v>
      </c>
      <c r="T25" s="1305" t="s">
        <v>5</v>
      </c>
      <c r="U25" s="1306">
        <f>H25</f>
        <v>100</v>
      </c>
      <c r="V25" s="1305" t="s">
        <v>5</v>
      </c>
      <c r="W25" s="1306">
        <f>J25</f>
        <v>100</v>
      </c>
      <c r="X25" s="1300"/>
      <c r="Y25" s="3703"/>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6"/>
      <c r="M26" s="1739"/>
      <c r="N26" s="1739"/>
      <c r="O26" s="1745"/>
      <c r="P26" s="3703"/>
      <c r="Q26" s="1304">
        <f t="shared" ref="Q26:Q40" si="8">B26</f>
        <v>111</v>
      </c>
      <c r="R26" s="1305" t="s">
        <v>5</v>
      </c>
      <c r="S26" s="1306">
        <f>F26</f>
        <v>100</v>
      </c>
      <c r="T26" s="1305" t="s">
        <v>5</v>
      </c>
      <c r="U26" s="1306">
        <f>H26</f>
        <v>100</v>
      </c>
      <c r="V26" s="1305" t="s">
        <v>5</v>
      </c>
      <c r="W26" s="1306">
        <f>J26</f>
        <v>100</v>
      </c>
      <c r="X26" s="1300"/>
      <c r="Y26" s="3703"/>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0"/>
      <c r="M27" s="1637"/>
      <c r="N27" s="1637"/>
      <c r="O27" s="1741"/>
      <c r="P27" s="3703"/>
      <c r="Q27" s="817">
        <f t="shared" si="8"/>
        <v>111</v>
      </c>
      <c r="R27" s="1301" t="s">
        <v>5</v>
      </c>
      <c r="S27" s="1302">
        <f>F27</f>
        <v>100</v>
      </c>
      <c r="T27" s="1301" t="s">
        <v>5</v>
      </c>
      <c r="U27" s="1302">
        <f>H27</f>
        <v>100</v>
      </c>
      <c r="V27" s="1301" t="s">
        <v>5</v>
      </c>
      <c r="W27" s="1302">
        <f>J27</f>
        <v>100</v>
      </c>
      <c r="X27" s="1303"/>
      <c r="Y27" s="3703"/>
      <c r="Z27" s="995">
        <f>Q27</f>
        <v>111</v>
      </c>
      <c r="AA27" s="1307">
        <f>D27/F27</f>
        <v>1</v>
      </c>
      <c r="AB27" s="1307">
        <f>D27/H27</f>
        <v>1</v>
      </c>
      <c r="AC27" s="1307">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6"/>
      <c r="M28" s="1739"/>
      <c r="N28" s="1739"/>
      <c r="O28" s="1745"/>
      <c r="P28" s="3703"/>
      <c r="Q28" s="1304">
        <f t="shared" si="8"/>
        <v>111</v>
      </c>
      <c r="R28" s="1305" t="s">
        <v>5</v>
      </c>
      <c r="S28" s="1306">
        <f t="shared" ref="S28:S40" si="9">F28</f>
        <v>100</v>
      </c>
      <c r="T28" s="1305" t="s">
        <v>5</v>
      </c>
      <c r="U28" s="1306">
        <f t="shared" ref="U28:U40" si="10">H28</f>
        <v>100</v>
      </c>
      <c r="V28" s="1305" t="s">
        <v>5</v>
      </c>
      <c r="W28" s="1306">
        <f t="shared" ref="W28:W40" si="11">J28</f>
        <v>100</v>
      </c>
      <c r="X28" s="1300"/>
      <c r="Y28" s="3703"/>
      <c r="Z28" s="1307">
        <f t="shared" ref="Z28:Z40" si="12">Q28</f>
        <v>111</v>
      </c>
      <c r="AA28" s="1307">
        <f t="shared" si="3"/>
        <v>1</v>
      </c>
      <c r="AB28" s="1307">
        <f t="shared" si="4"/>
        <v>1</v>
      </c>
      <c r="AC28" s="1307">
        <f t="shared" si="5"/>
        <v>1</v>
      </c>
    </row>
    <row r="29" spans="1:29" ht="15">
      <c r="A29" s="2201"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6"/>
      <c r="M29" s="1739"/>
      <c r="N29" s="1739"/>
      <c r="O29" s="1745"/>
      <c r="P29" s="3704" t="s">
        <v>499</v>
      </c>
      <c r="Q29" s="1304" t="str">
        <f t="shared" si="8"/>
        <v>建筑类型</v>
      </c>
      <c r="R29" s="1305" t="s">
        <v>5</v>
      </c>
      <c r="S29" s="1306">
        <f t="shared" si="9"/>
        <v>100</v>
      </c>
      <c r="T29" s="1305" t="s">
        <v>5</v>
      </c>
      <c r="U29" s="1306">
        <f t="shared" si="10"/>
        <v>100</v>
      </c>
      <c r="V29" s="1305" t="s">
        <v>5</v>
      </c>
      <c r="W29" s="1306">
        <f t="shared" si="11"/>
        <v>100</v>
      </c>
      <c r="X29" s="1300"/>
      <c r="Y29" s="3705" t="s">
        <v>499</v>
      </c>
      <c r="Z29" s="1307" t="str">
        <f t="shared" si="12"/>
        <v>建筑类型</v>
      </c>
      <c r="AA29" s="1307">
        <f t="shared" si="3"/>
        <v>1</v>
      </c>
      <c r="AB29" s="1307">
        <f t="shared" si="4"/>
        <v>1</v>
      </c>
      <c r="AC29" s="1307">
        <f t="shared" si="5"/>
        <v>1</v>
      </c>
    </row>
    <row r="30" spans="1:29" s="1132"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4"/>
      <c r="M30" s="1768"/>
      <c r="N30" s="1768"/>
      <c r="O30" s="1747"/>
      <c r="P30" s="3705"/>
      <c r="Q30" s="818" t="str">
        <f t="shared" si="8"/>
        <v>项目建筑规模</v>
      </c>
      <c r="R30" s="1308" t="s">
        <v>5</v>
      </c>
      <c r="S30" s="1309" t="e">
        <f t="shared" si="9"/>
        <v>#N/A</v>
      </c>
      <c r="T30" s="1308" t="s">
        <v>5</v>
      </c>
      <c r="U30" s="1309" t="e">
        <f t="shared" si="10"/>
        <v>#N/A</v>
      </c>
      <c r="V30" s="1308" t="s">
        <v>5</v>
      </c>
      <c r="W30" s="1309" t="e">
        <f t="shared" si="11"/>
        <v>#N/A</v>
      </c>
      <c r="X30" s="1310"/>
      <c r="Y30" s="3705"/>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6"/>
      <c r="M31" s="1739"/>
      <c r="N31" s="1739"/>
      <c r="O31" s="1745"/>
      <c r="P31" s="3705"/>
      <c r="Q31" s="1304" t="str">
        <f t="shared" si="8"/>
        <v>建筑结构</v>
      </c>
      <c r="R31" s="1305" t="s">
        <v>5</v>
      </c>
      <c r="S31" s="1306">
        <f t="shared" si="9"/>
        <v>100</v>
      </c>
      <c r="T31" s="1305" t="s">
        <v>5</v>
      </c>
      <c r="U31" s="1306">
        <f t="shared" si="10"/>
        <v>100</v>
      </c>
      <c r="V31" s="1305" t="s">
        <v>5</v>
      </c>
      <c r="W31" s="1306">
        <f t="shared" si="11"/>
        <v>100</v>
      </c>
      <c r="X31" s="1300"/>
      <c r="Y31" s="3705"/>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6"/>
      <c r="M32" s="1739"/>
      <c r="N32" s="1739"/>
      <c r="O32" s="1745"/>
      <c r="P32" s="3705"/>
      <c r="Q32" s="1304" t="str">
        <f t="shared" si="8"/>
        <v>公共部分装修</v>
      </c>
      <c r="R32" s="1305" t="s">
        <v>5</v>
      </c>
      <c r="S32" s="1306">
        <f t="shared" si="9"/>
        <v>100</v>
      </c>
      <c r="T32" s="1305" t="s">
        <v>5</v>
      </c>
      <c r="U32" s="1306">
        <f t="shared" si="10"/>
        <v>100</v>
      </c>
      <c r="V32" s="1305" t="s">
        <v>5</v>
      </c>
      <c r="W32" s="1306">
        <f t="shared" si="11"/>
        <v>100</v>
      </c>
      <c r="X32" s="1300"/>
      <c r="Y32" s="3705"/>
      <c r="Z32" s="1307" t="str">
        <f t="shared" si="12"/>
        <v>公共部分装修</v>
      </c>
      <c r="AA32" s="1307">
        <f t="shared" si="3"/>
        <v>1</v>
      </c>
      <c r="AB32" s="1307">
        <f t="shared" si="4"/>
        <v>1</v>
      </c>
      <c r="AC32" s="1307">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6"/>
      <c r="M33" s="1739"/>
      <c r="N33" s="1739"/>
      <c r="O33" s="1745"/>
      <c r="P33" s="3705"/>
      <c r="Q33" s="1304" t="str">
        <f t="shared" si="8"/>
        <v>成新度</v>
      </c>
      <c r="R33" s="1305" t="s">
        <v>5</v>
      </c>
      <c r="S33" s="1306" t="e">
        <f t="shared" si="9"/>
        <v>#N/A</v>
      </c>
      <c r="T33" s="1305" t="s">
        <v>5</v>
      </c>
      <c r="U33" s="1306" t="e">
        <f t="shared" si="10"/>
        <v>#N/A</v>
      </c>
      <c r="V33" s="1305" t="s">
        <v>5</v>
      </c>
      <c r="W33" s="1306" t="e">
        <f t="shared" si="11"/>
        <v>#N/A</v>
      </c>
      <c r="X33" s="1300"/>
      <c r="Y33" s="3705"/>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0"/>
      <c r="M34" s="1637"/>
      <c r="N34" s="1637"/>
      <c r="O34" s="1741"/>
      <c r="P34" s="3705"/>
      <c r="Q34" s="817" t="str">
        <f t="shared" si="8"/>
        <v>物业管理</v>
      </c>
      <c r="R34" s="1301" t="s">
        <v>5</v>
      </c>
      <c r="S34" s="1302">
        <f t="shared" si="9"/>
        <v>100</v>
      </c>
      <c r="T34" s="1301" t="s">
        <v>5</v>
      </c>
      <c r="U34" s="1302">
        <f t="shared" si="10"/>
        <v>100</v>
      </c>
      <c r="V34" s="1301" t="s">
        <v>5</v>
      </c>
      <c r="W34" s="1302">
        <f t="shared" si="11"/>
        <v>100</v>
      </c>
      <c r="X34" s="1303"/>
      <c r="Y34" s="3705"/>
      <c r="Z34" s="995" t="str">
        <f t="shared" si="12"/>
        <v>物业管理</v>
      </c>
      <c r="AA34" s="995">
        <f t="shared" si="3"/>
        <v>1</v>
      </c>
      <c r="AB34" s="995">
        <f t="shared" si="4"/>
        <v>1</v>
      </c>
      <c r="AC34" s="995">
        <f t="shared" si="5"/>
        <v>1</v>
      </c>
    </row>
    <row r="35" spans="1:29" ht="15">
      <c r="A35" s="543"/>
      <c r="B35" s="1551"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6"/>
      <c r="M35" s="1739"/>
      <c r="N35" s="1739"/>
      <c r="O35" s="1745"/>
      <c r="P35" s="3705" t="s">
        <v>499</v>
      </c>
      <c r="Q35" s="1304" t="str">
        <f t="shared" si="8"/>
        <v>市政基础设施</v>
      </c>
      <c r="R35" s="1305" t="s">
        <v>5</v>
      </c>
      <c r="S35" s="1306">
        <f t="shared" si="9"/>
        <v>100</v>
      </c>
      <c r="T35" s="1305" t="s">
        <v>5</v>
      </c>
      <c r="U35" s="1306">
        <f t="shared" si="10"/>
        <v>100</v>
      </c>
      <c r="V35" s="1305" t="s">
        <v>5</v>
      </c>
      <c r="W35" s="1306">
        <f t="shared" si="11"/>
        <v>100</v>
      </c>
      <c r="X35" s="1300"/>
      <c r="Y35" s="3705"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6"/>
      <c r="M36" s="1739"/>
      <c r="N36" s="1739"/>
      <c r="O36" s="1745"/>
      <c r="P36" s="3705"/>
      <c r="Q36" s="1304" t="str">
        <f t="shared" si="8"/>
        <v>内部装修</v>
      </c>
      <c r="R36" s="1305" t="s">
        <v>5</v>
      </c>
      <c r="S36" s="1306">
        <f t="shared" si="9"/>
        <v>100</v>
      </c>
      <c r="T36" s="1305" t="s">
        <v>5</v>
      </c>
      <c r="U36" s="1306">
        <f t="shared" si="10"/>
        <v>100</v>
      </c>
      <c r="V36" s="1305" t="s">
        <v>5</v>
      </c>
      <c r="W36" s="1306">
        <f t="shared" si="11"/>
        <v>100</v>
      </c>
      <c r="X36" s="1300"/>
      <c r="Y36" s="3705"/>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6"/>
      <c r="M37" s="1739"/>
      <c r="N37" s="1739"/>
      <c r="O37" s="1745"/>
      <c r="P37" s="3705"/>
      <c r="Q37" s="1304" t="str">
        <f t="shared" si="8"/>
        <v>内部装修状况</v>
      </c>
      <c r="R37" s="1305" t="s">
        <v>5</v>
      </c>
      <c r="S37" s="1306">
        <f t="shared" si="9"/>
        <v>100</v>
      </c>
      <c r="T37" s="1305" t="s">
        <v>5</v>
      </c>
      <c r="U37" s="1306">
        <f t="shared" si="10"/>
        <v>100</v>
      </c>
      <c r="V37" s="1305" t="s">
        <v>5</v>
      </c>
      <c r="W37" s="1306">
        <f t="shared" si="11"/>
        <v>100</v>
      </c>
      <c r="X37" s="1300"/>
      <c r="Y37" s="3705"/>
      <c r="Z37" s="1307" t="str">
        <f t="shared" si="12"/>
        <v>内部装修状况</v>
      </c>
      <c r="AA37" s="1307">
        <f t="shared" si="3"/>
        <v>1</v>
      </c>
      <c r="AB37" s="1307">
        <f t="shared" si="4"/>
        <v>1</v>
      </c>
      <c r="AC37" s="1307">
        <f t="shared" si="5"/>
        <v>1</v>
      </c>
    </row>
    <row r="38" spans="1:29" s="1132"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4"/>
      <c r="M38" s="1768"/>
      <c r="N38" s="1768"/>
      <c r="O38" s="1747"/>
      <c r="P38" s="3705"/>
      <c r="Q38" s="818">
        <f t="shared" si="8"/>
        <v>111</v>
      </c>
      <c r="R38" s="1308" t="s">
        <v>5</v>
      </c>
      <c r="S38" s="1309">
        <f t="shared" si="9"/>
        <v>100</v>
      </c>
      <c r="T38" s="1308" t="s">
        <v>5</v>
      </c>
      <c r="U38" s="1309">
        <f t="shared" si="10"/>
        <v>100</v>
      </c>
      <c r="V38" s="1308" t="s">
        <v>5</v>
      </c>
      <c r="W38" s="1309">
        <f t="shared" si="11"/>
        <v>100</v>
      </c>
      <c r="X38" s="1310"/>
      <c r="Y38" s="3705"/>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6"/>
      <c r="M39" s="1739"/>
      <c r="N39" s="1739"/>
      <c r="O39" s="1745"/>
      <c r="P39" s="3705"/>
      <c r="Q39" s="1304">
        <f t="shared" si="8"/>
        <v>111</v>
      </c>
      <c r="R39" s="1305" t="s">
        <v>5</v>
      </c>
      <c r="S39" s="1306">
        <f t="shared" si="9"/>
        <v>100</v>
      </c>
      <c r="T39" s="1305" t="s">
        <v>5</v>
      </c>
      <c r="U39" s="1306">
        <f t="shared" si="10"/>
        <v>100</v>
      </c>
      <c r="V39" s="1305" t="s">
        <v>5</v>
      </c>
      <c r="W39" s="1306">
        <f t="shared" si="11"/>
        <v>100</v>
      </c>
      <c r="X39" s="1300"/>
      <c r="Y39" s="3705"/>
      <c r="Z39" s="1307">
        <f t="shared" si="12"/>
        <v>111</v>
      </c>
      <c r="AA39" s="1307">
        <f t="shared" si="3"/>
        <v>1</v>
      </c>
      <c r="AB39" s="1307">
        <f t="shared" si="4"/>
        <v>1</v>
      </c>
      <c r="AC39" s="1307">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6"/>
      <c r="M40" s="1739"/>
      <c r="N40" s="1739"/>
      <c r="O40" s="1745"/>
      <c r="P40" s="3801"/>
      <c r="Q40" s="1304">
        <f t="shared" si="8"/>
        <v>111</v>
      </c>
      <c r="R40" s="1305" t="s">
        <v>5</v>
      </c>
      <c r="S40" s="1306">
        <f t="shared" si="9"/>
        <v>100</v>
      </c>
      <c r="T40" s="1305" t="s">
        <v>5</v>
      </c>
      <c r="U40" s="1306">
        <f t="shared" si="10"/>
        <v>100</v>
      </c>
      <c r="V40" s="1305" t="s">
        <v>5</v>
      </c>
      <c r="W40" s="1306">
        <f t="shared" si="11"/>
        <v>100</v>
      </c>
      <c r="X40" s="1300"/>
      <c r="Y40" s="3801"/>
      <c r="Z40" s="1307">
        <f t="shared" si="12"/>
        <v>111</v>
      </c>
      <c r="AA40" s="1307">
        <f t="shared" si="3"/>
        <v>1</v>
      </c>
      <c r="AB40" s="1307">
        <f t="shared" si="4"/>
        <v>1</v>
      </c>
      <c r="AC40" s="1307">
        <f t="shared" si="5"/>
        <v>1</v>
      </c>
    </row>
    <row r="41" spans="1:29" ht="15">
      <c r="A41" s="556" t="s">
        <v>683</v>
      </c>
      <c r="B41" s="811"/>
      <c r="C41" s="2078" t="s">
        <v>0</v>
      </c>
      <c r="D41" s="559"/>
      <c r="E41" s="560"/>
      <c r="F41" s="561"/>
      <c r="G41" s="562"/>
      <c r="H41" s="563"/>
      <c r="I41" s="560"/>
      <c r="J41" s="563"/>
      <c r="K41" s="1333"/>
      <c r="L41" s="1748"/>
      <c r="M41" s="1739"/>
      <c r="N41" s="1739"/>
      <c r="O41" s="1739"/>
      <c r="P41" s="3700" t="str">
        <f>A41</f>
        <v>成交单价（元/平方米）</v>
      </c>
      <c r="Q41" s="3700"/>
      <c r="R41" s="3716">
        <f>E41</f>
        <v>0</v>
      </c>
      <c r="S41" s="3716"/>
      <c r="T41" s="3716">
        <f>G41</f>
        <v>0</v>
      </c>
      <c r="U41" s="3716"/>
      <c r="V41" s="3716">
        <f>I41</f>
        <v>0</v>
      </c>
      <c r="W41" s="3716"/>
      <c r="X41" s="799"/>
      <c r="Y41" s="1312"/>
      <c r="Z41" s="799"/>
      <c r="AA41" s="799"/>
      <c r="AB41" s="799"/>
      <c r="AC41" s="799"/>
    </row>
    <row r="42" spans="1:29" ht="15.75" thickBot="1">
      <c r="A42" s="564" t="s">
        <v>2037</v>
      </c>
      <c r="B42" s="812"/>
      <c r="C42" s="2079" t="e">
        <f>R43</f>
        <v>#DIV/0!</v>
      </c>
      <c r="D42" s="2547" t="s">
        <v>2243</v>
      </c>
      <c r="E42" s="2080" t="e">
        <f>R42</f>
        <v>#DIV/0!</v>
      </c>
      <c r="F42" s="2548"/>
      <c r="G42" s="2079" t="e">
        <f>T42</f>
        <v>#DIV/0!</v>
      </c>
      <c r="H42" s="2548"/>
      <c r="I42" s="2080" t="e">
        <f>V42</f>
        <v>#DIV/0!</v>
      </c>
      <c r="J42" s="2548"/>
      <c r="K42" s="2555">
        <f>F42+H42+J42</f>
        <v>0</v>
      </c>
      <c r="L42" s="1748"/>
      <c r="M42" s="1739"/>
      <c r="N42" s="1739"/>
      <c r="O42" s="1739"/>
      <c r="P42" s="3700" t="str">
        <f>A42</f>
        <v>比较价格（元/平方米）</v>
      </c>
      <c r="Q42" s="3700"/>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799"/>
      <c r="Y42" s="799"/>
      <c r="Z42" s="799"/>
      <c r="AA42" s="799"/>
      <c r="AB42" s="799"/>
      <c r="AC42" s="799"/>
    </row>
    <row r="43" spans="1:29" ht="15.75" thickBot="1">
      <c r="A43" s="568" t="s">
        <v>2180</v>
      </c>
      <c r="B43" s="569"/>
      <c r="C43" s="469" t="e">
        <f>R43</f>
        <v>#DIV/0!</v>
      </c>
      <c r="D43" s="469"/>
      <c r="E43" s="469"/>
      <c r="F43" s="469"/>
      <c r="G43" s="469"/>
      <c r="H43" s="469"/>
      <c r="I43" s="469"/>
      <c r="J43" s="469"/>
      <c r="K43" s="1334"/>
      <c r="L43" s="1748"/>
      <c r="M43" s="1739"/>
      <c r="N43" s="1739"/>
      <c r="O43" s="1739"/>
      <c r="P43" s="3706" t="str">
        <f>A43</f>
        <v>估价对象XX用房的比较价格（楼面单价，元/平方米）</v>
      </c>
      <c r="Q43" s="3707"/>
      <c r="R43" s="3800" t="e">
        <f>IF(F1="售价",ROUND(IF(D42="简单平均",AVERAGE(R42:V42),R42*F42+T42*H42+V42*J42),0),ROUND(IF(D42="简单平均",AVERAGE(R42:V42),R42*F42+T42*H42+V42*J42),1))</f>
        <v>#DIV/0!</v>
      </c>
      <c r="S43" s="3800"/>
      <c r="T43" s="3800"/>
      <c r="U43" s="3800"/>
      <c r="V43" s="3800"/>
      <c r="W43" s="3800"/>
      <c r="X43" s="799"/>
      <c r="Y43" s="799"/>
      <c r="Z43" s="799"/>
      <c r="AA43" s="799"/>
      <c r="AB43" s="799"/>
      <c r="AC43" s="799"/>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7" customFormat="1" ht="13.5" customHeight="1">
      <c r="A48" s="2717"/>
      <c r="B48" s="2717"/>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7"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1.75" thickBot="1">
      <c r="A51" s="1315" t="s">
        <v>522</v>
      </c>
      <c r="B51" s="799"/>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9" customFormat="1" ht="15">
      <c r="A52" s="592" t="s">
        <v>478</v>
      </c>
      <c r="B52" s="593"/>
      <c r="C52" s="2110" t="str">
        <f>YEAR(C7)&amp;"-"&amp;MONTH(C7)</f>
        <v>2025-5</v>
      </c>
      <c r="D52" s="2112">
        <f>EDATE(C52,-1)</f>
        <v>45748</v>
      </c>
      <c r="E52" s="2112">
        <f t="shared" ref="E52:O52" si="13">EDATE(D52,-1)</f>
        <v>45717</v>
      </c>
      <c r="F52" s="2112">
        <f t="shared" si="13"/>
        <v>45689</v>
      </c>
      <c r="G52" s="2112">
        <f t="shared" si="13"/>
        <v>45658</v>
      </c>
      <c r="H52" s="2112">
        <f t="shared" si="13"/>
        <v>45627</v>
      </c>
      <c r="I52" s="2112">
        <f t="shared" si="13"/>
        <v>45597</v>
      </c>
      <c r="J52" s="2112">
        <f t="shared" si="13"/>
        <v>45566</v>
      </c>
      <c r="K52" s="2112">
        <f t="shared" si="13"/>
        <v>45536</v>
      </c>
      <c r="L52" s="2112">
        <f t="shared" si="13"/>
        <v>45505</v>
      </c>
      <c r="M52" s="2112">
        <f t="shared" si="13"/>
        <v>45474</v>
      </c>
      <c r="N52" s="2112">
        <f t="shared" si="13"/>
        <v>45444</v>
      </c>
      <c r="O52" s="2112">
        <f t="shared" si="13"/>
        <v>45413</v>
      </c>
      <c r="P52" s="1762"/>
      <c r="Q52" s="1762"/>
      <c r="R52" s="1762"/>
      <c r="S52" s="1762"/>
      <c r="T52" s="1762"/>
      <c r="U52" s="1762"/>
      <c r="V52" s="1762"/>
      <c r="W52" s="1762"/>
      <c r="X52" s="1762"/>
      <c r="Y52" s="1762"/>
      <c r="Z52" s="1762"/>
      <c r="AA52" s="1762"/>
      <c r="AB52" s="1762"/>
      <c r="AC52" s="1762"/>
    </row>
    <row r="53" spans="1:29" s="1058" customFormat="1" ht="15">
      <c r="A53" s="527"/>
      <c r="B53" s="594"/>
      <c r="C53" s="595">
        <v>100</v>
      </c>
      <c r="D53" s="596"/>
      <c r="E53" s="596"/>
      <c r="F53" s="596"/>
      <c r="G53" s="596"/>
      <c r="H53" s="596"/>
      <c r="I53" s="596"/>
      <c r="J53" s="596"/>
      <c r="K53" s="596"/>
      <c r="L53" s="596"/>
      <c r="M53" s="487"/>
      <c r="N53" s="596"/>
      <c r="O53" s="597"/>
      <c r="P53" s="1760"/>
      <c r="Q53" s="1637"/>
      <c r="R53" s="1637"/>
      <c r="S53" s="1637"/>
      <c r="T53" s="1637"/>
      <c r="U53" s="1637"/>
      <c r="V53" s="1637"/>
      <c r="W53" s="1637"/>
      <c r="X53" s="1637"/>
      <c r="Y53" s="1637"/>
      <c r="Z53" s="1637"/>
      <c r="AA53" s="1637"/>
      <c r="AB53" s="1637"/>
      <c r="AC53" s="1637"/>
    </row>
    <row r="54" spans="1:29" s="1058" customFormat="1" ht="15.75" thickBot="1">
      <c r="A54" s="262" t="s">
        <v>523</v>
      </c>
      <c r="B54" s="598"/>
      <c r="C54" s="599"/>
      <c r="D54" s="600"/>
      <c r="E54" s="600"/>
      <c r="F54" s="600"/>
      <c r="G54" s="600"/>
      <c r="H54" s="600"/>
      <c r="I54" s="600"/>
      <c r="J54" s="600"/>
      <c r="K54" s="600"/>
      <c r="L54" s="600"/>
      <c r="M54" s="601"/>
      <c r="N54" s="600"/>
      <c r="O54" s="602"/>
      <c r="P54" s="1760"/>
      <c r="Q54" s="1760"/>
      <c r="R54" s="1637"/>
      <c r="S54" s="1637"/>
      <c r="T54" s="1637"/>
      <c r="U54" s="1637"/>
      <c r="V54" s="1637"/>
      <c r="W54" s="1637"/>
      <c r="X54" s="1637"/>
      <c r="Y54" s="1637"/>
      <c r="Z54" s="1637"/>
      <c r="AA54" s="1637"/>
      <c r="AB54" s="1637"/>
      <c r="AC54" s="1637"/>
    </row>
    <row r="55" spans="1:29" s="1058" customFormat="1" ht="15">
      <c r="A55" s="603" t="s">
        <v>480</v>
      </c>
      <c r="B55" s="594"/>
      <c r="C55" s="604" t="s">
        <v>524</v>
      </c>
      <c r="D55" s="80"/>
      <c r="E55" s="80"/>
      <c r="F55" s="80"/>
      <c r="G55" s="80"/>
      <c r="H55" s="80"/>
      <c r="I55" s="80"/>
      <c r="J55" s="80"/>
      <c r="K55" s="80"/>
      <c r="L55" s="605"/>
      <c r="M55" s="606"/>
      <c r="N55" s="1763"/>
      <c r="O55" s="1763"/>
      <c r="P55" s="1644"/>
      <c r="Q55" s="1760"/>
      <c r="R55" s="1637"/>
      <c r="S55" s="1637"/>
      <c r="T55" s="1637"/>
      <c r="U55" s="1637"/>
      <c r="V55" s="1637"/>
      <c r="W55" s="1637"/>
      <c r="X55" s="1637"/>
      <c r="Y55" s="1637"/>
      <c r="Z55" s="1637"/>
      <c r="AA55" s="1637"/>
      <c r="AB55" s="1637"/>
      <c r="AC55" s="1637"/>
    </row>
    <row r="56" spans="1:29" s="1058" customFormat="1" ht="15.75" thickBot="1">
      <c r="A56" s="603"/>
      <c r="B56" s="594"/>
      <c r="C56" s="595">
        <v>100</v>
      </c>
      <c r="D56" s="596"/>
      <c r="E56" s="596"/>
      <c r="F56" s="596"/>
      <c r="G56" s="596"/>
      <c r="H56" s="596"/>
      <c r="I56" s="596"/>
      <c r="J56" s="596"/>
      <c r="K56" s="596"/>
      <c r="L56" s="596"/>
      <c r="M56" s="597"/>
      <c r="N56" s="1763"/>
      <c r="O56" s="1763"/>
      <c r="P56" s="1760"/>
      <c r="Q56" s="1760"/>
      <c r="R56" s="1637"/>
      <c r="S56" s="1637"/>
      <c r="T56" s="1637"/>
      <c r="U56" s="1637"/>
      <c r="V56" s="1637"/>
      <c r="W56" s="1637"/>
      <c r="X56" s="1637"/>
      <c r="Y56" s="1637"/>
      <c r="Z56" s="1637"/>
      <c r="AA56" s="1637"/>
      <c r="AB56" s="1637"/>
      <c r="AC56" s="1637"/>
    </row>
    <row r="57" spans="1:29">
      <c r="A57" s="607" t="s">
        <v>525</v>
      </c>
      <c r="B57" s="608" t="s">
        <v>483</v>
      </c>
      <c r="C57" s="645">
        <f>C9</f>
        <v>0</v>
      </c>
      <c r="D57" s="547"/>
      <c r="E57" s="547"/>
      <c r="F57" s="547"/>
      <c r="G57" s="547"/>
      <c r="H57" s="547"/>
      <c r="I57" s="547"/>
      <c r="J57" s="547"/>
      <c r="K57" s="609"/>
      <c r="L57" s="610"/>
      <c r="M57" s="611"/>
      <c r="N57" s="1764"/>
      <c r="O57" s="1764"/>
      <c r="P57" s="1763"/>
      <c r="Q57" s="1760"/>
      <c r="R57" s="1739"/>
      <c r="S57" s="1739"/>
      <c r="T57" s="1739"/>
      <c r="U57" s="1739"/>
      <c r="V57" s="1739"/>
      <c r="W57" s="1739"/>
      <c r="X57" s="1739"/>
      <c r="Y57" s="1739"/>
      <c r="Z57" s="1739"/>
      <c r="AA57" s="1739"/>
      <c r="AB57" s="1739"/>
      <c r="AC57" s="1739"/>
    </row>
    <row r="58" spans="1:29" ht="15.75" thickBot="1">
      <c r="A58" s="482"/>
      <c r="B58" s="612"/>
      <c r="C58" s="613"/>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ht="27.75" thickTop="1">
      <c r="A59" s="482"/>
      <c r="B59" s="615" t="s">
        <v>486</v>
      </c>
      <c r="C59" s="658"/>
      <c r="D59" s="658"/>
      <c r="E59" s="658"/>
      <c r="F59" s="658"/>
      <c r="G59" s="658"/>
      <c r="H59" s="658"/>
      <c r="I59" s="658"/>
      <c r="J59" s="658"/>
      <c r="K59" s="659"/>
      <c r="L59" s="660"/>
      <c r="M59" s="661"/>
      <c r="N59" s="1764"/>
      <c r="O59" s="1764"/>
      <c r="P59" s="1763"/>
      <c r="Q59" s="1760"/>
      <c r="R59" s="1739"/>
      <c r="S59" s="1739"/>
      <c r="T59" s="1739"/>
      <c r="U59" s="1739"/>
      <c r="V59" s="1739"/>
      <c r="W59" s="1739"/>
      <c r="X59" s="1739"/>
      <c r="Y59" s="1739"/>
      <c r="Z59" s="1739"/>
      <c r="AA59" s="1739"/>
      <c r="AB59" s="1739"/>
      <c r="AC59" s="1739"/>
    </row>
    <row r="60" spans="1:29" ht="15.75" thickBot="1">
      <c r="A60" s="482"/>
      <c r="B60" s="620"/>
      <c r="C60" s="613"/>
      <c r="D60" s="613"/>
      <c r="E60" s="613"/>
      <c r="F60" s="613"/>
      <c r="G60" s="613"/>
      <c r="H60" s="613"/>
      <c r="I60" s="613"/>
      <c r="J60" s="613"/>
      <c r="K60" s="613"/>
      <c r="L60" s="613"/>
      <c r="M60" s="614"/>
      <c r="N60" s="1765"/>
      <c r="O60" s="1765"/>
      <c r="P60" s="1763"/>
      <c r="Q60" s="1760"/>
      <c r="R60" s="1739"/>
      <c r="S60" s="1739"/>
      <c r="T60" s="1739"/>
      <c r="U60" s="1739"/>
      <c r="V60" s="1739"/>
      <c r="W60" s="1739"/>
      <c r="X60" s="1739"/>
      <c r="Y60" s="1739"/>
      <c r="Z60" s="1739"/>
      <c r="AA60" s="1739"/>
      <c r="AB60" s="1739"/>
      <c r="AC60" s="1739"/>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5"/>
      <c r="O61" s="1765"/>
      <c r="P61" s="1763"/>
      <c r="Q61" s="1760"/>
      <c r="R61" s="1739"/>
      <c r="S61" s="1739"/>
      <c r="T61" s="1739"/>
      <c r="U61" s="1739"/>
      <c r="V61" s="1739"/>
      <c r="W61" s="1739"/>
      <c r="X61" s="1739"/>
      <c r="Y61" s="1739"/>
      <c r="Z61" s="1739"/>
      <c r="AA61" s="1739"/>
      <c r="AB61" s="1739"/>
      <c r="AC61" s="1739"/>
    </row>
    <row r="62" spans="1:29" ht="15">
      <c r="A62" s="482"/>
      <c r="B62" s="625"/>
      <c r="C62" s="491"/>
      <c r="D62" s="491"/>
      <c r="E62" s="491"/>
      <c r="F62" s="491"/>
      <c r="G62" s="491"/>
      <c r="H62" s="491"/>
      <c r="I62" s="491"/>
      <c r="J62" s="491"/>
      <c r="K62" s="626"/>
      <c r="L62" s="627"/>
      <c r="M62" s="628"/>
      <c r="N62" s="1764"/>
      <c r="O62" s="1764"/>
      <c r="P62" s="1763"/>
      <c r="Q62" s="1760"/>
      <c r="R62" s="1739"/>
      <c r="S62" s="1739"/>
      <c r="T62" s="1739"/>
      <c r="U62" s="1739"/>
      <c r="V62" s="1739"/>
      <c r="W62" s="1739"/>
      <c r="X62" s="1739"/>
      <c r="Y62" s="1739"/>
      <c r="Z62" s="1739"/>
      <c r="AA62" s="1739"/>
      <c r="AB62" s="1739"/>
      <c r="AC62" s="1739"/>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5"/>
      <c r="O63" s="1765"/>
      <c r="P63" s="1763"/>
      <c r="Q63" s="1760"/>
      <c r="R63" s="1739"/>
      <c r="S63" s="1739"/>
      <c r="T63" s="1739"/>
      <c r="U63" s="1739"/>
      <c r="V63" s="1739"/>
      <c r="W63" s="1739"/>
      <c r="X63" s="1739"/>
      <c r="Y63" s="1739"/>
      <c r="Z63" s="1739"/>
      <c r="AA63" s="1739"/>
      <c r="AB63" s="1739"/>
      <c r="AC63" s="1739"/>
    </row>
    <row r="64" spans="1:29" s="1132" customFormat="1" ht="15.75" thickTop="1">
      <c r="A64" s="629"/>
      <c r="B64" s="615">
        <f>B12</f>
        <v>111</v>
      </c>
      <c r="C64" s="630"/>
      <c r="D64" s="630"/>
      <c r="E64" s="630"/>
      <c r="F64" s="630"/>
      <c r="G64" s="630"/>
      <c r="H64" s="631"/>
      <c r="I64" s="631"/>
      <c r="J64" s="631"/>
      <c r="K64" s="631"/>
      <c r="L64" s="632"/>
      <c r="M64" s="633"/>
      <c r="N64" s="1766"/>
      <c r="O64" s="1766"/>
      <c r="P64" s="1766"/>
      <c r="Q64" s="1767"/>
      <c r="R64" s="1768"/>
      <c r="S64" s="1768"/>
      <c r="T64" s="1768"/>
      <c r="U64" s="1768"/>
      <c r="V64" s="1768"/>
      <c r="W64" s="1768"/>
      <c r="X64" s="1768"/>
      <c r="Y64" s="1768"/>
      <c r="Z64" s="1768"/>
      <c r="AA64" s="1768"/>
      <c r="AB64" s="1768"/>
      <c r="AC64" s="1768"/>
    </row>
    <row r="65" spans="1:29" s="1132" customFormat="1" ht="15.75" thickBot="1">
      <c r="A65" s="629"/>
      <c r="B65" s="620"/>
      <c r="C65" s="634"/>
      <c r="D65" s="613"/>
      <c r="E65" s="613"/>
      <c r="F65" s="613"/>
      <c r="G65" s="613"/>
      <c r="H65" s="613"/>
      <c r="I65" s="613"/>
      <c r="J65" s="613"/>
      <c r="K65" s="613"/>
      <c r="L65" s="613"/>
      <c r="M65" s="614"/>
      <c r="N65" s="1765"/>
      <c r="O65" s="1765"/>
      <c r="P65" s="1766"/>
      <c r="Q65" s="1767"/>
      <c r="R65" s="1768"/>
      <c r="S65" s="1768"/>
      <c r="T65" s="1768"/>
      <c r="U65" s="1768"/>
      <c r="V65" s="1768"/>
      <c r="W65" s="1768"/>
      <c r="X65" s="1768"/>
      <c r="Y65" s="1768"/>
      <c r="Z65" s="1768"/>
      <c r="AA65" s="1768"/>
      <c r="AB65" s="1768"/>
      <c r="AC65" s="1768"/>
    </row>
    <row r="66" spans="1:29" s="1132" customFormat="1" ht="15.75" thickTop="1">
      <c r="A66" s="629"/>
      <c r="B66" s="615">
        <f>B13</f>
        <v>111</v>
      </c>
      <c r="C66" s="630"/>
      <c r="D66" s="630"/>
      <c r="E66" s="630"/>
      <c r="F66" s="630"/>
      <c r="G66" s="630"/>
      <c r="H66" s="631"/>
      <c r="I66" s="631"/>
      <c r="J66" s="631"/>
      <c r="K66" s="631"/>
      <c r="L66" s="632"/>
      <c r="M66" s="633"/>
      <c r="N66" s="1766"/>
      <c r="O66" s="1766"/>
      <c r="P66" s="1768"/>
      <c r="Q66" s="1769"/>
      <c r="R66" s="1768"/>
      <c r="S66" s="1768"/>
      <c r="T66" s="1768"/>
      <c r="U66" s="1768"/>
      <c r="V66" s="1768"/>
      <c r="W66" s="1768"/>
      <c r="X66" s="1768"/>
      <c r="Y66" s="1768"/>
      <c r="Z66" s="1768"/>
      <c r="AA66" s="1768"/>
      <c r="AB66" s="1768"/>
      <c r="AC66" s="1768"/>
    </row>
    <row r="67" spans="1:29" s="1132" customFormat="1" ht="15.75" thickBot="1">
      <c r="A67" s="629"/>
      <c r="B67" s="620"/>
      <c r="C67" s="634"/>
      <c r="D67" s="613"/>
      <c r="E67" s="613"/>
      <c r="F67" s="613"/>
      <c r="G67" s="634"/>
      <c r="H67" s="635"/>
      <c r="I67" s="635"/>
      <c r="J67" s="635"/>
      <c r="K67" s="635"/>
      <c r="L67" s="635"/>
      <c r="M67" s="636"/>
      <c r="N67" s="1766"/>
      <c r="O67" s="1766"/>
      <c r="P67" s="1766"/>
      <c r="Q67" s="1767"/>
      <c r="R67" s="1768"/>
      <c r="S67" s="1768"/>
      <c r="T67" s="1768"/>
      <c r="U67" s="1768"/>
      <c r="V67" s="1768"/>
      <c r="W67" s="1768"/>
      <c r="X67" s="1768"/>
      <c r="Y67" s="1768"/>
      <c r="Z67" s="1768"/>
      <c r="AA67" s="1768"/>
      <c r="AB67" s="1768"/>
      <c r="AC67" s="1768"/>
    </row>
    <row r="68" spans="1:29" s="1132" customFormat="1" ht="15.75" thickTop="1">
      <c r="A68" s="629"/>
      <c r="B68" s="623">
        <f>B14</f>
        <v>111</v>
      </c>
      <c r="C68" s="80"/>
      <c r="D68" s="80"/>
      <c r="E68" s="80"/>
      <c r="F68" s="80"/>
      <c r="G68" s="80"/>
      <c r="H68" s="637"/>
      <c r="I68" s="637"/>
      <c r="J68" s="637"/>
      <c r="K68" s="637"/>
      <c r="L68" s="638"/>
      <c r="M68" s="639"/>
      <c r="N68" s="1766"/>
      <c r="O68" s="1766"/>
      <c r="P68" s="1770"/>
      <c r="Q68" s="1767"/>
      <c r="R68" s="1768"/>
      <c r="S68" s="1768"/>
      <c r="T68" s="1768"/>
      <c r="U68" s="1768"/>
      <c r="V68" s="1768"/>
      <c r="W68" s="1768"/>
      <c r="X68" s="1768"/>
      <c r="Y68" s="1768"/>
      <c r="Z68" s="1768"/>
      <c r="AA68" s="1768"/>
      <c r="AB68" s="1768"/>
      <c r="AC68" s="1768"/>
    </row>
    <row r="69" spans="1:29" s="1132" customFormat="1" ht="15.75" thickBot="1">
      <c r="A69" s="640"/>
      <c r="B69" s="641"/>
      <c r="C69" s="642"/>
      <c r="D69" s="642"/>
      <c r="E69" s="642"/>
      <c r="F69" s="642"/>
      <c r="G69" s="642"/>
      <c r="H69" s="643"/>
      <c r="I69" s="643"/>
      <c r="J69" s="643"/>
      <c r="K69" s="643"/>
      <c r="L69" s="643"/>
      <c r="M69" s="644"/>
      <c r="N69" s="1766"/>
      <c r="O69" s="1766"/>
      <c r="P69" s="1766"/>
      <c r="Q69" s="1767"/>
      <c r="R69" s="1768"/>
      <c r="S69" s="1768"/>
      <c r="T69" s="1768"/>
      <c r="U69" s="1768"/>
      <c r="V69" s="1768"/>
      <c r="W69" s="1768"/>
      <c r="X69" s="1768"/>
      <c r="Y69" s="1768"/>
      <c r="Z69" s="1768"/>
      <c r="AA69" s="1768"/>
      <c r="AB69" s="1768"/>
      <c r="AC69" s="1768"/>
    </row>
    <row r="70" spans="1:29">
      <c r="A70" s="607" t="s">
        <v>488</v>
      </c>
      <c r="B70" s="608" t="s">
        <v>533</v>
      </c>
      <c r="C70" s="143" t="s">
        <v>527</v>
      </c>
      <c r="D70" s="143" t="s">
        <v>528</v>
      </c>
      <c r="E70" s="143" t="s">
        <v>529</v>
      </c>
      <c r="F70" s="143" t="s">
        <v>530</v>
      </c>
      <c r="G70" s="143" t="s">
        <v>531</v>
      </c>
      <c r="H70" s="645"/>
      <c r="I70" s="645"/>
      <c r="J70" s="645"/>
      <c r="K70" s="646"/>
      <c r="L70" s="647"/>
      <c r="M70" s="648"/>
      <c r="N70" s="1764"/>
      <c r="O70" s="1764"/>
      <c r="P70" s="1771"/>
      <c r="Q70" s="1760"/>
      <c r="R70" s="1739"/>
      <c r="S70" s="1739"/>
      <c r="T70" s="1739"/>
      <c r="U70" s="1739"/>
      <c r="V70" s="1739"/>
      <c r="W70" s="1739"/>
      <c r="X70" s="1739"/>
      <c r="Y70" s="1739"/>
      <c r="Z70" s="1739"/>
      <c r="AA70" s="1739"/>
      <c r="AB70" s="1739"/>
      <c r="AC70" s="1739"/>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5"/>
      <c r="O71" s="1765"/>
      <c r="P71" s="1763"/>
      <c r="Q71" s="1760"/>
      <c r="R71" s="1739"/>
      <c r="S71" s="1739"/>
      <c r="T71" s="1739"/>
      <c r="U71" s="1739"/>
      <c r="V71" s="1739"/>
      <c r="W71" s="1739"/>
      <c r="X71" s="1739"/>
      <c r="Y71" s="1739"/>
      <c r="Z71" s="1739"/>
      <c r="AA71" s="1739"/>
      <c r="AB71" s="1739"/>
      <c r="AC71" s="1739"/>
    </row>
    <row r="72" spans="1:29" ht="15.75" thickTop="1">
      <c r="A72" s="482"/>
      <c r="B72" s="615" t="s">
        <v>534</v>
      </c>
      <c r="C72" s="649" t="s">
        <v>527</v>
      </c>
      <c r="D72" s="649" t="s">
        <v>528</v>
      </c>
      <c r="E72" s="649" t="s">
        <v>529</v>
      </c>
      <c r="F72" s="649" t="s">
        <v>530</v>
      </c>
      <c r="G72" s="649" t="s">
        <v>531</v>
      </c>
      <c r="H72" s="616"/>
      <c r="I72" s="616"/>
      <c r="J72" s="616"/>
      <c r="K72" s="617"/>
      <c r="L72" s="618"/>
      <c r="M72" s="619"/>
      <c r="N72" s="1764"/>
      <c r="O72" s="1764"/>
      <c r="P72" s="1763"/>
      <c r="Q72" s="1760"/>
      <c r="R72" s="1739"/>
      <c r="S72" s="1739"/>
      <c r="T72" s="1739"/>
      <c r="U72" s="1739"/>
      <c r="V72" s="1739"/>
      <c r="W72" s="1739"/>
      <c r="X72" s="1739"/>
      <c r="Y72" s="1739"/>
      <c r="Z72" s="1739"/>
      <c r="AA72" s="1739"/>
      <c r="AB72" s="1739"/>
      <c r="AC72" s="1739"/>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5"/>
      <c r="O73" s="1765"/>
      <c r="P73" s="1763"/>
      <c r="Q73" s="1760"/>
      <c r="R73" s="1739"/>
      <c r="S73" s="1739"/>
      <c r="T73" s="1739"/>
      <c r="U73" s="1739"/>
      <c r="V73" s="1739"/>
      <c r="W73" s="1739"/>
      <c r="X73" s="1739"/>
      <c r="Y73" s="1739"/>
      <c r="Z73" s="1739"/>
      <c r="AA73" s="1739"/>
      <c r="AB73" s="1739"/>
      <c r="AC73" s="1739"/>
    </row>
    <row r="74" spans="1:29" ht="15.75" thickTop="1">
      <c r="A74" s="482"/>
      <c r="B74" s="1552" t="s">
        <v>1835</v>
      </c>
      <c r="C74" s="649" t="s">
        <v>527</v>
      </c>
      <c r="D74" s="649" t="s">
        <v>528</v>
      </c>
      <c r="E74" s="649" t="s">
        <v>529</v>
      </c>
      <c r="F74" s="649" t="s">
        <v>530</v>
      </c>
      <c r="G74" s="649" t="s">
        <v>531</v>
      </c>
      <c r="H74" s="616"/>
      <c r="I74" s="616"/>
      <c r="J74" s="616"/>
      <c r="K74" s="617"/>
      <c r="L74" s="618"/>
      <c r="M74" s="619"/>
      <c r="N74" s="1764"/>
      <c r="O74" s="1764"/>
      <c r="P74" s="1763"/>
      <c r="Q74" s="1760"/>
      <c r="R74" s="1739"/>
      <c r="S74" s="1739"/>
      <c r="T74" s="1739"/>
      <c r="U74" s="1739"/>
      <c r="V74" s="1739"/>
      <c r="W74" s="1739"/>
      <c r="X74" s="1739"/>
      <c r="Y74" s="1739"/>
      <c r="Z74" s="1739"/>
      <c r="AA74" s="1739"/>
      <c r="AB74" s="1739"/>
      <c r="AC74" s="1739"/>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5"/>
      <c r="O75" s="1765"/>
      <c r="P75" s="1763"/>
      <c r="Q75" s="1760"/>
      <c r="R75" s="1739"/>
      <c r="S75" s="1739"/>
      <c r="T75" s="1739"/>
      <c r="U75" s="1739"/>
      <c r="V75" s="1739"/>
      <c r="W75" s="1739"/>
      <c r="X75" s="1739"/>
      <c r="Y75" s="1739"/>
      <c r="Z75" s="1739"/>
      <c r="AA75" s="1739"/>
      <c r="AB75" s="1739"/>
      <c r="AC75" s="1739"/>
    </row>
    <row r="76" spans="1:29" ht="15.75" thickTop="1">
      <c r="A76" s="482"/>
      <c r="B76" s="2053" t="s">
        <v>1836</v>
      </c>
      <c r="C76" s="2054" t="s">
        <v>1837</v>
      </c>
      <c r="D76" s="2054" t="s">
        <v>1838</v>
      </c>
      <c r="E76" s="2054" t="s">
        <v>1839</v>
      </c>
      <c r="F76" s="2054" t="s">
        <v>1840</v>
      </c>
      <c r="G76" s="2054" t="s">
        <v>1841</v>
      </c>
      <c r="H76" s="855"/>
      <c r="I76" s="855"/>
      <c r="J76" s="855"/>
      <c r="K76" s="855"/>
      <c r="L76" s="855"/>
      <c r="M76" s="509"/>
      <c r="N76" s="1765"/>
      <c r="O76" s="1765"/>
      <c r="P76" s="1763"/>
      <c r="Q76" s="1760"/>
      <c r="R76" s="1739"/>
      <c r="S76" s="1739"/>
      <c r="T76" s="1739"/>
      <c r="U76" s="1739"/>
      <c r="V76" s="1739"/>
      <c r="W76" s="1739"/>
      <c r="X76" s="1739"/>
      <c r="Y76" s="1739"/>
      <c r="Z76" s="1739"/>
      <c r="AA76" s="1739"/>
      <c r="AB76" s="1739"/>
      <c r="AC76" s="1739"/>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75" thickTop="1">
      <c r="A78" s="482"/>
      <c r="B78" s="615" t="s">
        <v>724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s="1058" customFormat="1" ht="15.75" thickTop="1">
      <c r="A80" s="486"/>
      <c r="B80" s="615">
        <f>B25</f>
        <v>111</v>
      </c>
      <c r="C80" s="630"/>
      <c r="D80" s="630"/>
      <c r="E80" s="630"/>
      <c r="F80" s="630"/>
      <c r="G80" s="630"/>
      <c r="H80" s="630"/>
      <c r="I80" s="630"/>
      <c r="J80" s="630"/>
      <c r="K80" s="630"/>
      <c r="L80" s="814"/>
      <c r="M80" s="815"/>
      <c r="N80" s="1763"/>
      <c r="O80" s="1763"/>
      <c r="P80" s="1763"/>
      <c r="Q80" s="1760"/>
      <c r="R80" s="1637"/>
      <c r="S80" s="1637"/>
      <c r="T80" s="1637"/>
      <c r="U80" s="1637"/>
      <c r="V80" s="1637"/>
      <c r="W80" s="1637"/>
      <c r="X80" s="1637"/>
      <c r="Y80" s="1637"/>
      <c r="Z80" s="1637"/>
      <c r="AA80" s="1637"/>
      <c r="AB80" s="1637"/>
      <c r="AC80" s="1637"/>
    </row>
    <row r="81" spans="1:29" s="1058" customFormat="1" ht="15.75" thickBot="1">
      <c r="A81" s="486"/>
      <c r="B81" s="620"/>
      <c r="C81" s="634"/>
      <c r="D81" s="613"/>
      <c r="E81" s="613"/>
      <c r="F81" s="613"/>
      <c r="G81" s="613"/>
      <c r="H81" s="613"/>
      <c r="I81" s="613"/>
      <c r="J81" s="613"/>
      <c r="K81" s="613"/>
      <c r="L81" s="613"/>
      <c r="M81" s="614"/>
      <c r="N81" s="1765"/>
      <c r="O81" s="1765"/>
      <c r="P81" s="1763"/>
      <c r="Q81" s="1760"/>
      <c r="R81" s="1637"/>
      <c r="S81" s="1637"/>
      <c r="T81" s="1637"/>
      <c r="U81" s="1637"/>
      <c r="V81" s="1637"/>
      <c r="W81" s="1637"/>
      <c r="X81" s="1637"/>
      <c r="Y81" s="1637"/>
      <c r="Z81" s="1637"/>
      <c r="AA81" s="1637"/>
      <c r="AB81" s="1637"/>
      <c r="AC81" s="1637"/>
    </row>
    <row r="82" spans="1:29" s="1058" customFormat="1" ht="15.75" thickTop="1">
      <c r="A82" s="486"/>
      <c r="B82" s="615">
        <f>B26</f>
        <v>111</v>
      </c>
      <c r="C82" s="630"/>
      <c r="D82" s="630"/>
      <c r="E82" s="630"/>
      <c r="F82" s="630"/>
      <c r="G82" s="630"/>
      <c r="H82" s="630"/>
      <c r="I82" s="630"/>
      <c r="J82" s="630"/>
      <c r="K82" s="630"/>
      <c r="L82" s="814"/>
      <c r="M82" s="815"/>
      <c r="N82" s="1763"/>
      <c r="O82" s="1763"/>
      <c r="P82" s="1763"/>
      <c r="Q82" s="1760"/>
      <c r="R82" s="1637"/>
      <c r="S82" s="1637"/>
      <c r="T82" s="1637"/>
      <c r="U82" s="1637"/>
      <c r="V82" s="1637"/>
      <c r="W82" s="1637"/>
      <c r="X82" s="1637"/>
      <c r="Y82" s="1637"/>
      <c r="Z82" s="1637"/>
      <c r="AA82" s="1637"/>
      <c r="AB82" s="1637"/>
      <c r="AC82" s="1637"/>
    </row>
    <row r="83" spans="1:29" s="1058" customFormat="1" ht="15.75" thickBot="1">
      <c r="A83" s="486"/>
      <c r="B83" s="620"/>
      <c r="C83" s="634"/>
      <c r="D83" s="613"/>
      <c r="E83" s="613"/>
      <c r="F83" s="613"/>
      <c r="G83" s="613"/>
      <c r="H83" s="613"/>
      <c r="I83" s="613"/>
      <c r="J83" s="613"/>
      <c r="K83" s="613"/>
      <c r="L83" s="613"/>
      <c r="M83" s="614"/>
      <c r="N83" s="1765"/>
      <c r="O83" s="1765"/>
      <c r="P83" s="1763"/>
      <c r="Q83" s="1760"/>
      <c r="R83" s="1637"/>
      <c r="S83" s="1637"/>
      <c r="T83" s="1637"/>
      <c r="U83" s="1637"/>
      <c r="V83" s="1637"/>
      <c r="W83" s="1637"/>
      <c r="X83" s="1637"/>
      <c r="Y83" s="1637"/>
      <c r="Z83" s="1637"/>
      <c r="AA83" s="1637"/>
      <c r="AB83" s="1637"/>
      <c r="AC83" s="1637"/>
    </row>
    <row r="84" spans="1:29" s="1132" customFormat="1" ht="15.75" thickTop="1">
      <c r="A84" s="629"/>
      <c r="B84" s="615">
        <f>B27</f>
        <v>111</v>
      </c>
      <c r="C84" s="630"/>
      <c r="D84" s="630"/>
      <c r="E84" s="630"/>
      <c r="F84" s="630"/>
      <c r="G84" s="630"/>
      <c r="H84" s="630"/>
      <c r="I84" s="630"/>
      <c r="J84" s="630"/>
      <c r="K84" s="630"/>
      <c r="L84" s="814"/>
      <c r="M84" s="815"/>
      <c r="N84" s="1766"/>
      <c r="O84" s="1766"/>
      <c r="P84" s="1766"/>
      <c r="Q84" s="1767"/>
      <c r="R84" s="1768"/>
      <c r="S84" s="1768"/>
      <c r="T84" s="1768"/>
      <c r="U84" s="1768"/>
      <c r="V84" s="1768"/>
      <c r="W84" s="1768"/>
      <c r="X84" s="1768"/>
      <c r="Y84" s="1768"/>
      <c r="Z84" s="1768"/>
      <c r="AA84" s="1768"/>
      <c r="AB84" s="1768"/>
      <c r="AC84" s="1768"/>
    </row>
    <row r="85" spans="1:29" s="1132" customFormat="1" ht="15.75" thickBot="1">
      <c r="A85" s="629"/>
      <c r="B85" s="620"/>
      <c r="C85" s="634"/>
      <c r="D85" s="613"/>
      <c r="E85" s="613"/>
      <c r="F85" s="613"/>
      <c r="G85" s="613"/>
      <c r="H85" s="613"/>
      <c r="I85" s="613"/>
      <c r="J85" s="613"/>
      <c r="K85" s="613"/>
      <c r="L85" s="613"/>
      <c r="M85" s="614"/>
      <c r="N85" s="1766"/>
      <c r="O85" s="1766"/>
      <c r="P85" s="1766"/>
      <c r="Q85" s="1767"/>
      <c r="R85" s="1768"/>
      <c r="S85" s="1768"/>
      <c r="T85" s="1768"/>
      <c r="U85" s="1768"/>
      <c r="V85" s="1768"/>
      <c r="W85" s="1768"/>
      <c r="X85" s="1768"/>
      <c r="Y85" s="1768"/>
      <c r="Z85" s="1768"/>
      <c r="AA85" s="1768"/>
      <c r="AB85" s="1768"/>
      <c r="AC85" s="1768"/>
    </row>
    <row r="86" spans="1:29" ht="15.75" thickTop="1">
      <c r="A86" s="482"/>
      <c r="B86" s="623">
        <f>B28</f>
        <v>111</v>
      </c>
      <c r="C86" s="80"/>
      <c r="D86" s="80"/>
      <c r="E86" s="80"/>
      <c r="F86" s="80"/>
      <c r="G86" s="662"/>
      <c r="H86" s="662"/>
      <c r="I86" s="662"/>
      <c r="J86" s="662"/>
      <c r="K86" s="663"/>
      <c r="L86" s="664"/>
      <c r="M86" s="665"/>
      <c r="N86" s="1764"/>
      <c r="O86" s="1764"/>
      <c r="P86" s="1763"/>
      <c r="Q86" s="1760"/>
      <c r="R86" s="1739"/>
      <c r="S86" s="1739"/>
      <c r="T86" s="1739"/>
      <c r="U86" s="1739"/>
      <c r="V86" s="1739"/>
      <c r="W86" s="1739"/>
      <c r="X86" s="1739"/>
      <c r="Y86" s="1739"/>
      <c r="Z86" s="1739"/>
      <c r="AA86" s="1739"/>
      <c r="AB86" s="1739"/>
      <c r="AC86" s="1739"/>
    </row>
    <row r="87" spans="1:29" ht="15.75" thickBot="1">
      <c r="A87" s="493"/>
      <c r="B87" s="641"/>
      <c r="C87" s="642"/>
      <c r="D87" s="642"/>
      <c r="E87" s="642"/>
      <c r="F87" s="642"/>
      <c r="G87" s="666"/>
      <c r="H87" s="666"/>
      <c r="I87" s="666"/>
      <c r="J87" s="666"/>
      <c r="K87" s="666"/>
      <c r="L87" s="666"/>
      <c r="M87" s="667"/>
      <c r="N87" s="1765"/>
      <c r="O87" s="1765"/>
      <c r="P87" s="1763"/>
      <c r="Q87" s="1760"/>
      <c r="R87" s="1739"/>
      <c r="S87" s="1739"/>
      <c r="T87" s="1739"/>
      <c r="U87" s="1739"/>
      <c r="V87" s="1739"/>
      <c r="W87" s="1739"/>
      <c r="X87" s="1739"/>
      <c r="Y87" s="1739"/>
      <c r="Z87" s="1739"/>
      <c r="AA87" s="1739"/>
      <c r="AB87" s="1739"/>
      <c r="AC87" s="1739"/>
    </row>
    <row r="88" spans="1:29">
      <c r="A88" s="607" t="s">
        <v>500</v>
      </c>
      <c r="B88" s="608" t="s">
        <v>687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5"/>
      <c r="O89" s="1765"/>
      <c r="P89" s="1763"/>
      <c r="Q89" s="1760"/>
      <c r="R89" s="1739"/>
      <c r="S89" s="1739"/>
      <c r="T89" s="1739"/>
      <c r="U89" s="1739"/>
      <c r="V89" s="1739"/>
      <c r="W89" s="1739"/>
      <c r="X89" s="1739"/>
      <c r="Y89" s="1739"/>
      <c r="Z89" s="1739"/>
      <c r="AA89" s="1739"/>
      <c r="AB89" s="1739"/>
      <c r="AC89" s="1739"/>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3"/>
      <c r="O90" s="1763"/>
      <c r="P90" s="1763"/>
      <c r="Q90" s="1760"/>
      <c r="R90" s="1739"/>
      <c r="S90" s="1739"/>
      <c r="T90" s="1739"/>
      <c r="U90" s="1739"/>
      <c r="V90" s="1739"/>
      <c r="W90" s="1739"/>
      <c r="X90" s="1739"/>
      <c r="Y90" s="1739"/>
      <c r="Z90" s="1739"/>
      <c r="AA90" s="1739"/>
      <c r="AB90" s="1739"/>
      <c r="AC90" s="1739"/>
    </row>
    <row r="91" spans="1:29" s="1132" customFormat="1">
      <c r="A91" s="552"/>
      <c r="B91" s="668"/>
      <c r="C91" s="79"/>
      <c r="D91" s="79"/>
      <c r="E91" s="79"/>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5.75" thickBot="1">
      <c r="A92" s="629"/>
      <c r="B92" s="620"/>
      <c r="C92" s="634"/>
      <c r="D92" s="613"/>
      <c r="E92" s="613"/>
      <c r="F92" s="613"/>
      <c r="G92" s="613"/>
      <c r="H92" s="613"/>
      <c r="I92" s="613"/>
      <c r="J92" s="613"/>
      <c r="K92" s="613"/>
      <c r="L92" s="613"/>
      <c r="M92" s="614"/>
      <c r="N92" s="1765"/>
      <c r="O92" s="1765"/>
      <c r="P92" s="1766"/>
      <c r="Q92" s="1767"/>
      <c r="R92" s="1768"/>
      <c r="S92" s="1768"/>
      <c r="T92" s="1768"/>
      <c r="U92" s="1768"/>
      <c r="V92" s="1768"/>
      <c r="W92" s="1768"/>
      <c r="X92" s="1768"/>
      <c r="Y92" s="1768"/>
      <c r="Z92" s="1768"/>
      <c r="AA92" s="1768"/>
      <c r="AB92" s="1768"/>
      <c r="AC92" s="1768"/>
    </row>
    <row r="93" spans="1:29" ht="15" thickTop="1">
      <c r="A93" s="543"/>
      <c r="B93" s="615" t="s">
        <v>689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691</v>
      </c>
      <c r="C95" s="630"/>
      <c r="D95" s="630"/>
      <c r="E95" s="630"/>
      <c r="F95" s="658"/>
      <c r="G95" s="658"/>
      <c r="H95" s="658"/>
      <c r="I95" s="658"/>
      <c r="J95" s="658"/>
      <c r="K95" s="659"/>
      <c r="L95" s="660"/>
      <c r="M95" s="661"/>
      <c r="N95" s="1764"/>
      <c r="O95" s="1764"/>
      <c r="P95" s="1763"/>
      <c r="Q95" s="1760"/>
      <c r="R95" s="1739"/>
      <c r="S95" s="1739"/>
      <c r="T95" s="1739"/>
      <c r="U95" s="1739"/>
      <c r="V95" s="1739"/>
      <c r="W95" s="1739"/>
      <c r="X95" s="1739"/>
      <c r="Y95" s="1739"/>
      <c r="Z95" s="1739"/>
      <c r="AA95" s="1739"/>
      <c r="AB95" s="1739"/>
      <c r="AC95" s="1739"/>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4"/>
      <c r="O97" s="1764"/>
      <c r="P97" s="1763"/>
      <c r="Q97" s="1760"/>
      <c r="R97" s="1739"/>
      <c r="S97" s="1739"/>
      <c r="T97" s="1739"/>
      <c r="U97" s="1739"/>
      <c r="V97" s="1739"/>
      <c r="W97" s="1739"/>
      <c r="X97" s="1739"/>
      <c r="Y97" s="1739"/>
      <c r="Z97" s="1739"/>
      <c r="AA97" s="1739"/>
      <c r="AB97" s="1739"/>
      <c r="AC97" s="1739"/>
    </row>
    <row r="98" spans="1:29">
      <c r="A98" s="543"/>
      <c r="B98" s="623"/>
      <c r="C98" s="817">
        <v>0.5</v>
      </c>
      <c r="D98" s="817">
        <v>0.6</v>
      </c>
      <c r="E98" s="817">
        <v>0.7</v>
      </c>
      <c r="F98" s="817">
        <v>0.8</v>
      </c>
      <c r="G98" s="817">
        <v>0.9</v>
      </c>
      <c r="H98" s="817">
        <v>1.0001</v>
      </c>
      <c r="I98" s="827"/>
      <c r="J98" s="827"/>
      <c r="K98" s="828"/>
      <c r="L98" s="829"/>
      <c r="M98" s="830"/>
      <c r="N98" s="1764"/>
      <c r="O98" s="1764"/>
      <c r="P98" s="1763"/>
      <c r="Q98" s="1760"/>
      <c r="R98" s="1739"/>
      <c r="S98" s="1739"/>
      <c r="T98" s="1739"/>
      <c r="U98" s="1739"/>
      <c r="V98" s="1739"/>
      <c r="W98" s="1739"/>
      <c r="X98" s="1739"/>
      <c r="Y98" s="1739"/>
      <c r="Z98" s="1739"/>
      <c r="AA98" s="1739"/>
      <c r="AB98" s="1739"/>
      <c r="AC98" s="1739"/>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5"/>
      <c r="O99" s="1765"/>
      <c r="P99" s="1763"/>
      <c r="Q99" s="1760"/>
      <c r="R99" s="1739"/>
      <c r="S99" s="1739"/>
      <c r="T99" s="1739"/>
      <c r="U99" s="1739"/>
      <c r="V99" s="1739"/>
      <c r="W99" s="1739"/>
      <c r="X99" s="1739"/>
      <c r="Y99" s="1739"/>
      <c r="Z99" s="1739"/>
      <c r="AA99" s="1739"/>
      <c r="AB99" s="1739"/>
      <c r="AC99" s="1739"/>
    </row>
    <row r="100" spans="1:29" s="1132" customFormat="1" ht="15" thickTop="1">
      <c r="A100" s="552"/>
      <c r="B100" s="615" t="s">
        <v>693</v>
      </c>
      <c r="C100" s="630"/>
      <c r="D100" s="630"/>
      <c r="E100" s="630"/>
      <c r="F100" s="630"/>
      <c r="G100" s="630"/>
      <c r="H100" s="658"/>
      <c r="I100" s="658"/>
      <c r="J100" s="658"/>
      <c r="K100" s="659"/>
      <c r="L100" s="660"/>
      <c r="M100" s="661"/>
      <c r="N100" s="1766"/>
      <c r="O100" s="1766"/>
      <c r="P100" s="1766"/>
      <c r="Q100" s="1767"/>
      <c r="R100" s="1768"/>
      <c r="S100" s="1768"/>
      <c r="T100" s="1768"/>
      <c r="U100" s="1768"/>
      <c r="V100" s="1768"/>
      <c r="W100" s="1768"/>
      <c r="X100" s="1768"/>
      <c r="Y100" s="1768"/>
      <c r="Z100" s="1768"/>
      <c r="AA100" s="1768"/>
      <c r="AB100" s="1768"/>
      <c r="AC100" s="1768"/>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3"/>
      <c r="B102" s="1552" t="s">
        <v>1834</v>
      </c>
      <c r="C102" s="630"/>
      <c r="D102" s="630"/>
      <c r="E102" s="630"/>
      <c r="F102" s="630"/>
      <c r="G102" s="630"/>
      <c r="H102" s="658"/>
      <c r="I102" s="658"/>
      <c r="J102" s="658"/>
      <c r="K102" s="659"/>
      <c r="L102" s="660"/>
      <c r="M102" s="661"/>
      <c r="N102" s="1764"/>
      <c r="O102" s="1764"/>
      <c r="P102" s="1763"/>
      <c r="Q102" s="1760"/>
      <c r="R102" s="1739"/>
      <c r="S102" s="1739"/>
      <c r="T102" s="1739"/>
      <c r="U102" s="1739"/>
      <c r="V102" s="1739"/>
      <c r="W102" s="1739"/>
      <c r="X102" s="1739"/>
      <c r="Y102" s="1739"/>
      <c r="Z102" s="1739"/>
      <c r="AA102" s="1739"/>
      <c r="AB102" s="1739"/>
      <c r="AC102" s="1739"/>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3"/>
      <c r="B104" s="615" t="s">
        <v>695</v>
      </c>
      <c r="C104" s="630"/>
      <c r="D104" s="630"/>
      <c r="E104" s="630"/>
      <c r="F104" s="630"/>
      <c r="G104" s="630"/>
      <c r="H104" s="658"/>
      <c r="I104" s="658"/>
      <c r="J104" s="658"/>
      <c r="K104" s="659"/>
      <c r="L104" s="660"/>
      <c r="M104" s="661"/>
      <c r="N104" s="1764"/>
      <c r="O104" s="1764"/>
      <c r="P104" s="1763"/>
      <c r="Q104" s="1760"/>
      <c r="R104" s="1739"/>
      <c r="S104" s="1739"/>
      <c r="T104" s="1739"/>
      <c r="U104" s="1739"/>
      <c r="V104" s="1739"/>
      <c r="W104" s="1739"/>
      <c r="X104" s="1739"/>
      <c r="Y104" s="1739"/>
      <c r="Z104" s="1739"/>
      <c r="AA104" s="1739"/>
      <c r="AB104" s="1739"/>
      <c r="AC104" s="1739"/>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5"/>
      <c r="O105" s="1765"/>
      <c r="P105" s="1763"/>
      <c r="Q105" s="1760"/>
      <c r="R105" s="1739"/>
      <c r="S105" s="1739"/>
      <c r="T105" s="1739"/>
      <c r="U105" s="1739"/>
      <c r="V105" s="1739"/>
      <c r="W105" s="1739"/>
      <c r="X105" s="1739"/>
      <c r="Y105" s="1739"/>
      <c r="Z105" s="1739"/>
      <c r="AA105" s="1739"/>
      <c r="AB105" s="1739"/>
      <c r="AC105" s="1739"/>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5"/>
      <c r="O106" s="1765"/>
      <c r="P106" s="1765"/>
      <c r="Q106" s="1800"/>
      <c r="R106" s="1739"/>
      <c r="S106" s="1739"/>
      <c r="T106" s="1739"/>
      <c r="U106" s="1739"/>
      <c r="V106" s="1739"/>
      <c r="W106" s="1739"/>
      <c r="X106" s="1739"/>
      <c r="Y106" s="1739"/>
      <c r="Z106" s="1739"/>
      <c r="AA106" s="1739"/>
      <c r="AB106" s="1739"/>
      <c r="AC106" s="1739"/>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5"/>
      <c r="O107" s="1765"/>
      <c r="P107" s="1763"/>
      <c r="Q107" s="1760"/>
      <c r="R107" s="1739"/>
      <c r="S107" s="1739"/>
      <c r="T107" s="1739"/>
      <c r="U107" s="1739"/>
      <c r="V107" s="1739"/>
      <c r="W107" s="1739"/>
      <c r="X107" s="1739"/>
      <c r="Y107" s="1739"/>
      <c r="Z107" s="1739"/>
      <c r="AA107" s="1739"/>
      <c r="AB107" s="1739"/>
      <c r="AC107" s="1739"/>
    </row>
    <row r="108" spans="1:29" s="1132" customFormat="1" ht="15" thickTop="1">
      <c r="A108" s="552"/>
      <c r="B108" s="615">
        <f>B38</f>
        <v>111</v>
      </c>
      <c r="C108" s="630"/>
      <c r="D108" s="630"/>
      <c r="E108" s="630"/>
      <c r="F108" s="630"/>
      <c r="G108" s="630"/>
      <c r="H108" s="631"/>
      <c r="I108" s="631"/>
      <c r="J108" s="631"/>
      <c r="K108" s="631"/>
      <c r="L108" s="632"/>
      <c r="M108" s="633"/>
      <c r="N108" s="1766"/>
      <c r="O108" s="1766"/>
      <c r="P108" s="1766"/>
      <c r="Q108" s="1767"/>
      <c r="R108" s="1768"/>
      <c r="S108" s="1768"/>
      <c r="T108" s="1768"/>
      <c r="U108" s="1768"/>
      <c r="V108" s="1768"/>
      <c r="W108" s="1768"/>
      <c r="X108" s="1768"/>
      <c r="Y108" s="1768"/>
      <c r="Z108" s="1768"/>
      <c r="AA108" s="1768"/>
      <c r="AB108" s="1768"/>
      <c r="AC108" s="1768"/>
    </row>
    <row r="109" spans="1:29" s="1132" customFormat="1" ht="15.75" thickBot="1">
      <c r="A109" s="629"/>
      <c r="B109" s="612"/>
      <c r="C109" s="634"/>
      <c r="D109" s="613"/>
      <c r="E109" s="613"/>
      <c r="F109" s="613"/>
      <c r="G109" s="634"/>
      <c r="H109" s="635"/>
      <c r="I109" s="635"/>
      <c r="J109" s="635"/>
      <c r="K109" s="635"/>
      <c r="L109" s="635"/>
      <c r="M109" s="636"/>
      <c r="N109" s="1766"/>
      <c r="O109" s="1766"/>
      <c r="P109" s="1766"/>
      <c r="Q109" s="1767"/>
      <c r="R109" s="1768"/>
      <c r="S109" s="1768"/>
      <c r="T109" s="1768"/>
      <c r="U109" s="1768"/>
      <c r="V109" s="1768"/>
      <c r="W109" s="1768"/>
      <c r="X109" s="1768"/>
      <c r="Y109" s="1768"/>
      <c r="Z109" s="1768"/>
      <c r="AA109" s="1768"/>
      <c r="AB109" s="1768"/>
      <c r="AC109" s="1768"/>
    </row>
    <row r="110" spans="1:29" ht="15" thickTop="1">
      <c r="A110" s="543"/>
      <c r="B110" s="615">
        <f>B39</f>
        <v>111</v>
      </c>
      <c r="C110" s="630"/>
      <c r="D110" s="630"/>
      <c r="E110" s="630"/>
      <c r="F110" s="630"/>
      <c r="G110" s="630"/>
      <c r="H110" s="631"/>
      <c r="I110" s="631"/>
      <c r="J110" s="631"/>
      <c r="K110" s="631"/>
      <c r="L110" s="632"/>
      <c r="M110" s="633"/>
      <c r="N110" s="1764"/>
      <c r="O110" s="1764"/>
      <c r="P110" s="1763"/>
      <c r="Q110" s="1760"/>
      <c r="R110" s="1739"/>
      <c r="S110" s="1739"/>
      <c r="T110" s="1739"/>
      <c r="U110" s="1739"/>
      <c r="V110" s="1739"/>
      <c r="W110" s="1739"/>
      <c r="X110" s="1739"/>
      <c r="Y110" s="1739"/>
      <c r="Z110" s="1739"/>
      <c r="AA110" s="1739"/>
      <c r="AB110" s="1739"/>
      <c r="AC110" s="1739"/>
    </row>
    <row r="111" spans="1:29" ht="15.75" thickBot="1">
      <c r="A111" s="482"/>
      <c r="B111" s="620"/>
      <c r="C111" s="634"/>
      <c r="D111" s="613"/>
      <c r="E111" s="613"/>
      <c r="F111" s="613"/>
      <c r="G111" s="634"/>
      <c r="H111" s="635"/>
      <c r="I111" s="635"/>
      <c r="J111" s="635"/>
      <c r="K111" s="635"/>
      <c r="L111" s="635"/>
      <c r="M111" s="636"/>
      <c r="N111" s="1765"/>
      <c r="O111" s="1765"/>
      <c r="P111" s="1763"/>
      <c r="Q111" s="1760"/>
      <c r="R111" s="1739"/>
      <c r="S111" s="1739"/>
      <c r="T111" s="1739"/>
      <c r="U111" s="1739"/>
      <c r="V111" s="1739"/>
      <c r="W111" s="1739"/>
      <c r="X111" s="1739"/>
      <c r="Y111" s="1739"/>
      <c r="Z111" s="1739"/>
      <c r="AA111" s="1739"/>
      <c r="AB111" s="1739"/>
      <c r="AC111" s="1739"/>
    </row>
    <row r="112" spans="1:29" ht="15" thickTop="1">
      <c r="A112" s="543"/>
      <c r="B112" s="623">
        <f>B40</f>
        <v>111</v>
      </c>
      <c r="C112" s="80"/>
      <c r="D112" s="80"/>
      <c r="E112" s="80"/>
      <c r="F112" s="80"/>
      <c r="G112" s="662"/>
      <c r="H112" s="662"/>
      <c r="I112" s="662"/>
      <c r="J112" s="662"/>
      <c r="K112" s="80"/>
      <c r="L112" s="605"/>
      <c r="M112" s="665"/>
      <c r="N112" s="1764"/>
      <c r="O112" s="1764"/>
      <c r="P112" s="1763"/>
      <c r="Q112" s="1760"/>
      <c r="R112" s="1739"/>
      <c r="S112" s="1739"/>
      <c r="T112" s="1739"/>
      <c r="U112" s="1739"/>
      <c r="V112" s="1739"/>
      <c r="W112" s="1739"/>
      <c r="X112" s="1739"/>
      <c r="Y112" s="1739"/>
      <c r="Z112" s="1739"/>
      <c r="AA112" s="1739"/>
      <c r="AB112" s="1739"/>
      <c r="AC112" s="1739"/>
    </row>
    <row r="113" spans="1:29" ht="15.75" thickBot="1">
      <c r="A113" s="493"/>
      <c r="B113" s="641"/>
      <c r="C113" s="642"/>
      <c r="D113" s="642"/>
      <c r="E113" s="642"/>
      <c r="F113" s="642"/>
      <c r="G113" s="666"/>
      <c r="H113" s="666"/>
      <c r="I113" s="666"/>
      <c r="J113" s="666"/>
      <c r="K113" s="666"/>
      <c r="L113" s="666"/>
      <c r="M113" s="667"/>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31" sqref="C31"/>
    </sheetView>
  </sheetViews>
  <sheetFormatPr defaultColWidth="9" defaultRowHeight="14.25"/>
  <cols>
    <col min="1" max="1" width="10.5" style="1130" customWidth="1"/>
    <col min="2" max="2" width="15.75" style="1130" customWidth="1"/>
    <col min="3" max="3" width="16.375" style="1130" customWidth="1"/>
    <col min="4" max="4" width="12.25" style="1130" customWidth="1"/>
    <col min="5" max="5" width="16" style="1130" customWidth="1"/>
    <col min="6" max="6" width="12.25" style="1130" customWidth="1"/>
    <col min="7" max="7" width="17.125" style="1130" customWidth="1"/>
    <col min="8" max="8" width="12.25" style="1130" customWidth="1"/>
    <col min="9" max="9" width="17.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844" t="s">
        <v>2721</v>
      </c>
      <c r="C1" s="455" t="s">
        <v>732</v>
      </c>
      <c r="D1" s="783" t="s">
        <v>3325</v>
      </c>
      <c r="E1" s="457"/>
      <c r="F1" s="2115" t="s">
        <v>3700</v>
      </c>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f>IF(B37="元/平方米",ROUND(B3*D3/10000,0),ROUND(F3*C39/10000,0))</f>
        <v>21570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f>IF(B37="元/平方米",C39,ROUND(B2*10000/D3,0))</f>
        <v>11945</v>
      </c>
      <c r="C3" s="786" t="s">
        <v>736</v>
      </c>
      <c r="D3" s="785">
        <f>SUMIF('数据-汇总表'!$C19:$C33,D1,'数据-汇总表'!$E19:$E33)</f>
        <v>18058.14</v>
      </c>
      <c r="E3" s="1534" t="s">
        <v>1591</v>
      </c>
      <c r="F3" s="785">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3" t="s">
        <v>737</v>
      </c>
      <c r="B4" s="464"/>
      <c r="C4" s="3708" t="s">
        <v>738</v>
      </c>
      <c r="D4" s="3709"/>
      <c r="E4" s="3708" t="s">
        <v>739</v>
      </c>
      <c r="F4" s="3709"/>
      <c r="G4" s="3708" t="s">
        <v>740</v>
      </c>
      <c r="H4" s="3709"/>
      <c r="I4" s="3708" t="s">
        <v>741</v>
      </c>
      <c r="J4" s="3709"/>
      <c r="K4" s="465" t="s">
        <v>742</v>
      </c>
      <c r="L4" s="1738"/>
      <c r="M4" s="1739"/>
      <c r="N4" s="1739"/>
      <c r="O4" s="1739"/>
      <c r="P4" s="3710" t="s">
        <v>743</v>
      </c>
      <c r="Q4" s="3711"/>
      <c r="R4" s="3694" t="s">
        <v>739</v>
      </c>
      <c r="S4" s="3695"/>
      <c r="T4" s="3694" t="s">
        <v>740</v>
      </c>
      <c r="U4" s="3695"/>
      <c r="V4" s="3716" t="s">
        <v>741</v>
      </c>
      <c r="W4" s="3716"/>
      <c r="X4" s="1300"/>
      <c r="Y4" s="3694" t="s">
        <v>743</v>
      </c>
      <c r="Z4" s="3695"/>
      <c r="AA4" s="3689" t="s">
        <v>739</v>
      </c>
      <c r="AB4" s="3690" t="s">
        <v>740</v>
      </c>
      <c r="AC4" s="3689" t="s">
        <v>741</v>
      </c>
    </row>
    <row r="5" spans="1:29" ht="13.9" customHeight="1">
      <c r="A5" s="466"/>
      <c r="B5" s="467"/>
      <c r="C5" s="3719" t="s">
        <v>2174</v>
      </c>
      <c r="D5" s="3720"/>
      <c r="E5" s="3798" t="s">
        <v>3675</v>
      </c>
      <c r="F5" s="3737"/>
      <c r="G5" s="3799" t="s">
        <v>3698</v>
      </c>
      <c r="H5" s="3720"/>
      <c r="I5" s="3799" t="s">
        <v>3709</v>
      </c>
      <c r="J5" s="3720"/>
      <c r="K5" s="465"/>
      <c r="L5" s="1738"/>
      <c r="M5" s="1739"/>
      <c r="N5" s="1739"/>
      <c r="O5" s="1739"/>
      <c r="P5" s="3712"/>
      <c r="Q5" s="3713"/>
      <c r="R5" s="3696"/>
      <c r="S5" s="3697"/>
      <c r="T5" s="3696"/>
      <c r="U5" s="3697"/>
      <c r="V5" s="3716"/>
      <c r="W5" s="3716"/>
      <c r="X5" s="1300"/>
      <c r="Y5" s="3696"/>
      <c r="Z5" s="3697"/>
      <c r="AA5" s="3690"/>
      <c r="AB5" s="3690"/>
      <c r="AC5" s="3690"/>
    </row>
    <row r="6" spans="1:29" ht="15.75" thickBot="1">
      <c r="A6" s="468"/>
      <c r="B6" s="469"/>
      <c r="C6" s="3717" t="s">
        <v>2178</v>
      </c>
      <c r="D6" s="3718"/>
      <c r="E6" s="3721" t="s">
        <v>2178</v>
      </c>
      <c r="F6" s="3722"/>
      <c r="G6" s="3717" t="s">
        <v>2178</v>
      </c>
      <c r="H6" s="3718"/>
      <c r="I6" s="3717" t="s">
        <v>2178</v>
      </c>
      <c r="J6" s="3718"/>
      <c r="K6" s="465" t="s">
        <v>477</v>
      </c>
      <c r="L6" s="1738"/>
      <c r="M6" s="1739"/>
      <c r="N6" s="1739"/>
      <c r="O6" s="1739"/>
      <c r="P6" s="3714"/>
      <c r="Q6" s="3715"/>
      <c r="R6" s="3696"/>
      <c r="S6" s="3697"/>
      <c r="T6" s="3698"/>
      <c r="U6" s="3699"/>
      <c r="V6" s="3716"/>
      <c r="W6" s="3716"/>
      <c r="X6" s="1300"/>
      <c r="Y6" s="3698"/>
      <c r="Z6" s="3699"/>
      <c r="AA6" s="3691"/>
      <c r="AB6" s="3691"/>
      <c r="AC6" s="3691"/>
    </row>
    <row r="7" spans="1:29" s="1058" customFormat="1" ht="15.75" thickBot="1">
      <c r="A7" s="2206"/>
      <c r="B7" s="2213" t="s">
        <v>478</v>
      </c>
      <c r="C7" s="470">
        <f>'数据-取费表'!B2</f>
        <v>45789</v>
      </c>
      <c r="D7" s="471">
        <v>100</v>
      </c>
      <c r="E7" s="472">
        <f>C7</f>
        <v>45789</v>
      </c>
      <c r="F7" s="473">
        <f>SUMIF(48:48,YEAR(E7)&amp;"-"&amp;MONTH(E7),49:49)</f>
        <v>100</v>
      </c>
      <c r="G7" s="474">
        <f>E7</f>
        <v>45789</v>
      </c>
      <c r="H7" s="471">
        <f>SUMIF(48:48,YEAR(G7)&amp;"-"&amp;MONTH(G7),49:49)</f>
        <v>100</v>
      </c>
      <c r="I7" s="474">
        <v>45658</v>
      </c>
      <c r="J7" s="471">
        <f>SUMIF(48:48,YEAR(I7)&amp;"-"&amp;MONTH(I7),49:49)</f>
        <v>100</v>
      </c>
      <c r="K7" s="88"/>
      <c r="L7" s="1740"/>
      <c r="M7" s="1637"/>
      <c r="N7" s="1637"/>
      <c r="O7" s="1637"/>
      <c r="P7" s="3692" t="s">
        <v>479</v>
      </c>
      <c r="Q7" s="3701"/>
      <c r="R7" s="1301" t="s">
        <v>5</v>
      </c>
      <c r="S7" s="1302">
        <f t="shared" ref="S7:S14" si="0">F7</f>
        <v>100</v>
      </c>
      <c r="T7" s="1301" t="s">
        <v>5</v>
      </c>
      <c r="U7" s="1302">
        <f t="shared" ref="U7:U14" si="1">H7</f>
        <v>100</v>
      </c>
      <c r="V7" s="1301" t="s">
        <v>5</v>
      </c>
      <c r="W7" s="1302">
        <f t="shared" ref="W7:W14" si="2">J7</f>
        <v>100</v>
      </c>
      <c r="X7" s="1303"/>
      <c r="Y7" s="3692" t="s">
        <v>479</v>
      </c>
      <c r="Z7" s="3693"/>
      <c r="AA7" s="995">
        <f>D7/F7</f>
        <v>1</v>
      </c>
      <c r="AB7" s="995">
        <f>D7/H7</f>
        <v>1</v>
      </c>
      <c r="AC7" s="995">
        <f>D7/J7</f>
        <v>1</v>
      </c>
    </row>
    <row r="8" spans="1:29" s="1058" customFormat="1" ht="15.75" thickBot="1">
      <c r="A8" s="2207"/>
      <c r="B8" s="2214" t="s">
        <v>480</v>
      </c>
      <c r="C8" s="475" t="s">
        <v>524</v>
      </c>
      <c r="D8" s="471">
        <v>100</v>
      </c>
      <c r="E8" s="475" t="s">
        <v>3417</v>
      </c>
      <c r="F8" s="473">
        <f>SUMIF(51:51,E8,52:52)-SUMIF(51:51,C8,52:52)+100</f>
        <v>100</v>
      </c>
      <c r="G8" s="475" t="s">
        <v>3417</v>
      </c>
      <c r="H8" s="471">
        <f>SUMIF(51:51,G8,52:52)-SUMIF(51:51,C8,52:52)+100</f>
        <v>100</v>
      </c>
      <c r="I8" s="475" t="s">
        <v>3417</v>
      </c>
      <c r="J8" s="471">
        <f>SUMIF(51:51,I8,52:52)-SUMIF(51:51,C8,52:52)+100</f>
        <v>100</v>
      </c>
      <c r="K8" s="88"/>
      <c r="L8" s="1740"/>
      <c r="M8" s="1637"/>
      <c r="N8" s="1637"/>
      <c r="O8" s="1637"/>
      <c r="P8" s="3692" t="s">
        <v>482</v>
      </c>
      <c r="Q8" s="3693"/>
      <c r="R8" s="1301" t="s">
        <v>5</v>
      </c>
      <c r="S8" s="1302">
        <f t="shared" si="0"/>
        <v>100</v>
      </c>
      <c r="T8" s="1301" t="s">
        <v>5</v>
      </c>
      <c r="U8" s="1302">
        <f t="shared" si="1"/>
        <v>100</v>
      </c>
      <c r="V8" s="1301" t="s">
        <v>5</v>
      </c>
      <c r="W8" s="1302">
        <f t="shared" si="2"/>
        <v>100</v>
      </c>
      <c r="X8" s="1303"/>
      <c r="Y8" s="3692" t="s">
        <v>482</v>
      </c>
      <c r="Z8" s="3693"/>
      <c r="AA8" s="995">
        <f t="shared" ref="AA8:AA36" si="3">D8/F8</f>
        <v>1</v>
      </c>
      <c r="AB8" s="995">
        <f t="shared" ref="AB8:AB36" si="4">D8/H8</f>
        <v>1</v>
      </c>
      <c r="AC8" s="995">
        <f t="shared" ref="AC8:AC36" si="5">D8/J8</f>
        <v>1</v>
      </c>
    </row>
    <row r="9" spans="1:29" s="1058" customFormat="1" ht="15">
      <c r="A9" s="2208"/>
      <c r="B9" s="2215" t="s">
        <v>2033</v>
      </c>
      <c r="C9" s="3503" t="s">
        <v>3702</v>
      </c>
      <c r="D9" s="154">
        <v>100</v>
      </c>
      <c r="E9" s="793" t="s">
        <v>2721</v>
      </c>
      <c r="F9" s="154">
        <f>SUMIF(53:53,E9,54:54)-SUMIF(53:53,C9,54:54)+100</f>
        <v>100</v>
      </c>
      <c r="G9" s="793" t="s">
        <v>2721</v>
      </c>
      <c r="H9" s="154">
        <f>SUMIF(53:53,G9,54:54)-SUMIF(53:53,C9,54:54)+100</f>
        <v>100</v>
      </c>
      <c r="I9" s="793" t="s">
        <v>2721</v>
      </c>
      <c r="J9" s="154">
        <f>SUMIF(53:53,I9,54:54)-SUMIF(53:53,C9,54:54)+100</f>
        <v>100</v>
      </c>
      <c r="K9" s="88"/>
      <c r="L9" s="1740"/>
      <c r="M9" s="1637"/>
      <c r="N9" s="1637"/>
      <c r="O9" s="1741"/>
      <c r="P9" s="3700" t="s">
        <v>484</v>
      </c>
      <c r="Q9" s="817" t="str">
        <f t="shared" ref="Q9:Q14" si="6">B9</f>
        <v>用途</v>
      </c>
      <c r="R9" s="1301" t="s">
        <v>5</v>
      </c>
      <c r="S9" s="1302">
        <f t="shared" si="0"/>
        <v>100</v>
      </c>
      <c r="T9" s="1301" t="s">
        <v>5</v>
      </c>
      <c r="U9" s="1302">
        <f t="shared" si="1"/>
        <v>100</v>
      </c>
      <c r="V9" s="1301" t="s">
        <v>5</v>
      </c>
      <c r="W9" s="1302">
        <f t="shared" si="2"/>
        <v>100</v>
      </c>
      <c r="X9" s="1303"/>
      <c r="Y9" s="3652" t="s">
        <v>485</v>
      </c>
      <c r="Z9" s="995" t="str">
        <f t="shared" ref="Z9:Z14" si="7">Q9</f>
        <v>用途</v>
      </c>
      <c r="AA9" s="995">
        <f t="shared" si="3"/>
        <v>1</v>
      </c>
      <c r="AB9" s="995">
        <f t="shared" si="4"/>
        <v>1</v>
      </c>
      <c r="AC9" s="995">
        <f t="shared" si="5"/>
        <v>1</v>
      </c>
    </row>
    <row r="10" spans="1:29" s="1131" customFormat="1" ht="27">
      <c r="A10" s="2209"/>
      <c r="B10" s="2214" t="s">
        <v>2034</v>
      </c>
      <c r="C10" s="3382"/>
      <c r="D10" s="235">
        <v>100</v>
      </c>
      <c r="E10" s="3382"/>
      <c r="F10" s="235">
        <f>SUMIF(55:55,E10,56:56)-SUMIF(55:55,C10,56:56)+100</f>
        <v>100</v>
      </c>
      <c r="G10" s="3383"/>
      <c r="H10" s="235">
        <f>SUMIF(55:55,G10,56:56)-SUMIF(55:55,C10,56:56)+100</f>
        <v>100</v>
      </c>
      <c r="I10" s="3382"/>
      <c r="J10" s="235">
        <f>SUMIF(55:55,I10,56:56)-SUMIF(55:55,C10,56:56)+100</f>
        <v>100</v>
      </c>
      <c r="K10" s="88"/>
      <c r="L10" s="1742"/>
      <c r="M10" s="1775"/>
      <c r="N10" s="1775"/>
      <c r="O10" s="1743"/>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1"/>
      <c r="B11" s="2217">
        <v>111</v>
      </c>
      <c r="C11" s="478"/>
      <c r="D11" s="235">
        <v>100</v>
      </c>
      <c r="E11" s="478"/>
      <c r="F11" s="235">
        <f>SUMIF(57:57,E11,58:58)-SUMIF(57:57,C11,58:58)+100</f>
        <v>100</v>
      </c>
      <c r="G11" s="478"/>
      <c r="H11" s="235">
        <f>SUMIF(57:57,G11,58:58)-SUMIF(57:57,C11,58:58)+100</f>
        <v>100</v>
      </c>
      <c r="I11" s="478"/>
      <c r="J11" s="235">
        <f>SUMIF(57:57,I11,58:58)-SUMIF(57:57,C11,58:58)+100</f>
        <v>100</v>
      </c>
      <c r="K11" s="531"/>
      <c r="L11" s="1744"/>
      <c r="M11" s="1739"/>
      <c r="N11" s="1739"/>
      <c r="O11" s="1745"/>
      <c r="P11" s="3700"/>
      <c r="Q11" s="817">
        <f t="shared" si="6"/>
        <v>111</v>
      </c>
      <c r="R11" s="1301" t="s">
        <v>5</v>
      </c>
      <c r="S11" s="1302">
        <f t="shared" si="0"/>
        <v>100</v>
      </c>
      <c r="T11" s="1301" t="s">
        <v>5</v>
      </c>
      <c r="U11" s="1302">
        <f t="shared" si="1"/>
        <v>100</v>
      </c>
      <c r="V11" s="1301" t="s">
        <v>5</v>
      </c>
      <c r="W11" s="1302">
        <f t="shared" si="2"/>
        <v>100</v>
      </c>
      <c r="X11" s="1303"/>
      <c r="Y11" s="3652"/>
      <c r="Z11" s="995">
        <f t="shared" si="7"/>
        <v>111</v>
      </c>
      <c r="AA11" s="995">
        <f t="shared" si="3"/>
        <v>1</v>
      </c>
      <c r="AB11" s="995">
        <f t="shared" si="4"/>
        <v>1</v>
      </c>
      <c r="AC11" s="995">
        <f t="shared" si="5"/>
        <v>1</v>
      </c>
    </row>
    <row r="12" spans="1:29" s="1058" customFormat="1" ht="15">
      <c r="A12" s="2211"/>
      <c r="B12" s="2217">
        <v>111</v>
      </c>
      <c r="C12" s="478"/>
      <c r="D12" s="488">
        <v>100</v>
      </c>
      <c r="E12" s="478"/>
      <c r="F12" s="235">
        <f>SUMIF(59:59,E12,60:60)-SUMIF(59:59,C12,60:60)+100</f>
        <v>100</v>
      </c>
      <c r="G12" s="478"/>
      <c r="H12" s="235">
        <f>SUMIF(59:59,G12,60:60)-SUMIF(59:59,C12,60:60)+100</f>
        <v>100</v>
      </c>
      <c r="I12" s="478"/>
      <c r="J12" s="235">
        <f>SUMIF(59:59,I12,60:60)-SUMIF(59:59,C12,60:60)+100</f>
        <v>100</v>
      </c>
      <c r="K12" s="531"/>
      <c r="L12" s="1740"/>
      <c r="M12" s="1637"/>
      <c r="N12" s="1637"/>
      <c r="O12" s="1741"/>
      <c r="P12" s="3700"/>
      <c r="Q12" s="817">
        <f t="shared" si="6"/>
        <v>111</v>
      </c>
      <c r="R12" s="1301" t="s">
        <v>5</v>
      </c>
      <c r="S12" s="1302">
        <f t="shared" si="0"/>
        <v>100</v>
      </c>
      <c r="T12" s="1301" t="s">
        <v>5</v>
      </c>
      <c r="U12" s="1302">
        <f t="shared" si="1"/>
        <v>100</v>
      </c>
      <c r="V12" s="1301" t="s">
        <v>5</v>
      </c>
      <c r="W12" s="1302">
        <f t="shared" si="2"/>
        <v>100</v>
      </c>
      <c r="X12" s="1303"/>
      <c r="Y12" s="3652"/>
      <c r="Z12" s="995">
        <f t="shared" si="7"/>
        <v>111</v>
      </c>
      <c r="AA12" s="995">
        <f>D12/F12</f>
        <v>1</v>
      </c>
      <c r="AB12" s="995">
        <f>D12/H12</f>
        <v>1</v>
      </c>
      <c r="AC12" s="995">
        <f>D12/J12</f>
        <v>1</v>
      </c>
    </row>
    <row r="13" spans="1:29" ht="15.75" thickBot="1">
      <c r="A13" s="2212"/>
      <c r="B13" s="2218">
        <v>111</v>
      </c>
      <c r="C13" s="489"/>
      <c r="D13" s="490">
        <v>100</v>
      </c>
      <c r="E13" s="478"/>
      <c r="F13" s="235">
        <f>SUMIF(61:61,E13,62:62)-SUMIF(61:61,C13,62:62)+100</f>
        <v>100</v>
      </c>
      <c r="G13" s="478"/>
      <c r="H13" s="490">
        <f>SUMIF(61:61,G13,62:62)-SUMIF(61:61,C13,62:62)+100</f>
        <v>100</v>
      </c>
      <c r="I13" s="478"/>
      <c r="J13" s="490">
        <f>SUMIF(61:61,I13,62:62)-SUMIF(61:61,C13,62:62)+100</f>
        <v>100</v>
      </c>
      <c r="K13" s="531"/>
      <c r="L13" s="1746"/>
      <c r="M13" s="1739"/>
      <c r="N13" s="1739"/>
      <c r="O13" s="1745"/>
      <c r="P13" s="3700"/>
      <c r="Q13" s="817">
        <f t="shared" si="6"/>
        <v>111</v>
      </c>
      <c r="R13" s="1301" t="s">
        <v>5</v>
      </c>
      <c r="S13" s="1302">
        <f t="shared" si="0"/>
        <v>100</v>
      </c>
      <c r="T13" s="1301" t="s">
        <v>5</v>
      </c>
      <c r="U13" s="1302">
        <f t="shared" si="1"/>
        <v>100</v>
      </c>
      <c r="V13" s="1301" t="s">
        <v>5</v>
      </c>
      <c r="W13" s="1302">
        <f t="shared" si="2"/>
        <v>100</v>
      </c>
      <c r="X13" s="1303"/>
      <c r="Y13" s="3652"/>
      <c r="Z13" s="995">
        <f t="shared" si="7"/>
        <v>111</v>
      </c>
      <c r="AA13" s="995">
        <f t="shared" si="3"/>
        <v>1</v>
      </c>
      <c r="AB13" s="995">
        <f t="shared" si="4"/>
        <v>1</v>
      </c>
      <c r="AC13" s="995">
        <f t="shared" si="5"/>
        <v>1</v>
      </c>
    </row>
    <row r="14" spans="1:29" ht="42.75">
      <c r="A14" s="2204"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3710</v>
      </c>
      <c r="J14" s="499">
        <f>SUMIF(63:63,I15,64:64)-SUMIF(63:63,C15,64:64)+100</f>
        <v>100</v>
      </c>
      <c r="K14" s="821">
        <v>2</v>
      </c>
      <c r="L14" s="1746"/>
      <c r="M14" s="1739"/>
      <c r="N14" s="1739"/>
      <c r="O14" s="1745"/>
      <c r="P14" s="3702" t="s">
        <v>489</v>
      </c>
      <c r="Q14" s="1304" t="str">
        <f t="shared" si="6"/>
        <v>交通便捷度</v>
      </c>
      <c r="R14" s="1305" t="s">
        <v>5</v>
      </c>
      <c r="S14" s="1306">
        <f t="shared" si="0"/>
        <v>100</v>
      </c>
      <c r="T14" s="1305" t="s">
        <v>5</v>
      </c>
      <c r="U14" s="1306">
        <f t="shared" si="1"/>
        <v>100</v>
      </c>
      <c r="V14" s="1305" t="s">
        <v>5</v>
      </c>
      <c r="W14" s="1306">
        <f t="shared" si="2"/>
        <v>100</v>
      </c>
      <c r="X14" s="1300"/>
      <c r="Y14" s="3702" t="s">
        <v>489</v>
      </c>
      <c r="Z14" s="1307" t="str">
        <f t="shared" si="7"/>
        <v>交通便捷度</v>
      </c>
      <c r="AA14" s="1307">
        <f t="shared" si="3"/>
        <v>1</v>
      </c>
      <c r="AB14" s="1307">
        <f t="shared" si="4"/>
        <v>1</v>
      </c>
      <c r="AC14" s="1307">
        <f t="shared" si="5"/>
        <v>1</v>
      </c>
    </row>
    <row r="15" spans="1:29" ht="15">
      <c r="A15" s="466"/>
      <c r="B15" s="845"/>
      <c r="C15" s="526" t="s">
        <v>3329</v>
      </c>
      <c r="D15" s="505"/>
      <c r="E15" s="526" t="s">
        <v>3329</v>
      </c>
      <c r="F15" s="507"/>
      <c r="G15" s="526" t="s">
        <v>3329</v>
      </c>
      <c r="H15" s="509"/>
      <c r="I15" s="526" t="s">
        <v>3329</v>
      </c>
      <c r="J15" s="505"/>
      <c r="K15" s="822"/>
      <c r="L15" s="1746"/>
      <c r="M15" s="1739"/>
      <c r="N15" s="1739"/>
      <c r="O15" s="1745"/>
      <c r="P15" s="3703"/>
      <c r="Q15" s="1304"/>
      <c r="R15" s="1305"/>
      <c r="S15" s="1306"/>
      <c r="T15" s="1305"/>
      <c r="U15" s="1306"/>
      <c r="V15" s="1305"/>
      <c r="W15" s="1306"/>
      <c r="X15" s="1300"/>
      <c r="Y15" s="3703"/>
      <c r="Z15" s="1307"/>
      <c r="AA15" s="1307">
        <v>1</v>
      </c>
      <c r="AB15" s="1307">
        <v>1</v>
      </c>
      <c r="AC15" s="1307">
        <v>1</v>
      </c>
    </row>
    <row r="16" spans="1:29" ht="15">
      <c r="A16" s="466"/>
      <c r="B16" s="2059"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6"/>
      <c r="M16" s="1739"/>
      <c r="N16" s="1739"/>
      <c r="O16" s="1745"/>
      <c r="P16" s="3703"/>
      <c r="Q16" s="1304" t="str">
        <f>B16</f>
        <v>公共配套设施</v>
      </c>
      <c r="R16" s="1305" t="s">
        <v>5</v>
      </c>
      <c r="S16" s="1306">
        <f>F16</f>
        <v>100</v>
      </c>
      <c r="T16" s="1305" t="s">
        <v>5</v>
      </c>
      <c r="U16" s="1306">
        <f>H16</f>
        <v>100</v>
      </c>
      <c r="V16" s="1305" t="s">
        <v>5</v>
      </c>
      <c r="W16" s="1306">
        <f>J16</f>
        <v>100</v>
      </c>
      <c r="X16" s="1300"/>
      <c r="Y16" s="3703"/>
      <c r="Z16" s="1307" t="str">
        <f>Q16</f>
        <v>公共配套设施</v>
      </c>
      <c r="AA16" s="1307">
        <f t="shared" si="3"/>
        <v>1</v>
      </c>
      <c r="AB16" s="1307">
        <f t="shared" si="4"/>
        <v>1</v>
      </c>
      <c r="AC16" s="1307">
        <f t="shared" si="5"/>
        <v>1</v>
      </c>
    </row>
    <row r="17" spans="1:29" ht="15">
      <c r="A17" s="466"/>
      <c r="B17" s="516"/>
      <c r="C17" s="526" t="s">
        <v>3329</v>
      </c>
      <c r="D17" s="505"/>
      <c r="E17" s="526" t="s">
        <v>3329</v>
      </c>
      <c r="F17" s="507"/>
      <c r="G17" s="526" t="s">
        <v>3329</v>
      </c>
      <c r="H17" s="505"/>
      <c r="I17" s="526" t="s">
        <v>3329</v>
      </c>
      <c r="J17" s="505"/>
      <c r="K17" s="822"/>
      <c r="L17" s="1746"/>
      <c r="M17" s="1739"/>
      <c r="N17" s="1739"/>
      <c r="O17" s="1745"/>
      <c r="P17" s="3703"/>
      <c r="Q17" s="1304"/>
      <c r="R17" s="1305"/>
      <c r="S17" s="1306"/>
      <c r="T17" s="1305"/>
      <c r="U17" s="1306"/>
      <c r="V17" s="1305"/>
      <c r="W17" s="1306"/>
      <c r="X17" s="1300"/>
      <c r="Y17" s="3703"/>
      <c r="Z17" s="1307"/>
      <c r="AA17" s="1307">
        <v>1</v>
      </c>
      <c r="AB17" s="1307">
        <v>1</v>
      </c>
      <c r="AC17" s="1307">
        <v>1</v>
      </c>
    </row>
    <row r="18" spans="1:29" ht="15">
      <c r="A18" s="466"/>
      <c r="B18" s="2047"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6"/>
      <c r="M18" s="1739"/>
      <c r="N18" s="1739"/>
      <c r="O18" s="1745"/>
      <c r="P18" s="3703"/>
      <c r="Q18" s="1304" t="str">
        <f>B18</f>
        <v>基础设施水平</v>
      </c>
      <c r="R18" s="1305" t="s">
        <v>5</v>
      </c>
      <c r="S18" s="1306">
        <f>F18</f>
        <v>100</v>
      </c>
      <c r="T18" s="1305" t="s">
        <v>5</v>
      </c>
      <c r="U18" s="1306">
        <f>H18</f>
        <v>100</v>
      </c>
      <c r="V18" s="1305" t="s">
        <v>5</v>
      </c>
      <c r="W18" s="1306">
        <f>J18</f>
        <v>100</v>
      </c>
      <c r="X18" s="1300"/>
      <c r="Y18" s="3703"/>
      <c r="Z18" s="1307" t="str">
        <f>Q18</f>
        <v>基础设施水平</v>
      </c>
      <c r="AA18" s="1307">
        <f>D18/F18</f>
        <v>1</v>
      </c>
      <c r="AB18" s="1307">
        <f>D18/H18</f>
        <v>1</v>
      </c>
      <c r="AC18" s="1307">
        <f>D18/J18</f>
        <v>1</v>
      </c>
    </row>
    <row r="19" spans="1:29" ht="15">
      <c r="A19" s="466"/>
      <c r="B19" s="528"/>
      <c r="C19" s="802" t="s">
        <v>3332</v>
      </c>
      <c r="D19" s="509"/>
      <c r="E19" s="802" t="s">
        <v>3332</v>
      </c>
      <c r="F19" s="507"/>
      <c r="G19" s="802" t="s">
        <v>3332</v>
      </c>
      <c r="H19" s="505"/>
      <c r="I19" s="802" t="s">
        <v>3332</v>
      </c>
      <c r="J19" s="505"/>
      <c r="K19" s="2058"/>
      <c r="L19" s="1746"/>
      <c r="M19" s="1739"/>
      <c r="N19" s="1739"/>
      <c r="O19" s="1745"/>
      <c r="P19" s="3703"/>
      <c r="Q19" s="1304"/>
      <c r="R19" s="1305"/>
      <c r="S19" s="1306"/>
      <c r="T19" s="1305"/>
      <c r="U19" s="1306"/>
      <c r="V19" s="1305"/>
      <c r="W19" s="1306"/>
      <c r="X19" s="1300"/>
      <c r="Y19" s="3703"/>
      <c r="Z19" s="1307"/>
      <c r="AA19" s="1307">
        <v>1</v>
      </c>
      <c r="AB19" s="1307">
        <v>1</v>
      </c>
      <c r="AC19" s="1307">
        <v>1</v>
      </c>
    </row>
    <row r="20" spans="1:29" ht="28.5">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6"/>
      <c r="M20" s="1739"/>
      <c r="N20" s="1739"/>
      <c r="O20" s="1745"/>
      <c r="P20" s="3703"/>
      <c r="Q20" s="1304" t="str">
        <f>B20</f>
        <v>自然及人文环境</v>
      </c>
      <c r="R20" s="1305" t="s">
        <v>5</v>
      </c>
      <c r="S20" s="1306">
        <f>F20</f>
        <v>100</v>
      </c>
      <c r="T20" s="1305" t="s">
        <v>5</v>
      </c>
      <c r="U20" s="1306">
        <f>H20</f>
        <v>100</v>
      </c>
      <c r="V20" s="1305" t="s">
        <v>5</v>
      </c>
      <c r="W20" s="1306">
        <f>J20</f>
        <v>100</v>
      </c>
      <c r="X20" s="1300"/>
      <c r="Y20" s="3703"/>
      <c r="Z20" s="1307" t="str">
        <f>Q20</f>
        <v>自然及人文环境</v>
      </c>
      <c r="AA20" s="1307">
        <f t="shared" si="3"/>
        <v>1</v>
      </c>
      <c r="AB20" s="1307">
        <f t="shared" si="4"/>
        <v>1</v>
      </c>
      <c r="AC20" s="1307">
        <f t="shared" si="5"/>
        <v>1</v>
      </c>
    </row>
    <row r="21" spans="1:29" ht="15">
      <c r="A21" s="466"/>
      <c r="B21" s="516"/>
      <c r="C21" s="526" t="s">
        <v>3329</v>
      </c>
      <c r="D21" s="505"/>
      <c r="E21" s="526" t="s">
        <v>3329</v>
      </c>
      <c r="F21" s="507"/>
      <c r="G21" s="526" t="s">
        <v>3329</v>
      </c>
      <c r="H21" s="505"/>
      <c r="I21" s="526" t="s">
        <v>3329</v>
      </c>
      <c r="J21" s="505"/>
      <c r="K21" s="822"/>
      <c r="L21" s="1746"/>
      <c r="M21" s="1739"/>
      <c r="N21" s="1739"/>
      <c r="O21" s="1745"/>
      <c r="P21" s="3703"/>
      <c r="Q21" s="1304"/>
      <c r="R21" s="1305"/>
      <c r="S21" s="1306"/>
      <c r="T21" s="1305"/>
      <c r="U21" s="1306"/>
      <c r="V21" s="1305"/>
      <c r="W21" s="1306"/>
      <c r="X21" s="1300"/>
      <c r="Y21" s="3703"/>
      <c r="Z21" s="1307"/>
      <c r="AA21" s="1307">
        <v>1</v>
      </c>
      <c r="AB21" s="1307">
        <v>1</v>
      </c>
      <c r="AC21" s="1307">
        <v>1</v>
      </c>
    </row>
    <row r="22" spans="1:29" ht="15">
      <c r="A22" s="466"/>
      <c r="B22" s="510" t="s">
        <v>745</v>
      </c>
      <c r="C22" s="532" t="s">
        <v>3323</v>
      </c>
      <c r="D22" s="509">
        <v>100</v>
      </c>
      <c r="E22" s="532" t="s">
        <v>3323</v>
      </c>
      <c r="F22" s="525">
        <f>SUMIF(71:71,E22,72:72)-SUMIF(71:71,C22,72:72)+100</f>
        <v>100</v>
      </c>
      <c r="G22" s="532" t="s">
        <v>3323</v>
      </c>
      <c r="H22" s="490">
        <f>SUMIF(71:71,G22,72:72)-SUMIF(71:71,C22,72:72)+100</f>
        <v>100</v>
      </c>
      <c r="I22" s="532" t="s">
        <v>3323</v>
      </c>
      <c r="J22" s="490">
        <f>SUMIF(71:71,I22,72:72)-SUMIF(71:71,C22,72:72)+100</f>
        <v>100</v>
      </c>
      <c r="K22" s="533">
        <v>2</v>
      </c>
      <c r="L22" s="1746"/>
      <c r="M22" s="1739"/>
      <c r="N22" s="1739"/>
      <c r="O22" s="1745"/>
      <c r="P22" s="3703"/>
      <c r="Q22" s="1304" t="str">
        <f>B22</f>
        <v>楼层</v>
      </c>
      <c r="R22" s="1305" t="s">
        <v>5</v>
      </c>
      <c r="S22" s="1306">
        <f>F22</f>
        <v>100</v>
      </c>
      <c r="T22" s="1305" t="s">
        <v>5</v>
      </c>
      <c r="U22" s="1306">
        <f>H22</f>
        <v>100</v>
      </c>
      <c r="V22" s="1305" t="s">
        <v>5</v>
      </c>
      <c r="W22" s="1306">
        <f>J22</f>
        <v>100</v>
      </c>
      <c r="X22" s="1300"/>
      <c r="Y22" s="3703"/>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6"/>
      <c r="M23" s="1739"/>
      <c r="N23" s="1739"/>
      <c r="O23" s="1745"/>
      <c r="P23" s="3703"/>
      <c r="Q23" s="1304">
        <f>B23</f>
        <v>111</v>
      </c>
      <c r="R23" s="1305" t="s">
        <v>5</v>
      </c>
      <c r="S23" s="1306">
        <f>F23</f>
        <v>100</v>
      </c>
      <c r="T23" s="1305" t="s">
        <v>5</v>
      </c>
      <c r="U23" s="1306">
        <f>H23</f>
        <v>100</v>
      </c>
      <c r="V23" s="1305" t="s">
        <v>5</v>
      </c>
      <c r="W23" s="1306">
        <f>J23</f>
        <v>100</v>
      </c>
      <c r="X23" s="1300"/>
      <c r="Y23" s="3703"/>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6"/>
      <c r="M24" s="1739"/>
      <c r="N24" s="1739"/>
      <c r="O24" s="1745"/>
      <c r="P24" s="3703"/>
      <c r="Q24" s="1304">
        <f t="shared" ref="Q24:Q36" si="8">B24</f>
        <v>111</v>
      </c>
      <c r="R24" s="1305" t="s">
        <v>5</v>
      </c>
      <c r="S24" s="1306">
        <f>F24</f>
        <v>100</v>
      </c>
      <c r="T24" s="1305" t="s">
        <v>5</v>
      </c>
      <c r="U24" s="1306">
        <f>H24</f>
        <v>100</v>
      </c>
      <c r="V24" s="1305" t="s">
        <v>5</v>
      </c>
      <c r="W24" s="1306">
        <f>J24</f>
        <v>100</v>
      </c>
      <c r="X24" s="1300"/>
      <c r="Y24" s="3703"/>
      <c r="Z24" s="1307">
        <f>Q24</f>
        <v>111</v>
      </c>
      <c r="AA24" s="1307">
        <f t="shared" si="3"/>
        <v>1</v>
      </c>
      <c r="AB24" s="1307">
        <f t="shared" si="4"/>
        <v>1</v>
      </c>
      <c r="AC24" s="1307">
        <f t="shared" si="5"/>
        <v>1</v>
      </c>
    </row>
    <row r="25" spans="1:29" s="1058"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0"/>
      <c r="M25" s="1637"/>
      <c r="N25" s="1637"/>
      <c r="O25" s="1741"/>
      <c r="P25" s="3703"/>
      <c r="Q25" s="817">
        <f t="shared" si="8"/>
        <v>111</v>
      </c>
      <c r="R25" s="1301" t="s">
        <v>5</v>
      </c>
      <c r="S25" s="1302">
        <f>F25</f>
        <v>100</v>
      </c>
      <c r="T25" s="1301" t="s">
        <v>5</v>
      </c>
      <c r="U25" s="1302">
        <f>H25</f>
        <v>100</v>
      </c>
      <c r="V25" s="1301" t="s">
        <v>5</v>
      </c>
      <c r="W25" s="1302">
        <f>J25</f>
        <v>100</v>
      </c>
      <c r="X25" s="1303"/>
      <c r="Y25" s="3703"/>
      <c r="Z25" s="995">
        <f>Q25</f>
        <v>111</v>
      </c>
      <c r="AA25" s="1307">
        <f>D25/F25</f>
        <v>1</v>
      </c>
      <c r="AB25" s="1307">
        <f>D25/H25</f>
        <v>1</v>
      </c>
      <c r="AC25" s="1307">
        <f>D25/J25</f>
        <v>1</v>
      </c>
    </row>
    <row r="26" spans="1:29" ht="15">
      <c r="A26" s="2201" t="s">
        <v>2032</v>
      </c>
      <c r="B26" s="154" t="s">
        <v>746</v>
      </c>
      <c r="C26" s="848" t="str">
        <f>B1</f>
        <v>车库</v>
      </c>
      <c r="D26" s="505">
        <v>100</v>
      </c>
      <c r="E26" s="526" t="s">
        <v>2721</v>
      </c>
      <c r="F26" s="507">
        <f>SUMIF(79:79,E26,80:80)-SUMIF(79:79,C26,80:80)+100</f>
        <v>100</v>
      </c>
      <c r="G26" s="526" t="s">
        <v>2721</v>
      </c>
      <c r="H26" s="505">
        <f>SUMIF(79:79,G26,80:80)-SUMIF(79:79,C26,80:80)+100</f>
        <v>100</v>
      </c>
      <c r="I26" s="526" t="s">
        <v>2721</v>
      </c>
      <c r="J26" s="505">
        <f>SUMIF(79:79,I26,80:80)-SUMIF(79:79,C26,80:80)+100</f>
        <v>100</v>
      </c>
      <c r="K26" s="533"/>
      <c r="L26" s="1746"/>
      <c r="M26" s="1739"/>
      <c r="N26" s="1739"/>
      <c r="O26" s="1745"/>
      <c r="P26" s="3704"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05" t="s">
        <v>499</v>
      </c>
      <c r="Z26" s="1307" t="str">
        <f t="shared" ref="Z26:Z36" si="12">Q26</f>
        <v>配套类型</v>
      </c>
      <c r="AA26" s="1307">
        <f t="shared" si="3"/>
        <v>1</v>
      </c>
      <c r="AB26" s="1307">
        <f t="shared" si="4"/>
        <v>1</v>
      </c>
      <c r="AC26" s="1307">
        <f t="shared" si="5"/>
        <v>1</v>
      </c>
    </row>
    <row r="27" spans="1:29" s="1132"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4"/>
      <c r="M27" s="1768"/>
      <c r="N27" s="1768"/>
      <c r="O27" s="1747"/>
      <c r="P27" s="3705"/>
      <c r="Q27" s="818" t="str">
        <f t="shared" si="8"/>
        <v>项目停车位配比</v>
      </c>
      <c r="R27" s="1308" t="s">
        <v>5</v>
      </c>
      <c r="S27" s="1309">
        <f t="shared" si="9"/>
        <v>100</v>
      </c>
      <c r="T27" s="1308" t="s">
        <v>5</v>
      </c>
      <c r="U27" s="1309">
        <f t="shared" si="10"/>
        <v>100</v>
      </c>
      <c r="V27" s="1308" t="s">
        <v>5</v>
      </c>
      <c r="W27" s="1309">
        <f t="shared" si="11"/>
        <v>100</v>
      </c>
      <c r="X27" s="1310"/>
      <c r="Y27" s="3705"/>
      <c r="Z27" s="1311" t="str">
        <f t="shared" si="12"/>
        <v>项目停车位配比</v>
      </c>
      <c r="AA27" s="1307">
        <f t="shared" si="3"/>
        <v>1</v>
      </c>
      <c r="AB27" s="1307">
        <f t="shared" si="4"/>
        <v>1</v>
      </c>
      <c r="AC27" s="1307">
        <f t="shared" si="5"/>
        <v>1</v>
      </c>
    </row>
    <row r="28" spans="1:29" ht="15">
      <c r="A28" s="851"/>
      <c r="B28" s="235" t="s">
        <v>748</v>
      </c>
      <c r="C28" s="524" t="s">
        <v>3696</v>
      </c>
      <c r="D28" s="490">
        <v>100</v>
      </c>
      <c r="E28" s="524" t="s">
        <v>3696</v>
      </c>
      <c r="F28" s="525">
        <f>SUMIF(83:83,E28,84:84)-SUMIF(83:83,C28,84:84)+100</f>
        <v>100</v>
      </c>
      <c r="G28" s="524" t="s">
        <v>3696</v>
      </c>
      <c r="H28" s="490">
        <f>SUMIF(83:83,G28,84:84)-SUMIF(83:83,C28,84:84)+100</f>
        <v>100</v>
      </c>
      <c r="I28" s="524" t="s">
        <v>3696</v>
      </c>
      <c r="J28" s="490">
        <f>SUMIF(83:83,I28,84:84)-SUMIF(83:83,C28,84:84)+100</f>
        <v>100</v>
      </c>
      <c r="K28" s="533"/>
      <c r="L28" s="1746"/>
      <c r="M28" s="1739"/>
      <c r="N28" s="1739"/>
      <c r="O28" s="1745"/>
      <c r="P28" s="3705"/>
      <c r="Q28" s="1304" t="str">
        <f t="shared" si="8"/>
        <v>公共部分装修</v>
      </c>
      <c r="R28" s="1305" t="s">
        <v>5</v>
      </c>
      <c r="S28" s="1306">
        <f t="shared" si="9"/>
        <v>100</v>
      </c>
      <c r="T28" s="1305" t="s">
        <v>5</v>
      </c>
      <c r="U28" s="1306">
        <f t="shared" si="10"/>
        <v>100</v>
      </c>
      <c r="V28" s="1305" t="s">
        <v>5</v>
      </c>
      <c r="W28" s="1306">
        <f t="shared" si="11"/>
        <v>100</v>
      </c>
      <c r="X28" s="1300"/>
      <c r="Y28" s="3705"/>
      <c r="Z28" s="1307" t="str">
        <f t="shared" si="12"/>
        <v>公共部分装修</v>
      </c>
      <c r="AA28" s="1307">
        <f t="shared" si="3"/>
        <v>1</v>
      </c>
      <c r="AB28" s="1307">
        <f t="shared" si="4"/>
        <v>1</v>
      </c>
      <c r="AC28" s="1307">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6"/>
      <c r="M29" s="1739"/>
      <c r="N29" s="1739"/>
      <c r="O29" s="1745"/>
      <c r="P29" s="3705"/>
      <c r="Q29" s="1304" t="str">
        <f t="shared" si="8"/>
        <v>成新率</v>
      </c>
      <c r="R29" s="1305" t="s">
        <v>5</v>
      </c>
      <c r="S29" s="1306">
        <f t="shared" si="9"/>
        <v>100</v>
      </c>
      <c r="T29" s="1305" t="s">
        <v>5</v>
      </c>
      <c r="U29" s="1306">
        <f t="shared" si="10"/>
        <v>100</v>
      </c>
      <c r="V29" s="1305" t="s">
        <v>5</v>
      </c>
      <c r="W29" s="1306">
        <f t="shared" si="11"/>
        <v>100</v>
      </c>
      <c r="X29" s="1300"/>
      <c r="Y29" s="3705"/>
      <c r="Z29" s="1307" t="str">
        <f t="shared" si="12"/>
        <v>成新率</v>
      </c>
      <c r="AA29" s="1307">
        <f t="shared" si="3"/>
        <v>1</v>
      </c>
      <c r="AB29" s="1307">
        <f t="shared" si="4"/>
        <v>1</v>
      </c>
      <c r="AC29" s="1307">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6"/>
      <c r="M30" s="1739"/>
      <c r="N30" s="1739"/>
      <c r="O30" s="1745"/>
      <c r="P30" s="3705"/>
      <c r="Q30" s="1304" t="str">
        <f t="shared" si="8"/>
        <v>物业等级</v>
      </c>
      <c r="R30" s="1305" t="s">
        <v>5</v>
      </c>
      <c r="S30" s="1306">
        <f t="shared" si="9"/>
        <v>100</v>
      </c>
      <c r="T30" s="1305" t="s">
        <v>5</v>
      </c>
      <c r="U30" s="1306">
        <f t="shared" si="10"/>
        <v>100</v>
      </c>
      <c r="V30" s="1305" t="s">
        <v>5</v>
      </c>
      <c r="W30" s="1306">
        <f t="shared" si="11"/>
        <v>100</v>
      </c>
      <c r="X30" s="1300"/>
      <c r="Y30" s="3705"/>
      <c r="Z30" s="1307" t="str">
        <f t="shared" si="12"/>
        <v>物业等级</v>
      </c>
      <c r="AA30" s="1307">
        <f t="shared" si="3"/>
        <v>1</v>
      </c>
      <c r="AB30" s="1307">
        <f t="shared" si="4"/>
        <v>1</v>
      </c>
      <c r="AC30" s="1307">
        <f t="shared" si="5"/>
        <v>1</v>
      </c>
    </row>
    <row r="31" spans="1:29" s="1058" customFormat="1" ht="15">
      <c r="A31" s="853"/>
      <c r="B31" s="235" t="s">
        <v>751</v>
      </c>
      <c r="C31" s="3504">
        <f>经济指标!$L$32</f>
        <v>31.239889012208657</v>
      </c>
      <c r="D31" s="235">
        <v>100</v>
      </c>
      <c r="E31" s="3504">
        <v>34.17</v>
      </c>
      <c r="F31" s="525">
        <f>LOOKUP(E31,91:91,92:92)-LOOKUP(C31,91:91,92:92)+100</f>
        <v>100</v>
      </c>
      <c r="G31" s="3504">
        <v>27.23</v>
      </c>
      <c r="H31" s="490">
        <f>LOOKUP(G31,91:91,92:92)-LOOKUP(C31,91:91,92:92)+100</f>
        <v>101</v>
      </c>
      <c r="I31" s="3504">
        <v>21.36</v>
      </c>
      <c r="J31" s="490">
        <f>LOOKUP(I31,91:91,92:92)-LOOKUP(C31,91:91,92:92)+100</f>
        <v>101</v>
      </c>
      <c r="K31" s="533"/>
      <c r="L31" s="1740"/>
      <c r="M31" s="1637"/>
      <c r="N31" s="1637"/>
      <c r="O31" s="1741"/>
      <c r="P31" s="3705"/>
      <c r="Q31" s="817" t="str">
        <f t="shared" si="8"/>
        <v>停车位面积</v>
      </c>
      <c r="R31" s="1301" t="s">
        <v>5</v>
      </c>
      <c r="S31" s="1302">
        <f t="shared" si="9"/>
        <v>100</v>
      </c>
      <c r="T31" s="1301" t="s">
        <v>5</v>
      </c>
      <c r="U31" s="1302">
        <f t="shared" si="10"/>
        <v>101</v>
      </c>
      <c r="V31" s="1301" t="s">
        <v>5</v>
      </c>
      <c r="W31" s="1302">
        <f t="shared" si="11"/>
        <v>101</v>
      </c>
      <c r="X31" s="1303"/>
      <c r="Y31" s="3705"/>
      <c r="Z31" s="995" t="str">
        <f t="shared" si="12"/>
        <v>停车位面积</v>
      </c>
      <c r="AA31" s="995">
        <f t="shared" si="3"/>
        <v>1</v>
      </c>
      <c r="AB31" s="995">
        <f t="shared" si="4"/>
        <v>0.99009900990099009</v>
      </c>
      <c r="AC31" s="995">
        <f t="shared" si="5"/>
        <v>0.99009900990099009</v>
      </c>
    </row>
    <row r="32" spans="1:29" ht="15">
      <c r="A32" s="851"/>
      <c r="B32" s="235" t="s">
        <v>752</v>
      </c>
      <c r="C32" s="524" t="s">
        <v>3704</v>
      </c>
      <c r="D32" s="490">
        <v>100</v>
      </c>
      <c r="E32" s="524" t="s">
        <v>3704</v>
      </c>
      <c r="F32" s="525">
        <f>SUMIF(93:93,E32,94:94)-SUMIF(93:93,C32,94:94)+100</f>
        <v>100</v>
      </c>
      <c r="G32" s="524" t="s">
        <v>3704</v>
      </c>
      <c r="H32" s="490">
        <f>SUMIF(93:93,G32,94:94)-SUMIF(93:93,C32,94:94)+100</f>
        <v>100</v>
      </c>
      <c r="I32" s="524" t="s">
        <v>3704</v>
      </c>
      <c r="J32" s="490">
        <f>SUMIF(93:93,I32,94:94)-SUMIF(93:93,C32,94:94)+100</f>
        <v>100</v>
      </c>
      <c r="K32" s="533"/>
      <c r="L32" s="1746"/>
      <c r="M32" s="1739"/>
      <c r="N32" s="1739"/>
      <c r="O32" s="1745"/>
      <c r="P32" s="3705" t="s">
        <v>499</v>
      </c>
      <c r="Q32" s="1304" t="str">
        <f t="shared" si="8"/>
        <v>车位类型</v>
      </c>
      <c r="R32" s="1305" t="s">
        <v>5</v>
      </c>
      <c r="S32" s="1306">
        <f t="shared" si="9"/>
        <v>100</v>
      </c>
      <c r="T32" s="1305" t="s">
        <v>5</v>
      </c>
      <c r="U32" s="1306">
        <f t="shared" si="10"/>
        <v>100</v>
      </c>
      <c r="V32" s="1305" t="s">
        <v>5</v>
      </c>
      <c r="W32" s="1306">
        <f t="shared" si="11"/>
        <v>100</v>
      </c>
      <c r="X32" s="1300"/>
      <c r="Y32" s="3705" t="s">
        <v>499</v>
      </c>
      <c r="Z32" s="1307" t="str">
        <f t="shared" si="12"/>
        <v>车位类型</v>
      </c>
      <c r="AA32" s="1307">
        <f t="shared" si="3"/>
        <v>1</v>
      </c>
      <c r="AB32" s="1307">
        <f t="shared" si="4"/>
        <v>1</v>
      </c>
      <c r="AC32" s="1307">
        <f t="shared" si="5"/>
        <v>1</v>
      </c>
    </row>
    <row r="33" spans="1:29" ht="15">
      <c r="A33" s="851"/>
      <c r="B33" s="235" t="s">
        <v>753</v>
      </c>
      <c r="C33" s="524" t="s">
        <v>3317</v>
      </c>
      <c r="D33" s="490">
        <v>100</v>
      </c>
      <c r="E33" s="524" t="s">
        <v>3317</v>
      </c>
      <c r="F33" s="525">
        <f>SUMIF(95:95,E33,96:96)-SUMIF(95:95,C33,96:96)+100</f>
        <v>100</v>
      </c>
      <c r="G33" s="524" t="s">
        <v>3317</v>
      </c>
      <c r="H33" s="490">
        <f>SUMIF(95:95,G33,96:96)-SUMIF(95:95,C33,96:96)+100</f>
        <v>100</v>
      </c>
      <c r="I33" s="524" t="s">
        <v>3317</v>
      </c>
      <c r="J33" s="490">
        <f>SUMIF(95:95,I33,96:96)-SUMIF(95:95,C33,96:96)+100</f>
        <v>100</v>
      </c>
      <c r="K33" s="533"/>
      <c r="L33" s="1746"/>
      <c r="M33" s="1739"/>
      <c r="N33" s="1739"/>
      <c r="O33" s="1745"/>
      <c r="P33" s="3705"/>
      <c r="Q33" s="1304" t="str">
        <f t="shared" si="8"/>
        <v>是否直接入户</v>
      </c>
      <c r="R33" s="1305" t="s">
        <v>5</v>
      </c>
      <c r="S33" s="1306">
        <f t="shared" si="9"/>
        <v>100</v>
      </c>
      <c r="T33" s="1305" t="s">
        <v>5</v>
      </c>
      <c r="U33" s="1306">
        <f t="shared" si="10"/>
        <v>100</v>
      </c>
      <c r="V33" s="1305" t="s">
        <v>5</v>
      </c>
      <c r="W33" s="1306">
        <f t="shared" si="11"/>
        <v>100</v>
      </c>
      <c r="X33" s="1300"/>
      <c r="Y33" s="3705"/>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6"/>
      <c r="M34" s="1739"/>
      <c r="N34" s="1739"/>
      <c r="O34" s="1745"/>
      <c r="P34" s="3705"/>
      <c r="Q34" s="1304">
        <f t="shared" si="8"/>
        <v>111</v>
      </c>
      <c r="R34" s="1305" t="s">
        <v>5</v>
      </c>
      <c r="S34" s="1306">
        <f t="shared" si="9"/>
        <v>100</v>
      </c>
      <c r="T34" s="1305" t="s">
        <v>5</v>
      </c>
      <c r="U34" s="1306">
        <f t="shared" si="10"/>
        <v>100</v>
      </c>
      <c r="V34" s="1305" t="s">
        <v>5</v>
      </c>
      <c r="W34" s="1306">
        <f t="shared" si="11"/>
        <v>100</v>
      </c>
      <c r="X34" s="1300"/>
      <c r="Y34" s="3705"/>
      <c r="Z34" s="1307">
        <f t="shared" si="12"/>
        <v>111</v>
      </c>
      <c r="AA34" s="1307">
        <f t="shared" si="3"/>
        <v>1</v>
      </c>
      <c r="AB34" s="1307">
        <f t="shared" si="4"/>
        <v>1</v>
      </c>
      <c r="AC34" s="1307">
        <f t="shared" si="5"/>
        <v>1</v>
      </c>
    </row>
    <row r="35" spans="1:29" s="1132"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4"/>
      <c r="M35" s="1768"/>
      <c r="N35" s="1768"/>
      <c r="O35" s="1747"/>
      <c r="P35" s="3705"/>
      <c r="Q35" s="818">
        <f t="shared" si="8"/>
        <v>111</v>
      </c>
      <c r="R35" s="1308" t="s">
        <v>5</v>
      </c>
      <c r="S35" s="1309">
        <f t="shared" si="9"/>
        <v>100</v>
      </c>
      <c r="T35" s="1308" t="s">
        <v>5</v>
      </c>
      <c r="U35" s="1309">
        <f t="shared" si="10"/>
        <v>100</v>
      </c>
      <c r="V35" s="1308" t="s">
        <v>5</v>
      </c>
      <c r="W35" s="1309">
        <f t="shared" si="11"/>
        <v>100</v>
      </c>
      <c r="X35" s="1310"/>
      <c r="Y35" s="3705"/>
      <c r="Z35" s="1311">
        <f t="shared" si="12"/>
        <v>111</v>
      </c>
      <c r="AA35" s="1307">
        <f t="shared" si="3"/>
        <v>1</v>
      </c>
      <c r="AB35" s="1307">
        <f t="shared" si="4"/>
        <v>1</v>
      </c>
      <c r="AC35" s="1307">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6"/>
      <c r="M36" s="1739"/>
      <c r="N36" s="1739"/>
      <c r="O36" s="1745"/>
      <c r="P36" s="3705"/>
      <c r="Q36" s="1304">
        <f t="shared" si="8"/>
        <v>111</v>
      </c>
      <c r="R36" s="1305" t="s">
        <v>5</v>
      </c>
      <c r="S36" s="1306">
        <f t="shared" si="9"/>
        <v>100</v>
      </c>
      <c r="T36" s="1305" t="s">
        <v>5</v>
      </c>
      <c r="U36" s="1306">
        <f t="shared" si="10"/>
        <v>100</v>
      </c>
      <c r="V36" s="1305" t="s">
        <v>5</v>
      </c>
      <c r="W36" s="1306">
        <f t="shared" si="11"/>
        <v>100</v>
      </c>
      <c r="X36" s="1300"/>
      <c r="Y36" s="3705"/>
      <c r="Z36" s="1307">
        <f t="shared" si="12"/>
        <v>111</v>
      </c>
      <c r="AA36" s="1307">
        <f t="shared" si="3"/>
        <v>1</v>
      </c>
      <c r="AB36" s="1307">
        <f t="shared" si="4"/>
        <v>1</v>
      </c>
      <c r="AC36" s="1307">
        <f t="shared" si="5"/>
        <v>1</v>
      </c>
    </row>
    <row r="37" spans="1:29" ht="15">
      <c r="A37" s="1532" t="s">
        <v>1592</v>
      </c>
      <c r="B37" s="1533" t="s">
        <v>1593</v>
      </c>
      <c r="C37" s="2078" t="s">
        <v>0</v>
      </c>
      <c r="D37" s="559"/>
      <c r="E37" s="560">
        <v>12483</v>
      </c>
      <c r="F37" s="561"/>
      <c r="G37" s="562">
        <v>12679</v>
      </c>
      <c r="H37" s="563"/>
      <c r="I37" s="562">
        <v>10907</v>
      </c>
      <c r="J37" s="563"/>
      <c r="K37" s="1333"/>
      <c r="L37" s="1748"/>
      <c r="M37" s="1739"/>
      <c r="N37" s="1739"/>
      <c r="O37" s="1739"/>
      <c r="P37" s="3700" t="str">
        <f>A37</f>
        <v>成交单价</v>
      </c>
      <c r="Q37" s="3700"/>
      <c r="R37" s="3716">
        <f>E37</f>
        <v>12483</v>
      </c>
      <c r="S37" s="3716"/>
      <c r="T37" s="3716">
        <f>G37</f>
        <v>12679</v>
      </c>
      <c r="U37" s="3716"/>
      <c r="V37" s="3716">
        <f>I37</f>
        <v>10907</v>
      </c>
      <c r="W37" s="3716"/>
      <c r="X37" s="799"/>
      <c r="Y37" s="1312"/>
      <c r="Z37" s="799"/>
      <c r="AA37" s="799"/>
      <c r="AB37" s="799"/>
      <c r="AC37" s="799"/>
    </row>
    <row r="38" spans="1:29" ht="15.75" thickBot="1">
      <c r="A38" s="564" t="s">
        <v>2037</v>
      </c>
      <c r="B38" s="812"/>
      <c r="C38" s="2079">
        <f>R39</f>
        <v>11945</v>
      </c>
      <c r="D38" s="2547" t="s">
        <v>2243</v>
      </c>
      <c r="E38" s="2080">
        <f>R38</f>
        <v>12483</v>
      </c>
      <c r="F38" s="2548"/>
      <c r="G38" s="2079">
        <f>T38</f>
        <v>12553</v>
      </c>
      <c r="H38" s="2548"/>
      <c r="I38" s="2080">
        <f>V38</f>
        <v>10799</v>
      </c>
      <c r="J38" s="2548"/>
      <c r="K38" s="2555">
        <f>F38+H38+J38</f>
        <v>0</v>
      </c>
      <c r="L38" s="1748"/>
      <c r="M38" s="1739"/>
      <c r="N38" s="1739"/>
      <c r="O38" s="1739"/>
      <c r="P38" s="3700" t="str">
        <f>A38</f>
        <v>比较价格（元/平方米）</v>
      </c>
      <c r="Q38" s="3700"/>
      <c r="R38" s="3716">
        <f>IF(F1="售价",ROUND(PRODUCT(R37,AA7:AA36),0),ROUND(PRODUCT(R37,AA7:AA36),1))</f>
        <v>12483</v>
      </c>
      <c r="S38" s="3716"/>
      <c r="T38" s="3716">
        <f>IF(F1="售价",ROUND(PRODUCT(T37,AB7:AB36),0),ROUND(PRODUCT(T37,AB7:AB36),1))</f>
        <v>12553</v>
      </c>
      <c r="U38" s="3716"/>
      <c r="V38" s="3716">
        <f>IF(F1="售价",ROUND(PRODUCT(V37,AC7:AC36),0),ROUND(PRODUCT(V37,AC7:AC36),1))</f>
        <v>10799</v>
      </c>
      <c r="W38" s="3716"/>
      <c r="X38" s="799"/>
      <c r="Y38" s="799"/>
      <c r="Z38" s="799"/>
      <c r="AA38" s="799"/>
      <c r="AB38" s="799"/>
      <c r="AC38" s="799"/>
    </row>
    <row r="39" spans="1:29" ht="15.75" thickBot="1">
      <c r="A39" s="568" t="s">
        <v>2180</v>
      </c>
      <c r="B39" s="569"/>
      <c r="C39" s="469">
        <f>R39</f>
        <v>11945</v>
      </c>
      <c r="D39" s="469"/>
      <c r="E39" s="469"/>
      <c r="F39" s="469"/>
      <c r="G39" s="469"/>
      <c r="H39" s="469"/>
      <c r="I39" s="469"/>
      <c r="J39" s="469"/>
      <c r="K39" s="1334"/>
      <c r="L39" s="1748"/>
      <c r="M39" s="1739"/>
      <c r="N39" s="1739"/>
      <c r="O39" s="1739"/>
      <c r="P39" s="3706" t="str">
        <f>A39</f>
        <v>估价对象XX用房的比较价格（楼面单价，元/平方米）</v>
      </c>
      <c r="Q39" s="3707"/>
      <c r="R39" s="3800">
        <f>IF(F1="售价",ROUND(IF(D38="简单平均",AVERAGE(R38:W38),R38*F38+T38*H38+V38*J38),0),ROUND(IF(D38="简单平均",AVERAGE(R38:V38),R38*F38+T38*H38+V38*J38),1))</f>
        <v>11945</v>
      </c>
      <c r="S39" s="3800"/>
      <c r="T39" s="3800"/>
      <c r="U39" s="3800"/>
      <c r="V39" s="3800"/>
      <c r="W39" s="3800"/>
      <c r="X39" s="799"/>
      <c r="Y39" s="799"/>
      <c r="Z39" s="799"/>
      <c r="AA39" s="799"/>
      <c r="AB39" s="799"/>
      <c r="AC39" s="799"/>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71" t="s">
        <v>506</v>
      </c>
      <c r="D42" s="572"/>
      <c r="E42" s="573">
        <f>IF(E37&lt;E38,E38/E37-1,E37/E38-1)</f>
        <v>0</v>
      </c>
      <c r="F42" s="574" t="str">
        <f>IF(OR(E42&gt;=0.3,E42&lt;=-0.3),"超过30%","")</f>
        <v/>
      </c>
      <c r="G42" s="573">
        <f>IF(G37&lt;G38,G38/G37-1,G37/G38-1)</f>
        <v>1.0037441249103773E-2</v>
      </c>
      <c r="H42" s="574" t="str">
        <f>IF(OR(G42&gt;=0.3,G42&lt;=-0.3),"超过30%","")</f>
        <v/>
      </c>
      <c r="I42" s="573">
        <f>IF(I37&lt;I38,I38/I37-1,I37/I38-1)</f>
        <v>1.0000926011667799E-2</v>
      </c>
      <c r="J42" s="574" t="str">
        <f>IF(OR(I42&gt;=0.3,I42&lt;=-0.3),"超过30%","")</f>
        <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71" t="s">
        <v>507</v>
      </c>
      <c r="D43" s="575"/>
      <c r="E43" s="573">
        <f>IF(E38&lt;G38,G38/E38-1,E38/G38-1)</f>
        <v>5.6076263718658481E-3</v>
      </c>
      <c r="F43" s="574" t="str">
        <f>IF(OR(E43&gt;=0.2,E43&lt;=-0.2),"超过20%","")</f>
        <v/>
      </c>
      <c r="G43" s="573">
        <f>IF(G38&lt;I38,I38/G38-1,G38/I38-1)</f>
        <v>0.16242244652282611</v>
      </c>
      <c r="H43" s="574" t="str">
        <f>IF(OR(G43&gt;=0.2,G43&lt;=-0.2),"超过20%","")</f>
        <v/>
      </c>
      <c r="I43" s="573">
        <f>IF(I38&lt;E38,E38/I38-1,I38/E38-1)</f>
        <v>0.15594036484859708</v>
      </c>
      <c r="J43" s="574" t="str">
        <f>IF(OR(I43&gt;=0.2,I43&lt;=-0.2),"超过20%","")</f>
        <v/>
      </c>
      <c r="K43" s="2719"/>
      <c r="L43" s="1752"/>
      <c r="M43" s="1739"/>
      <c r="N43" s="1739"/>
      <c r="O43" s="1739"/>
      <c r="P43" s="1739"/>
      <c r="Q43" s="1739"/>
      <c r="R43" s="1739"/>
      <c r="S43" s="1739"/>
      <c r="T43" s="1739"/>
      <c r="U43" s="1739"/>
      <c r="V43" s="1739"/>
      <c r="W43" s="1739"/>
      <c r="X43" s="1739"/>
      <c r="Y43" s="1739"/>
      <c r="Z43" s="1739"/>
      <c r="AA43" s="1739"/>
      <c r="AB43" s="1739"/>
      <c r="AC43" s="1739"/>
    </row>
    <row r="44" spans="1:29" s="1137" customFormat="1" ht="13.5" customHeight="1">
      <c r="A44" s="2717"/>
      <c r="B44" s="2717"/>
      <c r="C44" s="571" t="s">
        <v>508</v>
      </c>
      <c r="D44" s="575"/>
      <c r="E44" s="573">
        <f>IF(E37&lt;G37,G37/E37-1,E37/G37-1)</f>
        <v>1.5701353841224064E-2</v>
      </c>
      <c r="F44" s="574" t="str">
        <f>IF(OR(E44&gt;=0.3,E44&lt;=-0.3),"超过30%","")</f>
        <v/>
      </c>
      <c r="G44" s="573">
        <f>IF(G37&lt;I37,I37/G37-1,G37/I37-1)</f>
        <v>0.16246447235720174</v>
      </c>
      <c r="H44" s="574" t="str">
        <f>IF(OR(G44&gt;=0.3,G44&lt;=-0.3),"超过30%","")</f>
        <v/>
      </c>
      <c r="I44" s="573">
        <f>IF(I37&lt;E37,E37/I37-1,I37/E37-1)</f>
        <v>0.14449436141927197</v>
      </c>
      <c r="J44" s="574" t="str">
        <f>IF(OR(I44&gt;=0.3,I44&lt;=-0.3),"超过30%","")</f>
        <v/>
      </c>
      <c r="K44" s="2720"/>
      <c r="L44" s="1755"/>
      <c r="M44" s="1749"/>
      <c r="N44" s="1749"/>
      <c r="O44" s="1749"/>
      <c r="P44" s="1749"/>
      <c r="Q44" s="1749"/>
      <c r="R44" s="1749"/>
      <c r="S44" s="1749"/>
      <c r="T44" s="1749"/>
      <c r="U44" s="1749"/>
      <c r="V44" s="1749"/>
      <c r="W44" s="1749"/>
      <c r="X44" s="1749"/>
      <c r="Y44" s="1749"/>
      <c r="Z44" s="1749"/>
      <c r="AA44" s="1749"/>
      <c r="AB44" s="1749"/>
      <c r="AC44" s="1749"/>
    </row>
    <row r="45" spans="1:29" s="1137"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1.75" thickBot="1">
      <c r="A47" s="1315" t="s">
        <v>522</v>
      </c>
      <c r="B47" s="799"/>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9" customFormat="1" ht="15">
      <c r="A48" s="592" t="s">
        <v>478</v>
      </c>
      <c r="B48" s="593"/>
      <c r="C48" s="2110" t="str">
        <f>YEAR(C7)&amp;"-"&amp;MONTH(C7)</f>
        <v>2025-5</v>
      </c>
      <c r="D48" s="2112">
        <f>EDATE(C48,-1)</f>
        <v>45748</v>
      </c>
      <c r="E48" s="2112">
        <f t="shared" ref="E48:O48" si="13">EDATE(D48,-1)</f>
        <v>45717</v>
      </c>
      <c r="F48" s="2112">
        <f t="shared" si="13"/>
        <v>45689</v>
      </c>
      <c r="G48" s="2112">
        <f t="shared" si="13"/>
        <v>45658</v>
      </c>
      <c r="H48" s="2112">
        <f t="shared" si="13"/>
        <v>45627</v>
      </c>
      <c r="I48" s="2112">
        <f t="shared" si="13"/>
        <v>45597</v>
      </c>
      <c r="J48" s="2112">
        <f t="shared" si="13"/>
        <v>45566</v>
      </c>
      <c r="K48" s="2112">
        <f t="shared" si="13"/>
        <v>45536</v>
      </c>
      <c r="L48" s="2112">
        <f t="shared" si="13"/>
        <v>45505</v>
      </c>
      <c r="M48" s="2112">
        <f t="shared" si="13"/>
        <v>45474</v>
      </c>
      <c r="N48" s="2112">
        <f t="shared" si="13"/>
        <v>45444</v>
      </c>
      <c r="O48" s="2112">
        <f t="shared" si="13"/>
        <v>45413</v>
      </c>
      <c r="P48" s="1762"/>
      <c r="Q48" s="1762"/>
      <c r="R48" s="1762"/>
      <c r="S48" s="1762"/>
      <c r="T48" s="1762"/>
      <c r="U48" s="1762"/>
      <c r="V48" s="1762"/>
      <c r="W48" s="1762"/>
      <c r="X48" s="1762"/>
      <c r="Y48" s="1762"/>
      <c r="Z48" s="1762"/>
      <c r="AA48" s="1762"/>
      <c r="AB48" s="1762"/>
      <c r="AC48" s="1762"/>
    </row>
    <row r="49" spans="1:29" s="1058" customFormat="1" ht="15">
      <c r="A49" s="527"/>
      <c r="B49" s="594"/>
      <c r="C49" s="2111">
        <v>100</v>
      </c>
      <c r="D49" s="596">
        <v>100</v>
      </c>
      <c r="E49" s="596">
        <v>100</v>
      </c>
      <c r="F49" s="596">
        <v>100</v>
      </c>
      <c r="G49" s="596">
        <v>100</v>
      </c>
      <c r="H49" s="596">
        <v>100</v>
      </c>
      <c r="I49" s="596"/>
      <c r="J49" s="596"/>
      <c r="K49" s="596"/>
      <c r="L49" s="596"/>
      <c r="M49" s="487"/>
      <c r="N49" s="596"/>
      <c r="O49" s="597"/>
      <c r="P49" s="1760"/>
      <c r="Q49" s="1637"/>
      <c r="R49" s="1637"/>
      <c r="S49" s="1637"/>
      <c r="T49" s="1637"/>
      <c r="U49" s="1637"/>
      <c r="V49" s="1637"/>
      <c r="W49" s="1637"/>
      <c r="X49" s="1637"/>
      <c r="Y49" s="1637"/>
      <c r="Z49" s="1637"/>
      <c r="AA49" s="1637"/>
      <c r="AB49" s="1637"/>
      <c r="AC49" s="1637"/>
    </row>
    <row r="50" spans="1:29" s="1058" customFormat="1" ht="15.75" thickBot="1">
      <c r="A50" s="262" t="s">
        <v>523</v>
      </c>
      <c r="B50" s="598"/>
      <c r="C50" s="599"/>
      <c r="D50" s="600"/>
      <c r="E50" s="600"/>
      <c r="F50" s="600"/>
      <c r="G50" s="600"/>
      <c r="H50" s="600"/>
      <c r="I50" s="600"/>
      <c r="J50" s="600"/>
      <c r="K50" s="600"/>
      <c r="L50" s="600"/>
      <c r="M50" s="601"/>
      <c r="N50" s="600"/>
      <c r="O50" s="602"/>
      <c r="P50" s="1760"/>
      <c r="Q50" s="1760"/>
      <c r="R50" s="1637"/>
      <c r="S50" s="1637"/>
      <c r="T50" s="1637"/>
      <c r="U50" s="1637"/>
      <c r="V50" s="1637"/>
      <c r="W50" s="1637"/>
      <c r="X50" s="1637"/>
      <c r="Y50" s="1637"/>
      <c r="Z50" s="1637"/>
      <c r="AA50" s="1637"/>
      <c r="AB50" s="1637"/>
      <c r="AC50" s="1637"/>
    </row>
    <row r="51" spans="1:29" s="1058" customFormat="1" ht="15">
      <c r="A51" s="603" t="s">
        <v>480</v>
      </c>
      <c r="B51" s="594"/>
      <c r="C51" s="604" t="s">
        <v>524</v>
      </c>
      <c r="D51" s="80"/>
      <c r="E51" s="80"/>
      <c r="F51" s="80"/>
      <c r="G51" s="80"/>
      <c r="H51" s="80"/>
      <c r="I51" s="80"/>
      <c r="J51" s="80"/>
      <c r="K51" s="80"/>
      <c r="L51" s="605"/>
      <c r="M51" s="606"/>
      <c r="N51" s="1763"/>
      <c r="O51" s="1763"/>
      <c r="P51" s="1644"/>
      <c r="Q51" s="1760"/>
      <c r="R51" s="1637"/>
      <c r="S51" s="1637"/>
      <c r="T51" s="1637"/>
      <c r="U51" s="1637"/>
      <c r="V51" s="1637"/>
      <c r="W51" s="1637"/>
      <c r="X51" s="1637"/>
      <c r="Y51" s="1637"/>
      <c r="Z51" s="1637"/>
      <c r="AA51" s="1637"/>
      <c r="AB51" s="1637"/>
      <c r="AC51" s="1637"/>
    </row>
    <row r="52" spans="1:29" s="1058" customFormat="1" ht="15.75" thickBot="1">
      <c r="A52" s="603"/>
      <c r="B52" s="594"/>
      <c r="C52" s="595">
        <v>100</v>
      </c>
      <c r="D52" s="596"/>
      <c r="E52" s="596"/>
      <c r="F52" s="596"/>
      <c r="G52" s="596"/>
      <c r="H52" s="596"/>
      <c r="I52" s="596"/>
      <c r="J52" s="596"/>
      <c r="K52" s="596"/>
      <c r="L52" s="596"/>
      <c r="M52" s="597"/>
      <c r="N52" s="1763"/>
      <c r="O52" s="1763"/>
      <c r="P52" s="1760"/>
      <c r="Q52" s="1760"/>
      <c r="R52" s="1637"/>
      <c r="S52" s="1637"/>
      <c r="T52" s="1637"/>
      <c r="U52" s="1637"/>
      <c r="V52" s="1637"/>
      <c r="W52" s="1637"/>
      <c r="X52" s="1637"/>
      <c r="Y52" s="1637"/>
      <c r="Z52" s="1637"/>
      <c r="AA52" s="1637"/>
      <c r="AB52" s="1637"/>
      <c r="AC52" s="1637"/>
    </row>
    <row r="53" spans="1:29">
      <c r="A53" s="607" t="s">
        <v>525</v>
      </c>
      <c r="B53" s="608" t="s">
        <v>483</v>
      </c>
      <c r="C53" s="645" t="str">
        <f>C9</f>
        <v>车库</v>
      </c>
      <c r="D53" s="547"/>
      <c r="E53" s="547"/>
      <c r="F53" s="547"/>
      <c r="G53" s="547"/>
      <c r="H53" s="547"/>
      <c r="I53" s="547"/>
      <c r="J53" s="547"/>
      <c r="K53" s="609"/>
      <c r="L53" s="610"/>
      <c r="M53" s="611"/>
      <c r="N53" s="1764"/>
      <c r="O53" s="1764"/>
      <c r="P53" s="1763"/>
      <c r="Q53" s="1760"/>
      <c r="R53" s="1739"/>
      <c r="S53" s="1739"/>
      <c r="T53" s="1739"/>
      <c r="U53" s="1739"/>
      <c r="V53" s="1739"/>
      <c r="W53" s="1739"/>
      <c r="X53" s="1739"/>
      <c r="Y53" s="1739"/>
      <c r="Z53" s="1739"/>
      <c r="AA53" s="1739"/>
      <c r="AB53" s="1739"/>
      <c r="AC53" s="1739"/>
    </row>
    <row r="54" spans="1:29" ht="15.75" thickBot="1">
      <c r="A54" s="482"/>
      <c r="B54" s="612"/>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27.75" thickTop="1">
      <c r="A55" s="482"/>
      <c r="B55" s="615" t="s">
        <v>486</v>
      </c>
      <c r="C55" s="658"/>
      <c r="D55" s="658"/>
      <c r="E55" s="658"/>
      <c r="F55" s="658"/>
      <c r="G55" s="658"/>
      <c r="H55" s="658"/>
      <c r="I55" s="658"/>
      <c r="J55" s="658"/>
      <c r="K55" s="659"/>
      <c r="L55" s="660"/>
      <c r="M55" s="661"/>
      <c r="N55" s="1764"/>
      <c r="O55" s="1764"/>
      <c r="P55" s="1763"/>
      <c r="Q55" s="1760"/>
      <c r="R55" s="1739"/>
      <c r="S55" s="1739"/>
      <c r="T55" s="1739"/>
      <c r="U55" s="1739"/>
      <c r="V55" s="1739"/>
      <c r="W55" s="1739"/>
      <c r="X55" s="1739"/>
      <c r="Y55" s="1739"/>
      <c r="Z55" s="1739"/>
      <c r="AA55" s="1739"/>
      <c r="AB55" s="1739"/>
      <c r="AC55" s="1739"/>
    </row>
    <row r="56" spans="1:29" ht="15.75" thickBot="1">
      <c r="A56" s="482"/>
      <c r="B56" s="620"/>
      <c r="C56" s="613"/>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ht="15.75" thickTop="1">
      <c r="A57" s="482"/>
      <c r="B57" s="855">
        <f>B11</f>
        <v>111</v>
      </c>
      <c r="C57" s="491"/>
      <c r="D57" s="491"/>
      <c r="E57" s="491"/>
      <c r="F57" s="491"/>
      <c r="G57" s="491"/>
      <c r="H57" s="491"/>
      <c r="I57" s="491"/>
      <c r="J57" s="491"/>
      <c r="K57" s="626"/>
      <c r="L57" s="627"/>
      <c r="M57" s="628"/>
      <c r="N57" s="1764"/>
      <c r="O57" s="1764"/>
      <c r="P57" s="1763"/>
      <c r="Q57" s="1760"/>
      <c r="R57" s="1739"/>
      <c r="S57" s="1739"/>
      <c r="T57" s="1739"/>
      <c r="U57" s="1739"/>
      <c r="V57" s="1739"/>
      <c r="W57" s="1739"/>
      <c r="X57" s="1739"/>
      <c r="Y57" s="1739"/>
      <c r="Z57" s="1739"/>
      <c r="AA57" s="1739"/>
      <c r="AB57" s="1739"/>
      <c r="AC57" s="1739"/>
    </row>
    <row r="58" spans="1:29" ht="15.75" thickBot="1">
      <c r="A58" s="482"/>
      <c r="B58" s="612"/>
      <c r="C58" s="634"/>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s="1132" customFormat="1" ht="15.75" thickTop="1">
      <c r="A59" s="629"/>
      <c r="B59" s="615">
        <f>B12</f>
        <v>111</v>
      </c>
      <c r="C59" s="491"/>
      <c r="D59" s="491"/>
      <c r="E59" s="491"/>
      <c r="F59" s="491"/>
      <c r="G59" s="630"/>
      <c r="H59" s="631"/>
      <c r="I59" s="631"/>
      <c r="J59" s="631"/>
      <c r="K59" s="631"/>
      <c r="L59" s="632"/>
      <c r="M59" s="633"/>
      <c r="N59" s="1766"/>
      <c r="O59" s="1766"/>
      <c r="P59" s="1766"/>
      <c r="Q59" s="1767"/>
      <c r="R59" s="1768"/>
      <c r="S59" s="1768"/>
      <c r="T59" s="1768"/>
      <c r="U59" s="1768"/>
      <c r="V59" s="1768"/>
      <c r="W59" s="1768"/>
      <c r="X59" s="1768"/>
      <c r="Y59" s="1768"/>
      <c r="Z59" s="1768"/>
      <c r="AA59" s="1768"/>
      <c r="AB59" s="1768"/>
      <c r="AC59" s="1768"/>
    </row>
    <row r="60" spans="1:29" s="1132" customFormat="1" ht="15.75" thickBot="1">
      <c r="A60" s="629"/>
      <c r="B60" s="620"/>
      <c r="C60" s="634"/>
      <c r="D60" s="613"/>
      <c r="E60" s="613"/>
      <c r="F60" s="613"/>
      <c r="G60" s="613"/>
      <c r="H60" s="613"/>
      <c r="I60" s="613"/>
      <c r="J60" s="613"/>
      <c r="K60" s="613"/>
      <c r="L60" s="613"/>
      <c r="M60" s="614"/>
      <c r="N60" s="1765"/>
      <c r="O60" s="1765"/>
      <c r="P60" s="1766"/>
      <c r="Q60" s="1767"/>
      <c r="R60" s="1768"/>
      <c r="S60" s="1768"/>
      <c r="T60" s="1768"/>
      <c r="U60" s="1768"/>
      <c r="V60" s="1768"/>
      <c r="W60" s="1768"/>
      <c r="X60" s="1768"/>
      <c r="Y60" s="1768"/>
      <c r="Z60" s="1768"/>
      <c r="AA60" s="1768"/>
      <c r="AB60" s="1768"/>
      <c r="AC60" s="1768"/>
    </row>
    <row r="61" spans="1:29" s="1132" customFormat="1" ht="15.75" thickTop="1">
      <c r="A61" s="629"/>
      <c r="B61" s="615">
        <f>B13</f>
        <v>111</v>
      </c>
      <c r="C61" s="630"/>
      <c r="D61" s="630"/>
      <c r="E61" s="630"/>
      <c r="F61" s="630"/>
      <c r="G61" s="630"/>
      <c r="H61" s="631"/>
      <c r="I61" s="631"/>
      <c r="J61" s="631"/>
      <c r="K61" s="631"/>
      <c r="L61" s="632"/>
      <c r="M61" s="633"/>
      <c r="N61" s="1766"/>
      <c r="O61" s="1766"/>
      <c r="P61" s="1768"/>
      <c r="Q61" s="1769"/>
      <c r="R61" s="1768"/>
      <c r="S61" s="1768"/>
      <c r="T61" s="1768"/>
      <c r="U61" s="1768"/>
      <c r="V61" s="1768"/>
      <c r="W61" s="1768"/>
      <c r="X61" s="1768"/>
      <c r="Y61" s="1768"/>
      <c r="Z61" s="1768"/>
      <c r="AA61" s="1768"/>
      <c r="AB61" s="1768"/>
      <c r="AC61" s="1768"/>
    </row>
    <row r="62" spans="1:29" s="1132" customFormat="1" ht="15.75" thickBot="1">
      <c r="A62" s="629"/>
      <c r="B62" s="620"/>
      <c r="C62" s="634"/>
      <c r="D62" s="634"/>
      <c r="E62" s="634"/>
      <c r="F62" s="634"/>
      <c r="G62" s="634"/>
      <c r="H62" s="635"/>
      <c r="I62" s="635"/>
      <c r="J62" s="635"/>
      <c r="K62" s="635"/>
      <c r="L62" s="635"/>
      <c r="M62" s="636"/>
      <c r="N62" s="1766"/>
      <c r="O62" s="1766"/>
      <c r="P62" s="1766"/>
      <c r="Q62" s="1767"/>
      <c r="R62" s="1768"/>
      <c r="S62" s="1768"/>
      <c r="T62" s="1768"/>
      <c r="U62" s="1768"/>
      <c r="V62" s="1768"/>
      <c r="W62" s="1768"/>
      <c r="X62" s="1768"/>
      <c r="Y62" s="1768"/>
      <c r="Z62" s="1768"/>
      <c r="AA62" s="1768"/>
      <c r="AB62" s="1768"/>
      <c r="AC62" s="1768"/>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4"/>
      <c r="O63" s="1764"/>
      <c r="P63" s="1771"/>
      <c r="Q63" s="1760"/>
      <c r="R63" s="1739"/>
      <c r="S63" s="1739"/>
      <c r="T63" s="1739"/>
      <c r="U63" s="1739"/>
      <c r="V63" s="1739"/>
      <c r="W63" s="1739"/>
      <c r="X63" s="1739"/>
      <c r="Y63" s="1739"/>
      <c r="Z63" s="1739"/>
      <c r="AA63" s="1739"/>
      <c r="AB63" s="1739"/>
      <c r="AC63" s="1739"/>
    </row>
    <row r="64" spans="1:29" ht="15.75" thickBot="1">
      <c r="A64" s="482"/>
      <c r="B64" s="620"/>
      <c r="C64" s="621">
        <v>100</v>
      </c>
      <c r="D64" s="621">
        <f>C64-$K14</f>
        <v>98</v>
      </c>
      <c r="E64" s="621">
        <f>D64-$K14</f>
        <v>96</v>
      </c>
      <c r="F64" s="621">
        <f>E64-$K14</f>
        <v>94</v>
      </c>
      <c r="G64" s="621">
        <f>F64-$K14</f>
        <v>92</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75" thickTop="1">
      <c r="A65" s="482"/>
      <c r="B65" s="1552" t="s">
        <v>1835</v>
      </c>
      <c r="C65" s="649" t="s">
        <v>527</v>
      </c>
      <c r="D65" s="649" t="s">
        <v>528</v>
      </c>
      <c r="E65" s="649" t="s">
        <v>529</v>
      </c>
      <c r="F65" s="649" t="s">
        <v>530</v>
      </c>
      <c r="G65" s="649" t="s">
        <v>531</v>
      </c>
      <c r="H65" s="616"/>
      <c r="I65" s="616"/>
      <c r="J65" s="616"/>
      <c r="K65" s="617"/>
      <c r="L65" s="618"/>
      <c r="M65" s="619"/>
      <c r="N65" s="1764"/>
      <c r="O65" s="1764"/>
      <c r="P65" s="1763"/>
      <c r="Q65" s="1760"/>
      <c r="R65" s="1739"/>
      <c r="S65" s="1739"/>
      <c r="T65" s="1739"/>
      <c r="U65" s="1739"/>
      <c r="V65" s="1739"/>
      <c r="W65" s="1739"/>
      <c r="X65" s="1739"/>
      <c r="Y65" s="1739"/>
      <c r="Z65" s="1739"/>
      <c r="AA65" s="1739"/>
      <c r="AB65" s="1739"/>
      <c r="AC65" s="1739"/>
    </row>
    <row r="66" spans="1:29" ht="15.75" thickBot="1">
      <c r="A66" s="482"/>
      <c r="B66" s="620"/>
      <c r="C66" s="621">
        <v>100</v>
      </c>
      <c r="D66" s="621">
        <f>C66-$K16</f>
        <v>98</v>
      </c>
      <c r="E66" s="621">
        <f>D66-$K16</f>
        <v>96</v>
      </c>
      <c r="F66" s="621">
        <f>E66-$K16</f>
        <v>94</v>
      </c>
      <c r="G66" s="621">
        <f>F66-$K16</f>
        <v>92</v>
      </c>
      <c r="H66" s="621"/>
      <c r="I66" s="621"/>
      <c r="J66" s="621"/>
      <c r="K66" s="621"/>
      <c r="L66" s="621"/>
      <c r="M66" s="622"/>
      <c r="N66" s="1765"/>
      <c r="O66" s="1765"/>
      <c r="P66" s="1763"/>
      <c r="Q66" s="1760"/>
      <c r="R66" s="1739"/>
      <c r="S66" s="1739"/>
      <c r="T66" s="1739"/>
      <c r="U66" s="1739"/>
      <c r="V66" s="1739"/>
      <c r="W66" s="1739"/>
      <c r="X66" s="1739"/>
      <c r="Y66" s="1739"/>
      <c r="Z66" s="1739"/>
      <c r="AA66" s="1739"/>
      <c r="AB66" s="1739"/>
      <c r="AC66" s="1739"/>
    </row>
    <row r="67" spans="1:29" ht="15.75" thickTop="1">
      <c r="A67" s="482"/>
      <c r="B67" s="2053" t="s">
        <v>1836</v>
      </c>
      <c r="C67" s="2054" t="s">
        <v>1837</v>
      </c>
      <c r="D67" s="2054" t="s">
        <v>1838</v>
      </c>
      <c r="E67" s="2054" t="s">
        <v>1839</v>
      </c>
      <c r="F67" s="2054" t="s">
        <v>1840</v>
      </c>
      <c r="G67" s="2054" t="s">
        <v>1841</v>
      </c>
      <c r="H67" s="616"/>
      <c r="I67" s="616"/>
      <c r="J67" s="616"/>
      <c r="K67" s="616"/>
      <c r="L67" s="616"/>
      <c r="M67" s="2057"/>
      <c r="N67" s="1765"/>
      <c r="O67" s="1765"/>
      <c r="P67" s="1763"/>
      <c r="Q67" s="1760"/>
      <c r="R67" s="1739"/>
      <c r="S67" s="1739"/>
      <c r="T67" s="1739"/>
      <c r="U67" s="1739"/>
      <c r="V67" s="1739"/>
      <c r="W67" s="1739"/>
      <c r="X67" s="1739"/>
      <c r="Y67" s="1739"/>
      <c r="Z67" s="1739"/>
      <c r="AA67" s="1739"/>
      <c r="AB67" s="1739"/>
      <c r="AC67" s="1739"/>
    </row>
    <row r="68" spans="1:29" ht="15.75" thickBot="1">
      <c r="A68" s="482"/>
      <c r="B68" s="623"/>
      <c r="C68" s="621">
        <v>100</v>
      </c>
      <c r="D68" s="621">
        <f>C68-$K18</f>
        <v>99</v>
      </c>
      <c r="E68" s="621">
        <f>D68-$K18</f>
        <v>98</v>
      </c>
      <c r="F68" s="621">
        <f>E68-$K18</f>
        <v>97</v>
      </c>
      <c r="G68" s="621">
        <f>F68-$K18</f>
        <v>96</v>
      </c>
      <c r="H68" s="855"/>
      <c r="I68" s="855"/>
      <c r="J68" s="855"/>
      <c r="K68" s="855"/>
      <c r="L68" s="855"/>
      <c r="M68" s="509"/>
      <c r="N68" s="1765"/>
      <c r="O68" s="1765"/>
      <c r="P68" s="1763"/>
      <c r="Q68" s="1760"/>
      <c r="R68" s="1739"/>
      <c r="S68" s="1739"/>
      <c r="T68" s="1739"/>
      <c r="U68" s="1739"/>
      <c r="V68" s="1739"/>
      <c r="W68" s="1739"/>
      <c r="X68" s="1739"/>
      <c r="Y68" s="1739"/>
      <c r="Z68" s="1739"/>
      <c r="AA68" s="1739"/>
      <c r="AB68" s="1739"/>
      <c r="AC68" s="1739"/>
    </row>
    <row r="69" spans="1:29" ht="15.75" thickTop="1">
      <c r="A69" s="482"/>
      <c r="B69" s="615" t="s">
        <v>684</v>
      </c>
      <c r="C69" s="649" t="s">
        <v>527</v>
      </c>
      <c r="D69" s="649" t="s">
        <v>528</v>
      </c>
      <c r="E69" s="649" t="s">
        <v>529</v>
      </c>
      <c r="F69" s="649" t="s">
        <v>530</v>
      </c>
      <c r="G69" s="649" t="s">
        <v>531</v>
      </c>
      <c r="H69" s="616"/>
      <c r="I69" s="616"/>
      <c r="J69" s="616"/>
      <c r="K69" s="617"/>
      <c r="L69" s="618"/>
      <c r="M69" s="619"/>
      <c r="N69" s="1764"/>
      <c r="O69" s="1764"/>
      <c r="P69" s="1763"/>
      <c r="Q69" s="1760"/>
      <c r="R69" s="1739"/>
      <c r="S69" s="1739"/>
      <c r="T69" s="1739"/>
      <c r="U69" s="1739"/>
      <c r="V69" s="1739"/>
      <c r="W69" s="1739"/>
      <c r="X69" s="1739"/>
      <c r="Y69" s="1739"/>
      <c r="Z69" s="1739"/>
      <c r="AA69" s="1739"/>
      <c r="AB69" s="1739"/>
      <c r="AC69" s="1739"/>
    </row>
    <row r="70" spans="1:29" ht="15.75" thickBot="1">
      <c r="A70" s="482"/>
      <c r="B70" s="620"/>
      <c r="C70" s="621">
        <v>100</v>
      </c>
      <c r="D70" s="621">
        <f>C70-$K20</f>
        <v>98</v>
      </c>
      <c r="E70" s="621">
        <f>D70-$K20</f>
        <v>96</v>
      </c>
      <c r="F70" s="621">
        <f>E70-$K20</f>
        <v>94</v>
      </c>
      <c r="G70" s="621">
        <f>F70-$K20</f>
        <v>92</v>
      </c>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ht="15.75" thickTop="1">
      <c r="A71" s="482"/>
      <c r="B71" s="615" t="s">
        <v>685</v>
      </c>
      <c r="C71" s="3405" t="s">
        <v>3703</v>
      </c>
      <c r="D71" s="630"/>
      <c r="E71" s="630"/>
      <c r="F71" s="630"/>
      <c r="G71" s="630"/>
      <c r="H71" s="658"/>
      <c r="I71" s="658"/>
      <c r="J71" s="658"/>
      <c r="K71" s="659"/>
      <c r="L71" s="660"/>
      <c r="M71" s="661"/>
      <c r="N71" s="1764"/>
      <c r="O71" s="1764"/>
      <c r="P71" s="1763"/>
      <c r="Q71" s="1760"/>
      <c r="R71" s="1739"/>
      <c r="S71" s="1739"/>
      <c r="T71" s="1739"/>
      <c r="U71" s="1739"/>
      <c r="V71" s="1739"/>
      <c r="W71" s="1739"/>
      <c r="X71" s="1739"/>
      <c r="Y71" s="1739"/>
      <c r="Z71" s="1739"/>
      <c r="AA71" s="1739"/>
      <c r="AB71" s="1739"/>
      <c r="AC71" s="1739"/>
    </row>
    <row r="72" spans="1:29" ht="15.75" thickBot="1">
      <c r="A72" s="482"/>
      <c r="B72" s="620"/>
      <c r="C72" s="621">
        <v>100</v>
      </c>
      <c r="D72" s="621">
        <f>C72-$K22</f>
        <v>98</v>
      </c>
      <c r="E72" s="621">
        <f>D72-$K22</f>
        <v>96</v>
      </c>
      <c r="F72" s="621">
        <f>E72-$K22</f>
        <v>94</v>
      </c>
      <c r="G72" s="621">
        <f>F72-$K22</f>
        <v>92</v>
      </c>
      <c r="H72" s="621"/>
      <c r="I72" s="621"/>
      <c r="J72" s="621"/>
      <c r="K72" s="621"/>
      <c r="L72" s="621"/>
      <c r="M72" s="622"/>
      <c r="N72" s="1765"/>
      <c r="O72" s="1765"/>
      <c r="P72" s="1763"/>
      <c r="Q72" s="1760"/>
      <c r="R72" s="1739"/>
      <c r="S72" s="1739"/>
      <c r="T72" s="1739"/>
      <c r="U72" s="1739"/>
      <c r="V72" s="1739"/>
      <c r="W72" s="1739"/>
      <c r="X72" s="1739"/>
      <c r="Y72" s="1739"/>
      <c r="Z72" s="1739"/>
      <c r="AA72" s="1739"/>
      <c r="AB72" s="1739"/>
      <c r="AC72" s="1739"/>
    </row>
    <row r="73" spans="1:29" s="1058" customFormat="1" ht="15.75" thickTop="1">
      <c r="A73" s="486"/>
      <c r="B73" s="615">
        <f>B23</f>
        <v>111</v>
      </c>
      <c r="C73" s="491"/>
      <c r="D73" s="491"/>
      <c r="E73" s="491"/>
      <c r="F73" s="491"/>
      <c r="G73" s="630"/>
      <c r="H73" s="630"/>
      <c r="I73" s="630"/>
      <c r="J73" s="630"/>
      <c r="K73" s="630"/>
      <c r="L73" s="814"/>
      <c r="M73" s="815"/>
      <c r="N73" s="1763"/>
      <c r="O73" s="1763"/>
      <c r="P73" s="1763"/>
      <c r="Q73" s="1760"/>
      <c r="R73" s="1637"/>
      <c r="S73" s="1637"/>
      <c r="T73" s="1637"/>
      <c r="U73" s="1637"/>
      <c r="V73" s="1637"/>
      <c r="W73" s="1637"/>
      <c r="X73" s="1637"/>
      <c r="Y73" s="1637"/>
      <c r="Z73" s="1637"/>
      <c r="AA73" s="1637"/>
      <c r="AB73" s="1637"/>
      <c r="AC73" s="1637"/>
    </row>
    <row r="74" spans="1:29" s="1058" customFormat="1" ht="15.75"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058" customFormat="1" ht="15.75" thickTop="1">
      <c r="A75" s="486"/>
      <c r="B75" s="615">
        <f>B24</f>
        <v>111</v>
      </c>
      <c r="C75" s="491"/>
      <c r="D75" s="491"/>
      <c r="E75" s="491"/>
      <c r="F75" s="491"/>
      <c r="G75" s="630"/>
      <c r="H75" s="630"/>
      <c r="I75" s="630"/>
      <c r="J75" s="630"/>
      <c r="K75" s="630"/>
      <c r="L75" s="630"/>
      <c r="M75" s="815"/>
      <c r="N75" s="1763"/>
      <c r="O75" s="1763"/>
      <c r="P75" s="1763"/>
      <c r="Q75" s="1760"/>
      <c r="R75" s="1637"/>
      <c r="S75" s="1637"/>
      <c r="T75" s="1637"/>
      <c r="U75" s="1637"/>
      <c r="V75" s="1637"/>
      <c r="W75" s="1637"/>
      <c r="X75" s="1637"/>
      <c r="Y75" s="1637"/>
      <c r="Z75" s="1637"/>
      <c r="AA75" s="1637"/>
      <c r="AB75" s="1637"/>
      <c r="AC75" s="1637"/>
    </row>
    <row r="76" spans="1:29" s="1058" customFormat="1" ht="15.75" thickBot="1">
      <c r="A76" s="486"/>
      <c r="B76" s="620"/>
      <c r="C76" s="634"/>
      <c r="D76" s="613"/>
      <c r="E76" s="613"/>
      <c r="F76" s="613"/>
      <c r="G76" s="613"/>
      <c r="H76" s="613"/>
      <c r="I76" s="613"/>
      <c r="J76" s="613"/>
      <c r="K76" s="613"/>
      <c r="L76" s="613"/>
      <c r="M76" s="614"/>
      <c r="N76" s="1765"/>
      <c r="O76" s="1765"/>
      <c r="P76" s="1763"/>
      <c r="Q76" s="1760"/>
      <c r="R76" s="1637"/>
      <c r="S76" s="1637"/>
      <c r="T76" s="1637"/>
      <c r="U76" s="1637"/>
      <c r="V76" s="1637"/>
      <c r="W76" s="1637"/>
      <c r="X76" s="1637"/>
      <c r="Y76" s="1637"/>
      <c r="Z76" s="1637"/>
      <c r="AA76" s="1637"/>
      <c r="AB76" s="1637"/>
      <c r="AC76" s="1637"/>
    </row>
    <row r="77" spans="1:29" s="1132" customFormat="1" ht="15.75" thickTop="1">
      <c r="A77" s="629"/>
      <c r="B77" s="615">
        <f>B25</f>
        <v>111</v>
      </c>
      <c r="C77" s="630"/>
      <c r="D77" s="630"/>
      <c r="E77" s="630"/>
      <c r="F77" s="630"/>
      <c r="G77" s="630"/>
      <c r="H77" s="631"/>
      <c r="I77" s="631"/>
      <c r="J77" s="631"/>
      <c r="K77" s="631"/>
      <c r="L77" s="632"/>
      <c r="M77" s="633"/>
      <c r="N77" s="1766"/>
      <c r="O77" s="1766"/>
      <c r="P77" s="1766"/>
      <c r="Q77" s="1767"/>
      <c r="R77" s="1768"/>
      <c r="S77" s="1768"/>
      <c r="T77" s="1768"/>
      <c r="U77" s="1768"/>
      <c r="V77" s="1768"/>
      <c r="W77" s="1768"/>
      <c r="X77" s="1768"/>
      <c r="Y77" s="1768"/>
      <c r="Z77" s="1768"/>
      <c r="AA77" s="1768"/>
      <c r="AB77" s="1768"/>
      <c r="AC77" s="1768"/>
    </row>
    <row r="78" spans="1:29" s="1132" customFormat="1" ht="15.75" thickBot="1">
      <c r="A78" s="629"/>
      <c r="B78" s="620"/>
      <c r="C78" s="634"/>
      <c r="D78" s="634"/>
      <c r="E78" s="634"/>
      <c r="F78" s="634"/>
      <c r="G78" s="613"/>
      <c r="H78" s="613"/>
      <c r="I78" s="613"/>
      <c r="J78" s="613"/>
      <c r="K78" s="613"/>
      <c r="L78" s="613"/>
      <c r="M78" s="614"/>
      <c r="N78" s="1766"/>
      <c r="O78" s="1766"/>
      <c r="P78" s="1766"/>
      <c r="Q78" s="1767"/>
      <c r="R78" s="1768"/>
      <c r="S78" s="1768"/>
      <c r="T78" s="1768"/>
      <c r="U78" s="1768"/>
      <c r="V78" s="1768"/>
      <c r="W78" s="1768"/>
      <c r="X78" s="1768"/>
      <c r="Y78" s="1768"/>
      <c r="Z78" s="1768"/>
      <c r="AA78" s="1768"/>
      <c r="AB78" s="1768"/>
      <c r="AC78" s="1768"/>
    </row>
    <row r="79" spans="1:29" ht="27.75" thickTop="1">
      <c r="A79" s="607" t="s">
        <v>500</v>
      </c>
      <c r="B79" s="608" t="s">
        <v>754</v>
      </c>
      <c r="C79" s="645" t="str">
        <f>C26</f>
        <v>车库</v>
      </c>
      <c r="D79" s="547"/>
      <c r="E79" s="547"/>
      <c r="F79" s="547"/>
      <c r="G79" s="547"/>
      <c r="H79" s="547"/>
      <c r="I79" s="547"/>
      <c r="J79" s="547"/>
      <c r="K79" s="609"/>
      <c r="L79" s="610"/>
      <c r="M79" s="611"/>
      <c r="N79" s="1764"/>
      <c r="O79" s="1764"/>
      <c r="P79" s="1763"/>
      <c r="Q79" s="1760"/>
      <c r="R79" s="1739"/>
      <c r="S79" s="1739"/>
      <c r="T79" s="1739"/>
      <c r="U79" s="1739"/>
      <c r="V79" s="1739"/>
      <c r="W79" s="1739"/>
      <c r="X79" s="1739"/>
      <c r="Y79" s="1739"/>
      <c r="Z79" s="1739"/>
      <c r="AA79" s="1739"/>
      <c r="AB79" s="1739"/>
      <c r="AC79" s="1739"/>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5"/>
      <c r="O80" s="1765"/>
      <c r="P80" s="1763"/>
      <c r="Q80" s="1760"/>
      <c r="R80" s="1739"/>
      <c r="S80" s="1739"/>
      <c r="T80" s="1739"/>
      <c r="U80" s="1739"/>
      <c r="V80" s="1739"/>
      <c r="W80" s="1739"/>
      <c r="X80" s="1739"/>
      <c r="Y80" s="1739"/>
      <c r="Z80" s="1739"/>
      <c r="AA80" s="1739"/>
      <c r="AB80" s="1739"/>
      <c r="AC80" s="1739"/>
    </row>
    <row r="81" spans="1:29" ht="15.75" thickTop="1">
      <c r="A81" s="482"/>
      <c r="B81" s="615" t="s">
        <v>755</v>
      </c>
      <c r="C81" s="856"/>
      <c r="D81" s="856"/>
      <c r="E81" s="856"/>
      <c r="F81" s="856"/>
      <c r="G81" s="856"/>
      <c r="H81" s="856"/>
      <c r="I81" s="856"/>
      <c r="J81" s="856"/>
      <c r="K81" s="857"/>
      <c r="L81" s="858"/>
      <c r="M81" s="859"/>
      <c r="N81" s="1763"/>
      <c r="O81" s="1763"/>
      <c r="P81" s="1763"/>
      <c r="Q81" s="1760"/>
      <c r="R81" s="1739"/>
      <c r="S81" s="1739"/>
      <c r="T81" s="1739"/>
      <c r="U81" s="1739"/>
      <c r="V81" s="1739"/>
      <c r="W81" s="1739"/>
      <c r="X81" s="1739"/>
      <c r="Y81" s="1739"/>
      <c r="Z81" s="1739"/>
      <c r="AA81" s="1739"/>
      <c r="AB81" s="1739"/>
      <c r="AC81" s="1739"/>
    </row>
    <row r="82" spans="1:29" s="1132" customFormat="1" ht="15.75" thickBot="1">
      <c r="A82" s="629"/>
      <c r="B82" s="620"/>
      <c r="C82" s="634"/>
      <c r="D82" s="613"/>
      <c r="E82" s="613"/>
      <c r="F82" s="613"/>
      <c r="G82" s="613"/>
      <c r="H82" s="613"/>
      <c r="I82" s="613"/>
      <c r="J82" s="613"/>
      <c r="K82" s="613"/>
      <c r="L82" s="613"/>
      <c r="M82" s="614"/>
      <c r="N82" s="1765"/>
      <c r="O82" s="1765"/>
      <c r="P82" s="1766"/>
      <c r="Q82" s="1767"/>
      <c r="R82" s="1768"/>
      <c r="S82" s="1768"/>
      <c r="T82" s="1768"/>
      <c r="U82" s="1768"/>
      <c r="V82" s="1768"/>
      <c r="W82" s="1768"/>
      <c r="X82" s="1768"/>
      <c r="Y82" s="1768"/>
      <c r="Z82" s="1768"/>
      <c r="AA82" s="1768"/>
      <c r="AB82" s="1768"/>
      <c r="AC82" s="1768"/>
    </row>
    <row r="83" spans="1:29" ht="15" thickTop="1">
      <c r="A83" s="543"/>
      <c r="B83" s="615" t="s">
        <v>691</v>
      </c>
      <c r="C83" s="630"/>
      <c r="D83" s="630"/>
      <c r="E83" s="658"/>
      <c r="F83" s="658"/>
      <c r="G83" s="658"/>
      <c r="H83" s="658"/>
      <c r="I83" s="658"/>
      <c r="J83" s="658"/>
      <c r="K83" s="659"/>
      <c r="L83" s="660"/>
      <c r="M83" s="661"/>
      <c r="N83" s="1764"/>
      <c r="O83" s="1764"/>
      <c r="P83" s="1763"/>
      <c r="Q83" s="1760"/>
      <c r="R83" s="1739"/>
      <c r="S83" s="1739"/>
      <c r="T83" s="1739"/>
      <c r="U83" s="1739"/>
      <c r="V83" s="1739"/>
      <c r="W83" s="1739"/>
      <c r="X83" s="1739"/>
      <c r="Y83" s="1739"/>
      <c r="Z83" s="1739"/>
      <c r="AA83" s="1739"/>
      <c r="AB83" s="1739"/>
      <c r="AC83" s="1739"/>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4"/>
      <c r="O85" s="1764"/>
      <c r="P85" s="1763"/>
      <c r="Q85" s="1760"/>
      <c r="R85" s="1739"/>
      <c r="S85" s="1739"/>
      <c r="T85" s="1739"/>
      <c r="U85" s="1739"/>
      <c r="V85" s="1739"/>
      <c r="W85" s="1739"/>
      <c r="X85" s="1739"/>
      <c r="Y85" s="1739"/>
      <c r="Z85" s="1739"/>
      <c r="AA85" s="1739"/>
      <c r="AB85" s="1739"/>
      <c r="AC85" s="1739"/>
    </row>
    <row r="86" spans="1:29">
      <c r="A86" s="543"/>
      <c r="B86" s="623"/>
      <c r="C86" s="817">
        <v>0.5</v>
      </c>
      <c r="D86" s="817">
        <v>0.6</v>
      </c>
      <c r="E86" s="817">
        <v>0.7</v>
      </c>
      <c r="F86" s="817">
        <v>0.8</v>
      </c>
      <c r="G86" s="817">
        <v>0.9</v>
      </c>
      <c r="H86" s="817">
        <v>1.0001</v>
      </c>
      <c r="I86" s="827"/>
      <c r="J86" s="827"/>
      <c r="K86" s="828"/>
      <c r="L86" s="829"/>
      <c r="M86" s="830"/>
      <c r="N86" s="1764"/>
      <c r="O86" s="1764"/>
      <c r="P86" s="1763"/>
      <c r="Q86" s="1760"/>
      <c r="R86" s="1739"/>
      <c r="S86" s="1739"/>
      <c r="T86" s="1739"/>
      <c r="U86" s="1739"/>
      <c r="V86" s="1739"/>
      <c r="W86" s="1739"/>
      <c r="X86" s="1739"/>
      <c r="Y86" s="1739"/>
      <c r="Z86" s="1739"/>
      <c r="AA86" s="1739"/>
      <c r="AB86" s="1739"/>
      <c r="AC86" s="1739"/>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3"/>
      <c r="B88" s="623" t="s">
        <v>757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739"/>
      <c r="S89" s="1739"/>
      <c r="T89" s="1739"/>
      <c r="U89" s="1739"/>
      <c r="V89" s="1739"/>
      <c r="W89" s="1739"/>
      <c r="X89" s="1739"/>
      <c r="Y89" s="1739"/>
      <c r="Z89" s="1739"/>
      <c r="AA89" s="1739"/>
      <c r="AB89" s="1739"/>
      <c r="AC89" s="1739"/>
    </row>
    <row r="90" spans="1:29" s="1132"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6"/>
      <c r="O90" s="1766"/>
      <c r="P90" s="1766"/>
      <c r="Q90" s="1767"/>
      <c r="R90" s="1768"/>
      <c r="S90" s="1768"/>
      <c r="T90" s="1768"/>
      <c r="U90" s="1768"/>
      <c r="V90" s="1768"/>
      <c r="W90" s="1768"/>
      <c r="X90" s="1768"/>
      <c r="Y90" s="1768"/>
      <c r="Z90" s="1768"/>
      <c r="AA90" s="1768"/>
      <c r="AB90" s="1768"/>
      <c r="AC90" s="1768"/>
    </row>
    <row r="91" spans="1:29" s="1132" customFormat="1">
      <c r="A91" s="552"/>
      <c r="B91" s="623"/>
      <c r="C91" s="79">
        <v>0</v>
      </c>
      <c r="D91" s="79">
        <v>30</v>
      </c>
      <c r="E91" s="79">
        <v>40</v>
      </c>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5.75" thickBot="1">
      <c r="A92" s="629"/>
      <c r="B92" s="620"/>
      <c r="C92" s="634">
        <v>100</v>
      </c>
      <c r="D92" s="613">
        <f>C92-1</f>
        <v>99</v>
      </c>
      <c r="E92" s="613">
        <f>D92-1</f>
        <v>98</v>
      </c>
      <c r="F92" s="613"/>
      <c r="G92" s="613"/>
      <c r="H92" s="613"/>
      <c r="I92" s="613"/>
      <c r="J92" s="613"/>
      <c r="K92" s="613"/>
      <c r="L92" s="613"/>
      <c r="M92" s="614"/>
      <c r="N92" s="1766"/>
      <c r="O92" s="1766"/>
      <c r="P92" s="1766"/>
      <c r="Q92" s="1767"/>
      <c r="R92" s="1768"/>
      <c r="S92" s="1768"/>
      <c r="T92" s="1768"/>
      <c r="U92" s="1768"/>
      <c r="V92" s="1768"/>
      <c r="W92" s="1768"/>
      <c r="X92" s="1768"/>
      <c r="Y92" s="1768"/>
      <c r="Z92" s="1768"/>
      <c r="AA92" s="1768"/>
      <c r="AB92" s="1768"/>
      <c r="AC92" s="1768"/>
    </row>
    <row r="93" spans="1:29" ht="15" thickTop="1">
      <c r="A93" s="543"/>
      <c r="B93" s="615" t="s">
        <v>759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760</v>
      </c>
      <c r="C95" s="547"/>
      <c r="D95" s="547"/>
      <c r="E95" s="547"/>
      <c r="F95" s="547"/>
      <c r="G95" s="547"/>
      <c r="H95" s="547"/>
      <c r="I95" s="547"/>
      <c r="J95" s="547"/>
      <c r="K95" s="609"/>
      <c r="L95" s="610"/>
      <c r="M95" s="611"/>
      <c r="N95" s="1764"/>
      <c r="O95" s="1764"/>
      <c r="P95" s="1763"/>
      <c r="Q95" s="1760"/>
      <c r="R95" s="1739"/>
      <c r="S95" s="1739"/>
      <c r="T95" s="1739"/>
      <c r="U95" s="1739"/>
      <c r="V95" s="1739"/>
      <c r="W95" s="1739"/>
      <c r="X95" s="1739"/>
      <c r="Y95" s="1739"/>
      <c r="Z95" s="1739"/>
      <c r="AA95" s="1739"/>
      <c r="AB95" s="1739"/>
      <c r="AC95" s="1739"/>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ht="15" thickTop="1">
      <c r="A97" s="543"/>
      <c r="B97" s="838">
        <f>B34</f>
        <v>111</v>
      </c>
      <c r="C97" s="491"/>
      <c r="D97" s="491"/>
      <c r="E97" s="491"/>
      <c r="F97" s="491"/>
      <c r="G97" s="630"/>
      <c r="H97" s="631"/>
      <c r="I97" s="631"/>
      <c r="J97" s="631"/>
      <c r="K97" s="631"/>
      <c r="L97" s="632"/>
      <c r="M97" s="633"/>
      <c r="N97" s="1765"/>
      <c r="O97" s="1765"/>
      <c r="P97" s="1765"/>
      <c r="Q97" s="1800"/>
      <c r="R97" s="1739"/>
      <c r="S97" s="1739"/>
      <c r="T97" s="1739"/>
      <c r="U97" s="1739"/>
      <c r="V97" s="1739"/>
      <c r="W97" s="1739"/>
      <c r="X97" s="1739"/>
      <c r="Y97" s="1739"/>
      <c r="Z97" s="1739"/>
      <c r="AA97" s="1739"/>
      <c r="AB97" s="1739"/>
      <c r="AC97" s="1739"/>
    </row>
    <row r="98" spans="1:29" ht="15.75" thickBot="1">
      <c r="A98" s="482"/>
      <c r="B98" s="620"/>
      <c r="C98" s="634"/>
      <c r="D98" s="613"/>
      <c r="E98" s="613"/>
      <c r="F98" s="613"/>
      <c r="G98" s="634"/>
      <c r="H98" s="635"/>
      <c r="I98" s="635"/>
      <c r="J98" s="635"/>
      <c r="K98" s="635"/>
      <c r="L98" s="635"/>
      <c r="M98" s="636"/>
      <c r="N98" s="1765"/>
      <c r="O98" s="1765"/>
      <c r="P98" s="1763"/>
      <c r="Q98" s="1760"/>
      <c r="R98" s="1739"/>
      <c r="S98" s="1739"/>
      <c r="T98" s="1739"/>
      <c r="U98" s="1739"/>
      <c r="V98" s="1739"/>
      <c r="W98" s="1739"/>
      <c r="X98" s="1739"/>
      <c r="Y98" s="1739"/>
      <c r="Z98" s="1739"/>
      <c r="AA98" s="1739"/>
      <c r="AB98" s="1739"/>
      <c r="AC98" s="1739"/>
    </row>
    <row r="99" spans="1:29" s="1132" customFormat="1" ht="15" thickTop="1">
      <c r="A99" s="552"/>
      <c r="B99" s="615">
        <f>B35</f>
        <v>111</v>
      </c>
      <c r="C99" s="491"/>
      <c r="D99" s="491"/>
      <c r="E99" s="491"/>
      <c r="F99" s="491"/>
      <c r="G99" s="630"/>
      <c r="H99" s="631"/>
      <c r="I99" s="631"/>
      <c r="J99" s="631"/>
      <c r="K99" s="631"/>
      <c r="L99" s="632"/>
      <c r="M99" s="633"/>
      <c r="N99" s="1766"/>
      <c r="O99" s="1766"/>
      <c r="P99" s="1766"/>
      <c r="Q99" s="1767"/>
      <c r="R99" s="1768"/>
      <c r="S99" s="1768"/>
      <c r="T99" s="1768"/>
      <c r="U99" s="1768"/>
      <c r="V99" s="1768"/>
      <c r="W99" s="1768"/>
      <c r="X99" s="1768"/>
      <c r="Y99" s="1768"/>
      <c r="Z99" s="1768"/>
      <c r="AA99" s="1768"/>
      <c r="AB99" s="1768"/>
      <c r="AC99" s="1768"/>
    </row>
    <row r="100" spans="1:29" s="1132" customFormat="1" ht="15.75" thickBot="1">
      <c r="A100" s="629"/>
      <c r="B100" s="612"/>
      <c r="C100" s="634"/>
      <c r="D100" s="613"/>
      <c r="E100" s="613"/>
      <c r="F100" s="613"/>
      <c r="G100" s="634"/>
      <c r="H100" s="635"/>
      <c r="I100" s="635"/>
      <c r="J100" s="635"/>
      <c r="K100" s="635"/>
      <c r="L100" s="635"/>
      <c r="M100" s="636"/>
      <c r="N100" s="1766"/>
      <c r="O100" s="1766"/>
      <c r="P100" s="1766"/>
      <c r="Q100" s="1767"/>
      <c r="R100" s="1768"/>
      <c r="S100" s="1768"/>
      <c r="T100" s="1768"/>
      <c r="U100" s="1768"/>
      <c r="V100" s="1768"/>
      <c r="W100" s="1768"/>
      <c r="X100" s="1768"/>
      <c r="Y100" s="1768"/>
      <c r="Z100" s="1768"/>
      <c r="AA100" s="1768"/>
      <c r="AB100" s="1768"/>
      <c r="AC100" s="1768"/>
    </row>
    <row r="101" spans="1:29" ht="15" thickTop="1">
      <c r="A101" s="543"/>
      <c r="B101" s="615">
        <f>B36</f>
        <v>111</v>
      </c>
      <c r="C101" s="630"/>
      <c r="D101" s="630"/>
      <c r="E101" s="630"/>
      <c r="F101" s="630"/>
      <c r="G101" s="630"/>
      <c r="H101" s="631"/>
      <c r="I101" s="631"/>
      <c r="J101" s="631"/>
      <c r="K101" s="631"/>
      <c r="L101" s="632"/>
      <c r="M101" s="633"/>
      <c r="N101" s="1764"/>
      <c r="O101" s="1764"/>
      <c r="P101" s="1763"/>
      <c r="Q101" s="1760"/>
      <c r="R101" s="1739"/>
      <c r="S101" s="1739"/>
      <c r="T101" s="1739"/>
      <c r="U101" s="1739"/>
      <c r="V101" s="1739"/>
      <c r="W101" s="1739"/>
      <c r="X101" s="1739"/>
      <c r="Y101" s="1739"/>
      <c r="Z101" s="1739"/>
      <c r="AA101" s="1739"/>
      <c r="AB101" s="1739"/>
      <c r="AC101" s="1739"/>
    </row>
    <row r="102" spans="1:29" ht="15.75" thickBot="1">
      <c r="A102" s="482"/>
      <c r="B102" s="620"/>
      <c r="C102" s="634"/>
      <c r="D102" s="634"/>
      <c r="E102" s="634"/>
      <c r="F102" s="634"/>
      <c r="G102" s="634"/>
      <c r="H102" s="635"/>
      <c r="I102" s="635"/>
      <c r="J102" s="635"/>
      <c r="K102" s="635"/>
      <c r="L102" s="635"/>
      <c r="M102" s="636"/>
      <c r="N102" s="1765"/>
      <c r="O102" s="1765"/>
      <c r="P102" s="1763"/>
      <c r="Q102" s="1760"/>
      <c r="R102" s="1739"/>
      <c r="S102" s="1739"/>
      <c r="T102" s="1739"/>
      <c r="U102" s="1739"/>
      <c r="V102" s="1739"/>
      <c r="W102" s="1739"/>
      <c r="X102" s="1739"/>
      <c r="Y102" s="1739"/>
      <c r="Z102" s="1739"/>
      <c r="AA102" s="1739"/>
      <c r="AB102" s="1739"/>
      <c r="AC102" s="1739"/>
    </row>
    <row r="103" spans="1:29" ht="1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1428</v>
      </c>
    </row>
    <row r="3" spans="1:4" ht="18.75">
      <c r="A3" s="1490" t="str">
        <f>项目基本情况!B5&amp;"："</f>
        <v>光大东高地：</v>
      </c>
    </row>
    <row r="4" spans="1:4" ht="37.5">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8.75">
      <c r="A5" s="1488" t="s">
        <v>1429</v>
      </c>
    </row>
    <row r="6" spans="1:4" ht="75">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93.75">
      <c r="A7" s="2175" t="s">
        <v>2025</v>
      </c>
    </row>
    <row r="8" spans="1:4" ht="18.75">
      <c r="A8" s="1488" t="s">
        <v>1430</v>
      </c>
    </row>
    <row r="9" spans="1:4" ht="18.75">
      <c r="A9" s="1485" t="e">
        <f>IF(项目基本情况!B8="抵押",IF(项目基本情况!B5=项目基本情况!B6,定义!C51,定义!B51),定义!D51)</f>
        <v>#REF!</v>
      </c>
    </row>
    <row r="10" spans="1:4" ht="18.75">
      <c r="A10" s="1490" t="s">
        <v>1541</v>
      </c>
    </row>
    <row r="11" spans="1:4" ht="18.75">
      <c r="A11" s="1474" t="str">
        <f>TEXT(项目基本情况!D3,"yyyy年m月d日;;")&amp;IF(项目基本情况!B3=项目基本情况!D3,"（评估专业人员勘察现场之日）","")</f>
        <v>2025年5月12日（评估专业人员勘察现场之日）</v>
      </c>
    </row>
    <row r="12" spans="1:4" ht="18.75">
      <c r="A12" s="1490" t="s">
        <v>1540</v>
      </c>
    </row>
    <row r="13" spans="1:4" ht="18.75">
      <c r="A13" s="1485" t="s">
        <v>1586</v>
      </c>
    </row>
    <row r="14" spans="1:4" ht="18.75">
      <c r="A14" s="1485" t="str">
        <f>"根据"&amp;项目基本情况!F12&amp;"，本次评估估价对象证载（地类）用途为"&amp;项目基本情况!B12&amp;"。"</f>
        <v>根据合同，本次评估估价对象证载（地类）用途为。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1587</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5" t="s">
        <v>1588</v>
      </c>
    </row>
    <row r="20" spans="1:1" ht="37.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93.75">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5" t="s">
        <v>1589</v>
      </c>
    </row>
    <row r="23" spans="1:1" ht="18.75">
      <c r="A23" s="2177" t="s">
        <v>2026</v>
      </c>
    </row>
    <row r="24" spans="1:1" ht="18.75">
      <c r="A24" s="1485" t="s">
        <v>1590</v>
      </c>
    </row>
    <row r="25" spans="1:1" ht="93.75">
      <c r="A25" s="1485"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37.5">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5" t="str">
        <f>IF(项目基本情况!E9="——","",定义!C57)</f>
        <v/>
      </c>
    </row>
    <row r="29" spans="1:1" ht="18.75">
      <c r="A29" s="1490" t="s">
        <v>1542</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E53" sqref="AE53"/>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3" t="s">
        <v>665</v>
      </c>
      <c r="B1" s="844"/>
      <c r="C1" s="455" t="s">
        <v>732</v>
      </c>
      <c r="D1" s="783"/>
      <c r="E1" s="457"/>
      <c r="F1" s="2115"/>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t="e">
        <f>C37</f>
        <v>#DIV/0!</v>
      </c>
      <c r="C3" s="786" t="s">
        <v>736</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5">
      <c r="A4" s="463" t="s">
        <v>737</v>
      </c>
      <c r="B4" s="464"/>
      <c r="C4" s="3708" t="s">
        <v>738</v>
      </c>
      <c r="D4" s="3709"/>
      <c r="E4" s="3734" t="s">
        <v>739</v>
      </c>
      <c r="F4" s="3735"/>
      <c r="G4" s="3708" t="s">
        <v>740</v>
      </c>
      <c r="H4" s="3709"/>
      <c r="I4" s="3708" t="s">
        <v>741</v>
      </c>
      <c r="J4" s="3709"/>
      <c r="K4" s="465" t="s">
        <v>742</v>
      </c>
      <c r="L4" s="1738"/>
      <c r="M4" s="1739"/>
      <c r="N4" s="1739"/>
      <c r="O4" s="1739"/>
      <c r="P4" s="3710" t="s">
        <v>743</v>
      </c>
      <c r="Q4" s="3711"/>
      <c r="R4" s="3694" t="s">
        <v>739</v>
      </c>
      <c r="S4" s="3695"/>
      <c r="T4" s="3694" t="s">
        <v>740</v>
      </c>
      <c r="U4" s="3695"/>
      <c r="V4" s="3716" t="s">
        <v>741</v>
      </c>
      <c r="W4" s="3716"/>
      <c r="X4" s="1300"/>
      <c r="Y4" s="3694" t="s">
        <v>743</v>
      </c>
      <c r="Z4" s="3695"/>
      <c r="AA4" s="3689" t="s">
        <v>739</v>
      </c>
      <c r="AB4" s="3690" t="s">
        <v>740</v>
      </c>
      <c r="AC4" s="3689" t="s">
        <v>741</v>
      </c>
    </row>
    <row r="5" spans="1:29" ht="15">
      <c r="A5" s="466"/>
      <c r="B5" s="467"/>
      <c r="C5" s="3719" t="s">
        <v>2174</v>
      </c>
      <c r="D5" s="3720"/>
      <c r="E5" s="3736" t="s">
        <v>2175</v>
      </c>
      <c r="F5" s="3737"/>
      <c r="G5" s="3719" t="s">
        <v>2176</v>
      </c>
      <c r="H5" s="3720"/>
      <c r="I5" s="3719" t="s">
        <v>2177</v>
      </c>
      <c r="J5" s="3720"/>
      <c r="K5" s="465"/>
      <c r="L5" s="1738"/>
      <c r="M5" s="1739"/>
      <c r="N5" s="1739"/>
      <c r="O5" s="1739"/>
      <c r="P5" s="3712"/>
      <c r="Q5" s="3713"/>
      <c r="R5" s="3696"/>
      <c r="S5" s="3697"/>
      <c r="T5" s="3696"/>
      <c r="U5" s="3697"/>
      <c r="V5" s="3716"/>
      <c r="W5" s="3716"/>
      <c r="X5" s="1300"/>
      <c r="Y5" s="3696"/>
      <c r="Z5" s="3697"/>
      <c r="AA5" s="3690"/>
      <c r="AB5" s="3690"/>
      <c r="AC5" s="3690"/>
    </row>
    <row r="6" spans="1:29" ht="15.75" thickBot="1">
      <c r="A6" s="468"/>
      <c r="B6" s="469"/>
      <c r="C6" s="3717" t="s">
        <v>2178</v>
      </c>
      <c r="D6" s="3718"/>
      <c r="E6" s="3738" t="s">
        <v>2178</v>
      </c>
      <c r="F6" s="3739"/>
      <c r="G6" s="3717" t="s">
        <v>2178</v>
      </c>
      <c r="H6" s="3718"/>
      <c r="I6" s="3717" t="s">
        <v>2178</v>
      </c>
      <c r="J6" s="3718"/>
      <c r="K6" s="465" t="s">
        <v>477</v>
      </c>
      <c r="L6" s="1738"/>
      <c r="M6" s="1739"/>
      <c r="N6" s="1739"/>
      <c r="O6" s="1739"/>
      <c r="P6" s="3714"/>
      <c r="Q6" s="3715"/>
      <c r="R6" s="3696"/>
      <c r="S6" s="3697"/>
      <c r="T6" s="3698"/>
      <c r="U6" s="3699"/>
      <c r="V6" s="3716"/>
      <c r="W6" s="3716"/>
      <c r="X6" s="1300"/>
      <c r="Y6" s="3698"/>
      <c r="Z6" s="3699"/>
      <c r="AA6" s="3691"/>
      <c r="AB6" s="3691"/>
      <c r="AC6" s="3691"/>
    </row>
    <row r="7" spans="1:29" s="1058" customFormat="1" ht="15.75" thickBot="1">
      <c r="A7" s="2206"/>
      <c r="B7" s="2213" t="s">
        <v>478</v>
      </c>
      <c r="C7" s="470">
        <f>'数据-取费表'!B2</f>
        <v>45789</v>
      </c>
      <c r="D7" s="471">
        <v>100</v>
      </c>
      <c r="E7" s="472"/>
      <c r="F7" s="473">
        <f>SUMIF(46:46,YEAR(E7)&amp;"-"&amp;MONTH(E7),47:47)</f>
        <v>0</v>
      </c>
      <c r="G7" s="474"/>
      <c r="H7" s="471">
        <f>SUMIF(46:46,YEAR(G7)&amp;"-"&amp;MONTH(G7),47:47)</f>
        <v>0</v>
      </c>
      <c r="I7" s="474"/>
      <c r="J7" s="471">
        <f>SUMIF(46:46,YEAR(I7)&amp;"-"&amp;MONTH(I7),47:47)</f>
        <v>0</v>
      </c>
      <c r="K7" s="88"/>
      <c r="L7" s="1740"/>
      <c r="M7" s="1637"/>
      <c r="N7" s="1637"/>
      <c r="O7" s="1637"/>
      <c r="P7" s="3692" t="s">
        <v>479</v>
      </c>
      <c r="Q7" s="3701"/>
      <c r="R7" s="1301" t="s">
        <v>5</v>
      </c>
      <c r="S7" s="1302">
        <f t="shared" ref="S7:S14" si="0">F7</f>
        <v>0</v>
      </c>
      <c r="T7" s="1301" t="s">
        <v>5</v>
      </c>
      <c r="U7" s="1302">
        <f t="shared" ref="U7:U14" si="1">H7</f>
        <v>0</v>
      </c>
      <c r="V7" s="1301" t="s">
        <v>5</v>
      </c>
      <c r="W7" s="1302">
        <f t="shared" ref="W7:W14" si="2">J7</f>
        <v>0</v>
      </c>
      <c r="X7" s="1303"/>
      <c r="Y7" s="3692" t="s">
        <v>479</v>
      </c>
      <c r="Z7" s="3693"/>
      <c r="AA7" s="995" t="e">
        <f>D7/F7</f>
        <v>#DIV/0!</v>
      </c>
      <c r="AB7" s="995" t="e">
        <f>D7/H7</f>
        <v>#DIV/0!</v>
      </c>
      <c r="AC7" s="995" t="e">
        <f>D7/J7</f>
        <v>#DIV/0!</v>
      </c>
    </row>
    <row r="8" spans="1:29" s="1058" customFormat="1" ht="15.75" thickBot="1">
      <c r="A8" s="2207"/>
      <c r="B8" s="2214" t="s">
        <v>480</v>
      </c>
      <c r="C8" s="475" t="s">
        <v>524</v>
      </c>
      <c r="D8" s="471">
        <v>100</v>
      </c>
      <c r="E8" s="475"/>
      <c r="F8" s="473">
        <f>SUMIF(49:49,E8,50:50)-SUMIF(49:49,C8,50:50)+100</f>
        <v>0</v>
      </c>
      <c r="G8" s="475"/>
      <c r="H8" s="471">
        <f>SUMIF(49:49,G8,50:50)-SUMIF(49:49,C8,50:50)+100</f>
        <v>0</v>
      </c>
      <c r="I8" s="475"/>
      <c r="J8" s="471">
        <f>SUMIF(49:49,I8,50:50)-SUMIF(49:49,C8,50:50)+100</f>
        <v>0</v>
      </c>
      <c r="K8" s="88"/>
      <c r="L8" s="1740"/>
      <c r="M8" s="1637"/>
      <c r="N8" s="1637"/>
      <c r="O8" s="1637"/>
      <c r="P8" s="3692" t="s">
        <v>482</v>
      </c>
      <c r="Q8" s="3693"/>
      <c r="R8" s="1301" t="s">
        <v>5</v>
      </c>
      <c r="S8" s="1302">
        <f t="shared" si="0"/>
        <v>0</v>
      </c>
      <c r="T8" s="1301" t="s">
        <v>5</v>
      </c>
      <c r="U8" s="1302">
        <f t="shared" si="1"/>
        <v>0</v>
      </c>
      <c r="V8" s="1301" t="s">
        <v>5</v>
      </c>
      <c r="W8" s="1302">
        <f t="shared" si="2"/>
        <v>0</v>
      </c>
      <c r="X8" s="1303"/>
      <c r="Y8" s="3692" t="s">
        <v>482</v>
      </c>
      <c r="Z8" s="3693"/>
      <c r="AA8" s="995" t="e">
        <f t="shared" ref="AA8:AA34" si="3">D8/F8</f>
        <v>#DIV/0!</v>
      </c>
      <c r="AB8" s="995" t="e">
        <f t="shared" ref="AB8:AB34" si="4">D8/H8</f>
        <v>#DIV/0!</v>
      </c>
      <c r="AC8" s="995" t="e">
        <f t="shared" ref="AC8:AC34" si="5">D8/J8</f>
        <v>#DIV/0!</v>
      </c>
    </row>
    <row r="9" spans="1:29" s="1058" customFormat="1" ht="15">
      <c r="A9" s="2208"/>
      <c r="B9" s="2215" t="s">
        <v>2033</v>
      </c>
      <c r="C9" s="791"/>
      <c r="D9" s="154">
        <v>100</v>
      </c>
      <c r="E9" s="793"/>
      <c r="F9" s="154">
        <f>SUMIF(51:51,E9,52:52)-SUMIF(51:51,C9,52:52)+100</f>
        <v>100</v>
      </c>
      <c r="G9" s="793"/>
      <c r="H9" s="154">
        <f>SUMIF(51:51,G9,52:52)-SUMIF(51:51,C9,52:52)+100</f>
        <v>100</v>
      </c>
      <c r="I9" s="793"/>
      <c r="J9" s="154">
        <f>SUMIF(51:51,I9,52:52)-SUMIF(51:51,C9,52:52)+100</f>
        <v>100</v>
      </c>
      <c r="K9" s="88"/>
      <c r="L9" s="1740"/>
      <c r="M9" s="1637"/>
      <c r="N9" s="1637"/>
      <c r="O9" s="1741"/>
      <c r="P9" s="3700" t="s">
        <v>484</v>
      </c>
      <c r="Q9" s="817" t="str">
        <f t="shared" ref="Q9:Q14" si="6">B9</f>
        <v>用途</v>
      </c>
      <c r="R9" s="1301" t="s">
        <v>5</v>
      </c>
      <c r="S9" s="1302">
        <f t="shared" si="0"/>
        <v>100</v>
      </c>
      <c r="T9" s="1301" t="s">
        <v>5</v>
      </c>
      <c r="U9" s="1302">
        <f t="shared" si="1"/>
        <v>100</v>
      </c>
      <c r="V9" s="1301" t="s">
        <v>5</v>
      </c>
      <c r="W9" s="1302">
        <f t="shared" si="2"/>
        <v>100</v>
      </c>
      <c r="X9" s="1303"/>
      <c r="Y9" s="3652" t="s">
        <v>485</v>
      </c>
      <c r="Z9" s="995" t="str">
        <f t="shared" ref="Z9:Z14" si="7">Q9</f>
        <v>用途</v>
      </c>
      <c r="AA9" s="995">
        <f t="shared" si="3"/>
        <v>1</v>
      </c>
      <c r="AB9" s="995">
        <f t="shared" si="4"/>
        <v>1</v>
      </c>
      <c r="AC9" s="995">
        <f t="shared" si="5"/>
        <v>1</v>
      </c>
    </row>
    <row r="10" spans="1:29" s="1131" customFormat="1" ht="27">
      <c r="A10" s="2209"/>
      <c r="B10" s="2214" t="s">
        <v>2034</v>
      </c>
      <c r="C10" s="3382"/>
      <c r="D10" s="235">
        <v>100</v>
      </c>
      <c r="E10" s="3382"/>
      <c r="F10" s="235">
        <f>SUMIF(53:53,E10,54:54)-SUMIF(53:53,C10,54:54)+100</f>
        <v>100</v>
      </c>
      <c r="G10" s="3383"/>
      <c r="H10" s="235">
        <f>SUMIF(53:53,G10,54:54)-SUMIF(53:53,C10,54:54)+100</f>
        <v>100</v>
      </c>
      <c r="I10" s="3382"/>
      <c r="J10" s="235">
        <f>SUMIF(53:53,I10,54:54)-SUMIF(53:53,C10,54:54)+100</f>
        <v>100</v>
      </c>
      <c r="K10" s="88"/>
      <c r="L10" s="1742"/>
      <c r="M10" s="1775"/>
      <c r="N10" s="1775"/>
      <c r="O10" s="1743"/>
      <c r="P10" s="3700"/>
      <c r="Q10" s="817" t="str">
        <f t="shared" si="6"/>
        <v>土地使用年限（年）</v>
      </c>
      <c r="R10" s="1301" t="s">
        <v>5</v>
      </c>
      <c r="S10" s="1302">
        <f t="shared" si="0"/>
        <v>100</v>
      </c>
      <c r="T10" s="1301" t="s">
        <v>5</v>
      </c>
      <c r="U10" s="1302">
        <f t="shared" si="1"/>
        <v>100</v>
      </c>
      <c r="V10" s="1301" t="s">
        <v>5</v>
      </c>
      <c r="W10" s="1302">
        <f t="shared" si="2"/>
        <v>100</v>
      </c>
      <c r="X10" s="1303"/>
      <c r="Y10" s="3652"/>
      <c r="Z10" s="995" t="str">
        <f t="shared" si="7"/>
        <v>土地使用年限（年）</v>
      </c>
      <c r="AA10" s="995">
        <f t="shared" si="3"/>
        <v>1</v>
      </c>
      <c r="AB10" s="995">
        <f t="shared" si="4"/>
        <v>1</v>
      </c>
      <c r="AC10" s="995">
        <f t="shared" si="5"/>
        <v>1</v>
      </c>
    </row>
    <row r="11" spans="1:29" ht="15">
      <c r="A11" s="2211"/>
      <c r="B11" s="2217">
        <v>111</v>
      </c>
      <c r="C11" s="478"/>
      <c r="D11" s="235">
        <v>100</v>
      </c>
      <c r="E11" s="805"/>
      <c r="F11" s="235">
        <f>SUMIF(55:55,E11,56:56)-SUMIF(55:55,C11,56:56)+100</f>
        <v>100</v>
      </c>
      <c r="G11" s="805"/>
      <c r="H11" s="235">
        <f>SUMIF(55:55,G11,56:56)-SUMIF(55:55,C11,56:56)+100</f>
        <v>100</v>
      </c>
      <c r="I11" s="805"/>
      <c r="J11" s="235">
        <f>SUMIF(55:55,I11,56:56)-SUMIF(55:55,C11,56:56)+100</f>
        <v>100</v>
      </c>
      <c r="K11" s="531"/>
      <c r="L11" s="1744"/>
      <c r="M11" s="1739"/>
      <c r="N11" s="1739"/>
      <c r="O11" s="1745"/>
      <c r="P11" s="3700"/>
      <c r="Q11" s="817">
        <f t="shared" si="6"/>
        <v>111</v>
      </c>
      <c r="R11" s="1301" t="s">
        <v>5</v>
      </c>
      <c r="S11" s="1302">
        <f t="shared" si="0"/>
        <v>100</v>
      </c>
      <c r="T11" s="1301" t="s">
        <v>5</v>
      </c>
      <c r="U11" s="1302">
        <f t="shared" si="1"/>
        <v>100</v>
      </c>
      <c r="V11" s="1301" t="s">
        <v>5</v>
      </c>
      <c r="W11" s="1302">
        <f t="shared" si="2"/>
        <v>100</v>
      </c>
      <c r="X11" s="1303"/>
      <c r="Y11" s="3652"/>
      <c r="Z11" s="995">
        <f t="shared" si="7"/>
        <v>111</v>
      </c>
      <c r="AA11" s="995">
        <f t="shared" si="3"/>
        <v>1</v>
      </c>
      <c r="AB11" s="995">
        <f t="shared" si="4"/>
        <v>1</v>
      </c>
      <c r="AC11" s="995">
        <f t="shared" si="5"/>
        <v>1</v>
      </c>
    </row>
    <row r="12" spans="1:29" s="1058" customFormat="1" ht="15">
      <c r="A12" s="2211"/>
      <c r="B12" s="2217">
        <v>111</v>
      </c>
      <c r="C12" s="478"/>
      <c r="D12" s="488">
        <v>100</v>
      </c>
      <c r="E12" s="805"/>
      <c r="F12" s="235">
        <f>SUMIF(57:57,E12,58:58)-SUMIF(57:57,C12,58:58)+100</f>
        <v>100</v>
      </c>
      <c r="G12" s="805"/>
      <c r="H12" s="235">
        <f>SUMIF(57:57,G12,58:58)-SUMIF(57:57,C12,58:58)+100</f>
        <v>100</v>
      </c>
      <c r="I12" s="805"/>
      <c r="J12" s="235">
        <f>SUMIF(57:57,I12,58:58)-SUMIF(57:57,C12,58:58)+100</f>
        <v>100</v>
      </c>
      <c r="K12" s="531"/>
      <c r="L12" s="1740"/>
      <c r="M12" s="1637"/>
      <c r="N12" s="1637"/>
      <c r="O12" s="1741"/>
      <c r="P12" s="3700"/>
      <c r="Q12" s="817">
        <f t="shared" si="6"/>
        <v>111</v>
      </c>
      <c r="R12" s="1301" t="s">
        <v>5</v>
      </c>
      <c r="S12" s="1302">
        <f t="shared" si="0"/>
        <v>100</v>
      </c>
      <c r="T12" s="1301" t="s">
        <v>5</v>
      </c>
      <c r="U12" s="1302">
        <f t="shared" si="1"/>
        <v>100</v>
      </c>
      <c r="V12" s="1301" t="s">
        <v>5</v>
      </c>
      <c r="W12" s="1302">
        <f t="shared" si="2"/>
        <v>100</v>
      </c>
      <c r="X12" s="1303"/>
      <c r="Y12" s="3652"/>
      <c r="Z12" s="995">
        <f t="shared" si="7"/>
        <v>111</v>
      </c>
      <c r="AA12" s="995">
        <f>D12/F12</f>
        <v>1</v>
      </c>
      <c r="AB12" s="995">
        <f>D12/H12</f>
        <v>1</v>
      </c>
      <c r="AC12" s="995">
        <f>D12/J12</f>
        <v>1</v>
      </c>
    </row>
    <row r="13" spans="1:29" ht="15.75" thickBot="1">
      <c r="A13" s="2212"/>
      <c r="B13" s="2218">
        <v>111</v>
      </c>
      <c r="C13" s="489"/>
      <c r="D13" s="490">
        <v>100</v>
      </c>
      <c r="E13" s="805"/>
      <c r="F13" s="235">
        <f>SUMIF(59:59,E13,60:60)-SUMIF(59:59,C13,60:60)+100</f>
        <v>100</v>
      </c>
      <c r="G13" s="805"/>
      <c r="H13" s="490">
        <f>SUMIF(59:59,G13,60:60)-SUMIF(59:59,C13,60:60)+100</f>
        <v>100</v>
      </c>
      <c r="I13" s="805"/>
      <c r="J13" s="490">
        <f>SUMIF(59:59,I13,60:60)-SUMIF(59:59,C13,60:60)+100</f>
        <v>100</v>
      </c>
      <c r="K13" s="531"/>
      <c r="L13" s="1746"/>
      <c r="M13" s="1739"/>
      <c r="N13" s="1739"/>
      <c r="O13" s="1745"/>
      <c r="P13" s="3700"/>
      <c r="Q13" s="817">
        <f t="shared" si="6"/>
        <v>111</v>
      </c>
      <c r="R13" s="1301" t="s">
        <v>5</v>
      </c>
      <c r="S13" s="1302">
        <f t="shared" si="0"/>
        <v>100</v>
      </c>
      <c r="T13" s="1301" t="s">
        <v>5</v>
      </c>
      <c r="U13" s="1302">
        <f t="shared" si="1"/>
        <v>100</v>
      </c>
      <c r="V13" s="1301" t="s">
        <v>5</v>
      </c>
      <c r="W13" s="1302">
        <f t="shared" si="2"/>
        <v>100</v>
      </c>
      <c r="X13" s="1303"/>
      <c r="Y13" s="3652"/>
      <c r="Z13" s="995">
        <f t="shared" si="7"/>
        <v>111</v>
      </c>
      <c r="AA13" s="995">
        <f t="shared" si="3"/>
        <v>1</v>
      </c>
      <c r="AB13" s="995">
        <f t="shared" si="4"/>
        <v>1</v>
      </c>
      <c r="AC13" s="995">
        <f t="shared" si="5"/>
        <v>1</v>
      </c>
    </row>
    <row r="14" spans="1:29" ht="42.75">
      <c r="A14" s="2204"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6"/>
      <c r="M14" s="1739"/>
      <c r="N14" s="1739"/>
      <c r="O14" s="1745"/>
      <c r="P14" s="3702" t="s">
        <v>489</v>
      </c>
      <c r="Q14" s="1304" t="str">
        <f t="shared" si="6"/>
        <v>交通便捷度</v>
      </c>
      <c r="R14" s="1305" t="s">
        <v>5</v>
      </c>
      <c r="S14" s="1306">
        <f t="shared" si="0"/>
        <v>100</v>
      </c>
      <c r="T14" s="1305" t="s">
        <v>5</v>
      </c>
      <c r="U14" s="1306">
        <f t="shared" si="1"/>
        <v>100</v>
      </c>
      <c r="V14" s="1305" t="s">
        <v>5</v>
      </c>
      <c r="W14" s="1306">
        <f t="shared" si="2"/>
        <v>100</v>
      </c>
      <c r="X14" s="1300"/>
      <c r="Y14" s="3702"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6"/>
      <c r="M15" s="1739"/>
      <c r="N15" s="1739"/>
      <c r="O15" s="1745"/>
      <c r="P15" s="3703"/>
      <c r="Q15" s="1304"/>
      <c r="R15" s="1305"/>
      <c r="S15" s="1306"/>
      <c r="T15" s="1305"/>
      <c r="U15" s="1306"/>
      <c r="V15" s="1305"/>
      <c r="W15" s="1306"/>
      <c r="X15" s="1300"/>
      <c r="Y15" s="3703"/>
      <c r="Z15" s="1307"/>
      <c r="AA15" s="1307">
        <v>1</v>
      </c>
      <c r="AB15" s="1307">
        <v>1</v>
      </c>
      <c r="AC15" s="1307">
        <v>1</v>
      </c>
    </row>
    <row r="16" spans="1:29" ht="15">
      <c r="A16" s="482"/>
      <c r="B16" s="2059"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6"/>
      <c r="M16" s="1739"/>
      <c r="N16" s="1739"/>
      <c r="O16" s="1745"/>
      <c r="P16" s="3703"/>
      <c r="Q16" s="1304" t="str">
        <f>B16</f>
        <v>公共配套设施</v>
      </c>
      <c r="R16" s="1305" t="s">
        <v>5</v>
      </c>
      <c r="S16" s="1306">
        <f>F16</f>
        <v>100</v>
      </c>
      <c r="T16" s="1305" t="s">
        <v>5</v>
      </c>
      <c r="U16" s="1306">
        <f>H16</f>
        <v>100</v>
      </c>
      <c r="V16" s="1305" t="s">
        <v>5</v>
      </c>
      <c r="W16" s="1306">
        <f>J16</f>
        <v>100</v>
      </c>
      <c r="X16" s="1300"/>
      <c r="Y16" s="3703"/>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6"/>
      <c r="M17" s="1739"/>
      <c r="N17" s="1739"/>
      <c r="O17" s="1745"/>
      <c r="P17" s="3703"/>
      <c r="Q17" s="1304"/>
      <c r="R17" s="1305"/>
      <c r="S17" s="1306"/>
      <c r="T17" s="1305"/>
      <c r="U17" s="1306"/>
      <c r="V17" s="1305"/>
      <c r="W17" s="1306"/>
      <c r="X17" s="1300"/>
      <c r="Y17" s="3703"/>
      <c r="Z17" s="1307"/>
      <c r="AA17" s="1307">
        <v>1</v>
      </c>
      <c r="AB17" s="1307">
        <v>1</v>
      </c>
      <c r="AC17" s="1307">
        <v>1</v>
      </c>
    </row>
    <row r="18" spans="1:29" ht="15">
      <c r="A18" s="482"/>
      <c r="B18" s="2047"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6"/>
      <c r="M18" s="1739"/>
      <c r="N18" s="1739"/>
      <c r="O18" s="1745"/>
      <c r="P18" s="3703"/>
      <c r="Q18" s="1304" t="str">
        <f>B18</f>
        <v>基础设施水平</v>
      </c>
      <c r="R18" s="1305" t="s">
        <v>5</v>
      </c>
      <c r="S18" s="1306">
        <f>F18</f>
        <v>100</v>
      </c>
      <c r="T18" s="1305" t="s">
        <v>5</v>
      </c>
      <c r="U18" s="1306">
        <f>H18</f>
        <v>100</v>
      </c>
      <c r="V18" s="1305" t="s">
        <v>5</v>
      </c>
      <c r="W18" s="1306">
        <f>J18</f>
        <v>100</v>
      </c>
      <c r="X18" s="1300"/>
      <c r="Y18" s="3703"/>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8"/>
      <c r="L19" s="1746"/>
      <c r="M19" s="1739"/>
      <c r="N19" s="1739"/>
      <c r="O19" s="1745"/>
      <c r="P19" s="3703"/>
      <c r="Q19" s="1304"/>
      <c r="R19" s="1305"/>
      <c r="S19" s="1306"/>
      <c r="T19" s="1305"/>
      <c r="U19" s="1306"/>
      <c r="V19" s="1305"/>
      <c r="W19" s="1306"/>
      <c r="X19" s="1300"/>
      <c r="Y19" s="3703"/>
      <c r="Z19" s="1307"/>
      <c r="AA19" s="1307">
        <v>1</v>
      </c>
      <c r="AB19" s="1307">
        <v>1</v>
      </c>
      <c r="AC19" s="1307">
        <v>1</v>
      </c>
    </row>
    <row r="20" spans="1:29" ht="28.5">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6"/>
      <c r="M20" s="1739"/>
      <c r="N20" s="1739"/>
      <c r="O20" s="1745"/>
      <c r="P20" s="3703"/>
      <c r="Q20" s="1304" t="str">
        <f>B20</f>
        <v>自然及人文环境</v>
      </c>
      <c r="R20" s="1305" t="s">
        <v>5</v>
      </c>
      <c r="S20" s="1306">
        <f>F20</f>
        <v>100</v>
      </c>
      <c r="T20" s="1305" t="s">
        <v>5</v>
      </c>
      <c r="U20" s="1306">
        <f>H20</f>
        <v>100</v>
      </c>
      <c r="V20" s="1305" t="s">
        <v>5</v>
      </c>
      <c r="W20" s="1306">
        <f>J20</f>
        <v>100</v>
      </c>
      <c r="X20" s="1300"/>
      <c r="Y20" s="3703"/>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6"/>
      <c r="M21" s="1739"/>
      <c r="N21" s="1739"/>
      <c r="O21" s="1745"/>
      <c r="P21" s="3703"/>
      <c r="Q21" s="1304"/>
      <c r="R21" s="1305"/>
      <c r="S21" s="1306"/>
      <c r="T21" s="1305"/>
      <c r="U21" s="1306"/>
      <c r="V21" s="1305"/>
      <c r="W21" s="1306"/>
      <c r="X21" s="1300"/>
      <c r="Y21" s="3703"/>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6"/>
      <c r="M22" s="1739"/>
      <c r="N22" s="1739"/>
      <c r="O22" s="1745"/>
      <c r="P22" s="3703"/>
      <c r="Q22" s="1304" t="str">
        <f>B22</f>
        <v>楼层</v>
      </c>
      <c r="R22" s="1305" t="s">
        <v>5</v>
      </c>
      <c r="S22" s="1306">
        <f>F22</f>
        <v>100</v>
      </c>
      <c r="T22" s="1305" t="s">
        <v>5</v>
      </c>
      <c r="U22" s="1306">
        <f>H22</f>
        <v>100</v>
      </c>
      <c r="V22" s="1305" t="s">
        <v>5</v>
      </c>
      <c r="W22" s="1306">
        <f>J22</f>
        <v>100</v>
      </c>
      <c r="X22" s="1300"/>
      <c r="Y22" s="3703"/>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6"/>
      <c r="M23" s="1739"/>
      <c r="N23" s="1739"/>
      <c r="O23" s="1745"/>
      <c r="P23" s="3703"/>
      <c r="Q23" s="1304">
        <f>B23</f>
        <v>111</v>
      </c>
      <c r="R23" s="1305" t="s">
        <v>5</v>
      </c>
      <c r="S23" s="1306">
        <f>F23</f>
        <v>100</v>
      </c>
      <c r="T23" s="1305" t="s">
        <v>5</v>
      </c>
      <c r="U23" s="1306">
        <f>H23</f>
        <v>100</v>
      </c>
      <c r="V23" s="1305" t="s">
        <v>5</v>
      </c>
      <c r="W23" s="1306">
        <f>J23</f>
        <v>100</v>
      </c>
      <c r="X23" s="1300"/>
      <c r="Y23" s="3703"/>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6"/>
      <c r="M24" s="1739"/>
      <c r="N24" s="1739"/>
      <c r="O24" s="1745"/>
      <c r="P24" s="3703"/>
      <c r="Q24" s="1304">
        <f t="shared" ref="Q24:Q34" si="8">B24</f>
        <v>111</v>
      </c>
      <c r="R24" s="1305" t="s">
        <v>5</v>
      </c>
      <c r="S24" s="1306">
        <f>F24</f>
        <v>100</v>
      </c>
      <c r="T24" s="1305" t="s">
        <v>5</v>
      </c>
      <c r="U24" s="1306">
        <f>H24</f>
        <v>100</v>
      </c>
      <c r="V24" s="1305" t="s">
        <v>5</v>
      </c>
      <c r="W24" s="1306">
        <f>J24</f>
        <v>100</v>
      </c>
      <c r="X24" s="1300"/>
      <c r="Y24" s="3703"/>
      <c r="Z24" s="1307">
        <f>Q24</f>
        <v>111</v>
      </c>
      <c r="AA24" s="1307">
        <f t="shared" si="3"/>
        <v>1</v>
      </c>
      <c r="AB24" s="1307">
        <f t="shared" si="4"/>
        <v>1</v>
      </c>
      <c r="AC24" s="1307">
        <f t="shared" si="5"/>
        <v>1</v>
      </c>
    </row>
    <row r="25" spans="1:29" s="1058"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0"/>
      <c r="M25" s="1637"/>
      <c r="N25" s="1637"/>
      <c r="O25" s="1741"/>
      <c r="P25" s="3703"/>
      <c r="Q25" s="817">
        <f t="shared" si="8"/>
        <v>111</v>
      </c>
      <c r="R25" s="1301" t="s">
        <v>5</v>
      </c>
      <c r="S25" s="1302">
        <f>F25</f>
        <v>100</v>
      </c>
      <c r="T25" s="1301" t="s">
        <v>5</v>
      </c>
      <c r="U25" s="1302">
        <f>H25</f>
        <v>100</v>
      </c>
      <c r="V25" s="1301" t="s">
        <v>5</v>
      </c>
      <c r="W25" s="1302">
        <f>J25</f>
        <v>100</v>
      </c>
      <c r="X25" s="1303"/>
      <c r="Y25" s="3703"/>
      <c r="Z25" s="995">
        <f>Q25</f>
        <v>111</v>
      </c>
      <c r="AA25" s="1307">
        <f>D25/F25</f>
        <v>1</v>
      </c>
      <c r="AB25" s="1307">
        <f>D25/H25</f>
        <v>1</v>
      </c>
      <c r="AC25" s="1307">
        <f>D25/J25</f>
        <v>1</v>
      </c>
    </row>
    <row r="26" spans="1:29" ht="15">
      <c r="A26" s="2201"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6"/>
      <c r="M26" s="1739"/>
      <c r="N26" s="1739"/>
      <c r="O26" s="1745"/>
      <c r="P26" s="3704"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05" t="s">
        <v>761</v>
      </c>
      <c r="Z26" s="1307" t="str">
        <f t="shared" ref="Z26:Z34" si="12">Q26</f>
        <v>公共部分装修</v>
      </c>
      <c r="AA26" s="1307">
        <f t="shared" si="3"/>
        <v>1</v>
      </c>
      <c r="AB26" s="1307">
        <f t="shared" si="4"/>
        <v>1</v>
      </c>
      <c r="AC26" s="1307">
        <f t="shared" si="5"/>
        <v>1</v>
      </c>
    </row>
    <row r="27" spans="1:29" s="1132"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4"/>
      <c r="M27" s="1768"/>
      <c r="N27" s="1768"/>
      <c r="O27" s="1747"/>
      <c r="P27" s="3705"/>
      <c r="Q27" s="818" t="str">
        <f t="shared" si="8"/>
        <v>成新率</v>
      </c>
      <c r="R27" s="1308" t="s">
        <v>5</v>
      </c>
      <c r="S27" s="1309" t="e">
        <f t="shared" si="9"/>
        <v>#N/A</v>
      </c>
      <c r="T27" s="1308" t="s">
        <v>5</v>
      </c>
      <c r="U27" s="1309" t="e">
        <f t="shared" si="10"/>
        <v>#N/A</v>
      </c>
      <c r="V27" s="1308" t="s">
        <v>5</v>
      </c>
      <c r="W27" s="1309" t="e">
        <f t="shared" si="11"/>
        <v>#N/A</v>
      </c>
      <c r="X27" s="1310"/>
      <c r="Y27" s="3705"/>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6"/>
      <c r="M28" s="1739"/>
      <c r="N28" s="1739"/>
      <c r="O28" s="1745"/>
      <c r="P28" s="3705"/>
      <c r="Q28" s="1304" t="str">
        <f t="shared" si="8"/>
        <v>物业等级</v>
      </c>
      <c r="R28" s="1305" t="s">
        <v>5</v>
      </c>
      <c r="S28" s="1306">
        <f t="shared" si="9"/>
        <v>100</v>
      </c>
      <c r="T28" s="1305" t="s">
        <v>5</v>
      </c>
      <c r="U28" s="1306">
        <f t="shared" si="10"/>
        <v>100</v>
      </c>
      <c r="V28" s="1305" t="s">
        <v>5</v>
      </c>
      <c r="W28" s="1306">
        <f t="shared" si="11"/>
        <v>100</v>
      </c>
      <c r="X28" s="1300"/>
      <c r="Y28" s="3705"/>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6"/>
      <c r="M29" s="1739"/>
      <c r="N29" s="1739"/>
      <c r="O29" s="1745"/>
      <c r="P29" s="3705"/>
      <c r="Q29" s="1304" t="str">
        <f t="shared" si="8"/>
        <v>有无电梯</v>
      </c>
      <c r="R29" s="1305" t="s">
        <v>5</v>
      </c>
      <c r="S29" s="1306">
        <f t="shared" si="9"/>
        <v>100</v>
      </c>
      <c r="T29" s="1305" t="s">
        <v>5</v>
      </c>
      <c r="U29" s="1306">
        <f t="shared" si="10"/>
        <v>100</v>
      </c>
      <c r="V29" s="1305" t="s">
        <v>5</v>
      </c>
      <c r="W29" s="1306">
        <f t="shared" si="11"/>
        <v>100</v>
      </c>
      <c r="X29" s="1300"/>
      <c r="Y29" s="3705"/>
      <c r="Z29" s="1307" t="str">
        <f t="shared" si="12"/>
        <v>有无电梯</v>
      </c>
      <c r="AA29" s="1307">
        <f t="shared" si="3"/>
        <v>1</v>
      </c>
      <c r="AB29" s="1307">
        <f t="shared" si="4"/>
        <v>1</v>
      </c>
      <c r="AC29" s="1307">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6"/>
      <c r="M30" s="1739"/>
      <c r="N30" s="1739"/>
      <c r="O30" s="1745"/>
      <c r="P30" s="3705"/>
      <c r="Q30" s="1304" t="str">
        <f t="shared" si="8"/>
        <v>建筑面积</v>
      </c>
      <c r="R30" s="1305" t="s">
        <v>5</v>
      </c>
      <c r="S30" s="1306" t="e">
        <f t="shared" si="9"/>
        <v>#N/A</v>
      </c>
      <c r="T30" s="1305" t="s">
        <v>5</v>
      </c>
      <c r="U30" s="1306" t="e">
        <f t="shared" si="10"/>
        <v>#N/A</v>
      </c>
      <c r="V30" s="1305" t="s">
        <v>5</v>
      </c>
      <c r="W30" s="1306" t="e">
        <f t="shared" si="11"/>
        <v>#N/A</v>
      </c>
      <c r="X30" s="1300"/>
      <c r="Y30" s="3705"/>
      <c r="Z30" s="1307" t="str">
        <f t="shared" si="12"/>
        <v>建筑面积</v>
      </c>
      <c r="AA30" s="1307" t="e">
        <f t="shared" si="3"/>
        <v>#N/A</v>
      </c>
      <c r="AB30" s="1307" t="e">
        <f t="shared" si="4"/>
        <v>#N/A</v>
      </c>
      <c r="AC30" s="1307" t="e">
        <f t="shared" si="5"/>
        <v>#N/A</v>
      </c>
    </row>
    <row r="31" spans="1:29" s="1058"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0"/>
      <c r="M31" s="1637"/>
      <c r="N31" s="1637"/>
      <c r="O31" s="1741"/>
      <c r="P31" s="3705"/>
      <c r="Q31" s="817" t="str">
        <f t="shared" si="8"/>
        <v>是否封闭</v>
      </c>
      <c r="R31" s="1301" t="s">
        <v>5</v>
      </c>
      <c r="S31" s="1302">
        <f t="shared" si="9"/>
        <v>100</v>
      </c>
      <c r="T31" s="1301" t="s">
        <v>5</v>
      </c>
      <c r="U31" s="1302">
        <f t="shared" si="10"/>
        <v>100</v>
      </c>
      <c r="V31" s="1301" t="s">
        <v>5</v>
      </c>
      <c r="W31" s="1302">
        <f t="shared" si="11"/>
        <v>100</v>
      </c>
      <c r="X31" s="1303"/>
      <c r="Y31" s="3705"/>
      <c r="Z31" s="995" t="str">
        <f t="shared" si="12"/>
        <v>是否封闭</v>
      </c>
      <c r="AA31" s="995">
        <f t="shared" si="3"/>
        <v>1</v>
      </c>
      <c r="AB31" s="995">
        <f t="shared" si="4"/>
        <v>1</v>
      </c>
      <c r="AC31" s="995">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6"/>
      <c r="M32" s="1739"/>
      <c r="N32" s="1739"/>
      <c r="O32" s="1745"/>
      <c r="P32" s="3705" t="s">
        <v>499</v>
      </c>
      <c r="Q32" s="1304">
        <f t="shared" si="8"/>
        <v>111</v>
      </c>
      <c r="R32" s="1305" t="s">
        <v>5</v>
      </c>
      <c r="S32" s="1306">
        <f t="shared" si="9"/>
        <v>100</v>
      </c>
      <c r="T32" s="1305" t="s">
        <v>5</v>
      </c>
      <c r="U32" s="1306">
        <f t="shared" si="10"/>
        <v>100</v>
      </c>
      <c r="V32" s="1305" t="s">
        <v>5</v>
      </c>
      <c r="W32" s="1306">
        <f t="shared" si="11"/>
        <v>100</v>
      </c>
      <c r="X32" s="1300"/>
      <c r="Y32" s="3705" t="s">
        <v>499</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6"/>
      <c r="M33" s="1739"/>
      <c r="N33" s="1739"/>
      <c r="O33" s="1745"/>
      <c r="P33" s="3705"/>
      <c r="Q33" s="1304">
        <f t="shared" si="8"/>
        <v>111</v>
      </c>
      <c r="R33" s="1305" t="s">
        <v>5</v>
      </c>
      <c r="S33" s="1306">
        <f t="shared" si="9"/>
        <v>100</v>
      </c>
      <c r="T33" s="1305" t="s">
        <v>5</v>
      </c>
      <c r="U33" s="1306">
        <f t="shared" si="10"/>
        <v>100</v>
      </c>
      <c r="V33" s="1305" t="s">
        <v>5</v>
      </c>
      <c r="W33" s="1306">
        <f t="shared" si="11"/>
        <v>100</v>
      </c>
      <c r="X33" s="1300"/>
      <c r="Y33" s="3705"/>
      <c r="Z33" s="1307">
        <f t="shared" si="12"/>
        <v>111</v>
      </c>
      <c r="AA33" s="1307">
        <f t="shared" si="3"/>
        <v>1</v>
      </c>
      <c r="AB33" s="1307">
        <f t="shared" si="4"/>
        <v>1</v>
      </c>
      <c r="AC33" s="1307">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6"/>
      <c r="M34" s="1739"/>
      <c r="N34" s="1739"/>
      <c r="O34" s="1745"/>
      <c r="P34" s="3705"/>
      <c r="Q34" s="1304">
        <f t="shared" si="8"/>
        <v>111</v>
      </c>
      <c r="R34" s="1305" t="s">
        <v>5</v>
      </c>
      <c r="S34" s="1306">
        <f t="shared" si="9"/>
        <v>100</v>
      </c>
      <c r="T34" s="1305" t="s">
        <v>5</v>
      </c>
      <c r="U34" s="1306">
        <f t="shared" si="10"/>
        <v>100</v>
      </c>
      <c r="V34" s="1305" t="s">
        <v>5</v>
      </c>
      <c r="W34" s="1306">
        <f t="shared" si="11"/>
        <v>100</v>
      </c>
      <c r="X34" s="1300"/>
      <c r="Y34" s="3705"/>
      <c r="Z34" s="1307">
        <f t="shared" si="12"/>
        <v>111</v>
      </c>
      <c r="AA34" s="1307">
        <f t="shared" si="3"/>
        <v>1</v>
      </c>
      <c r="AB34" s="1307">
        <f t="shared" si="4"/>
        <v>1</v>
      </c>
      <c r="AC34" s="1307">
        <f t="shared" si="5"/>
        <v>1</v>
      </c>
    </row>
    <row r="35" spans="1:29" ht="15">
      <c r="A35" s="556" t="s">
        <v>683</v>
      </c>
      <c r="B35" s="811"/>
      <c r="C35" s="2078" t="s">
        <v>0</v>
      </c>
      <c r="D35" s="559"/>
      <c r="E35" s="560"/>
      <c r="F35" s="561"/>
      <c r="G35" s="562"/>
      <c r="H35" s="563"/>
      <c r="I35" s="560"/>
      <c r="J35" s="563"/>
      <c r="K35" s="1333"/>
      <c r="L35" s="1748"/>
      <c r="M35" s="1739"/>
      <c r="N35" s="1739"/>
      <c r="O35" s="1739"/>
      <c r="P35" s="3700" t="str">
        <f>A35</f>
        <v>成交单价（元/平方米）</v>
      </c>
      <c r="Q35" s="3700"/>
      <c r="R35" s="3716">
        <f>E35</f>
        <v>0</v>
      </c>
      <c r="S35" s="3716"/>
      <c r="T35" s="3716">
        <f>G35</f>
        <v>0</v>
      </c>
      <c r="U35" s="3716"/>
      <c r="V35" s="3716">
        <f>I35</f>
        <v>0</v>
      </c>
      <c r="W35" s="3716"/>
      <c r="X35" s="799"/>
      <c r="Y35" s="1312"/>
      <c r="Z35" s="799"/>
      <c r="AA35" s="799"/>
      <c r="AB35" s="799"/>
      <c r="AC35" s="799"/>
    </row>
    <row r="36" spans="1:29" ht="15.75" thickBot="1">
      <c r="A36" s="564" t="s">
        <v>2037</v>
      </c>
      <c r="B36" s="812"/>
      <c r="C36" s="2079" t="e">
        <f>R37</f>
        <v>#DIV/0!</v>
      </c>
      <c r="D36" s="2547" t="s">
        <v>2244</v>
      </c>
      <c r="E36" s="2080" t="e">
        <f>R36</f>
        <v>#DIV/0!</v>
      </c>
      <c r="F36" s="2548"/>
      <c r="G36" s="2079" t="e">
        <f>T36</f>
        <v>#DIV/0!</v>
      </c>
      <c r="H36" s="2548"/>
      <c r="I36" s="2080" t="e">
        <f>V36</f>
        <v>#DIV/0!</v>
      </c>
      <c r="J36" s="2548"/>
      <c r="K36" s="2555">
        <f>F36+H36+J36</f>
        <v>0</v>
      </c>
      <c r="L36" s="1748"/>
      <c r="M36" s="1739"/>
      <c r="N36" s="1739"/>
      <c r="O36" s="1739"/>
      <c r="P36" s="3700" t="str">
        <f>A36</f>
        <v>比较价格（元/平方米）</v>
      </c>
      <c r="Q36" s="3700"/>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799"/>
      <c r="Y36" s="799"/>
      <c r="Z36" s="799"/>
      <c r="AA36" s="799"/>
      <c r="AB36" s="799"/>
      <c r="AC36" s="799"/>
    </row>
    <row r="37" spans="1:29" ht="15.75" thickBot="1">
      <c r="A37" s="568" t="s">
        <v>2180</v>
      </c>
      <c r="B37" s="569"/>
      <c r="C37" s="469" t="e">
        <f>R37</f>
        <v>#DIV/0!</v>
      </c>
      <c r="D37" s="469"/>
      <c r="E37" s="469"/>
      <c r="F37" s="469"/>
      <c r="G37" s="469"/>
      <c r="H37" s="469"/>
      <c r="I37" s="469"/>
      <c r="J37" s="469"/>
      <c r="K37" s="1334"/>
      <c r="L37" s="1748"/>
      <c r="M37" s="1739"/>
      <c r="N37" s="1739"/>
      <c r="O37" s="1739"/>
      <c r="P37" s="3706" t="str">
        <f>A37</f>
        <v>估价对象XX用房的比较价格（楼面单价，元/平方米）</v>
      </c>
      <c r="Q37" s="3707"/>
      <c r="R37" s="3800" t="e">
        <f>IF(F1="售价",ROUND(IF(D36="简单平均",AVERAGE(R36:W36),R36*F36+T36*H36+V36*J36),0),ROUND(IF(D36="简单平均",AVERAGE(R36:V36),R36*F36+T36*H36+V36*J36),1))</f>
        <v>#DIV/0!</v>
      </c>
      <c r="S37" s="3800"/>
      <c r="T37" s="3800"/>
      <c r="U37" s="3800"/>
      <c r="V37" s="3800"/>
      <c r="W37" s="3800"/>
      <c r="X37" s="799"/>
      <c r="Y37" s="799"/>
      <c r="Z37" s="799"/>
      <c r="AA37" s="799"/>
      <c r="AB37" s="799"/>
      <c r="AC37" s="799"/>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7" customFormat="1" ht="13.5" customHeight="1">
      <c r="A42" s="2717"/>
      <c r="B42" s="2717"/>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7"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1.75" thickBot="1">
      <c r="A45" s="1315" t="s">
        <v>522</v>
      </c>
      <c r="B45" s="799"/>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9" customFormat="1" ht="15">
      <c r="A46" s="592" t="s">
        <v>478</v>
      </c>
      <c r="B46" s="593"/>
      <c r="C46" s="2110" t="str">
        <f>YEAR(C7)&amp;"-"&amp;MONTH(C7)</f>
        <v>2025-5</v>
      </c>
      <c r="D46" s="2112">
        <f>EDATE(C46,-1)</f>
        <v>45748</v>
      </c>
      <c r="E46" s="2112">
        <f t="shared" ref="E46:O46" si="13">EDATE(D46,-1)</f>
        <v>45717</v>
      </c>
      <c r="F46" s="2112">
        <f t="shared" si="13"/>
        <v>45689</v>
      </c>
      <c r="G46" s="2112">
        <f t="shared" si="13"/>
        <v>45658</v>
      </c>
      <c r="H46" s="2112">
        <f t="shared" si="13"/>
        <v>45627</v>
      </c>
      <c r="I46" s="2112">
        <f t="shared" si="13"/>
        <v>45597</v>
      </c>
      <c r="J46" s="2112">
        <f t="shared" si="13"/>
        <v>45566</v>
      </c>
      <c r="K46" s="2112">
        <f t="shared" si="13"/>
        <v>45536</v>
      </c>
      <c r="L46" s="2112">
        <f t="shared" si="13"/>
        <v>45505</v>
      </c>
      <c r="M46" s="2112">
        <f t="shared" si="13"/>
        <v>45474</v>
      </c>
      <c r="N46" s="2112">
        <f t="shared" si="13"/>
        <v>45444</v>
      </c>
      <c r="O46" s="2112">
        <f t="shared" si="13"/>
        <v>45413</v>
      </c>
      <c r="P46" s="1762"/>
      <c r="Q46" s="1762"/>
      <c r="R46" s="1762"/>
      <c r="S46" s="1762"/>
      <c r="T46" s="1762"/>
      <c r="U46" s="1762"/>
      <c r="V46" s="1762"/>
      <c r="W46" s="1762"/>
      <c r="X46" s="1762"/>
      <c r="Y46" s="1762"/>
      <c r="Z46" s="1762"/>
      <c r="AA46" s="1762"/>
      <c r="AB46" s="1762"/>
      <c r="AC46" s="1762"/>
    </row>
    <row r="47" spans="1:29" s="1058" customFormat="1" ht="15">
      <c r="A47" s="527"/>
      <c r="B47" s="594"/>
      <c r="C47" s="595">
        <v>100</v>
      </c>
      <c r="D47" s="596"/>
      <c r="E47" s="596"/>
      <c r="F47" s="596"/>
      <c r="G47" s="596"/>
      <c r="H47" s="596"/>
      <c r="I47" s="596"/>
      <c r="J47" s="596"/>
      <c r="K47" s="596"/>
      <c r="L47" s="596"/>
      <c r="M47" s="487"/>
      <c r="N47" s="596"/>
      <c r="O47" s="597"/>
      <c r="P47" s="1760"/>
      <c r="Q47" s="1637"/>
      <c r="R47" s="1637"/>
      <c r="S47" s="1637"/>
      <c r="T47" s="1637"/>
      <c r="U47" s="1637"/>
      <c r="V47" s="1637"/>
      <c r="W47" s="1637"/>
      <c r="X47" s="1637"/>
      <c r="Y47" s="1637"/>
      <c r="Z47" s="1637"/>
      <c r="AA47" s="1637"/>
      <c r="AB47" s="1637"/>
      <c r="AC47" s="1637"/>
    </row>
    <row r="48" spans="1:29" s="1058" customFormat="1" ht="15.75" thickBot="1">
      <c r="A48" s="262" t="s">
        <v>523</v>
      </c>
      <c r="B48" s="598"/>
      <c r="C48" s="599"/>
      <c r="D48" s="600"/>
      <c r="E48" s="600"/>
      <c r="F48" s="600"/>
      <c r="G48" s="600"/>
      <c r="H48" s="600"/>
      <c r="I48" s="600"/>
      <c r="J48" s="600"/>
      <c r="K48" s="600"/>
      <c r="L48" s="600"/>
      <c r="M48" s="601"/>
      <c r="N48" s="600"/>
      <c r="O48" s="602"/>
      <c r="P48" s="1760"/>
      <c r="Q48" s="1760"/>
      <c r="R48" s="1637"/>
      <c r="S48" s="1637"/>
      <c r="T48" s="1637"/>
      <c r="U48" s="1637"/>
      <c r="V48" s="1637"/>
      <c r="W48" s="1637"/>
      <c r="X48" s="1637"/>
      <c r="Y48" s="1637"/>
      <c r="Z48" s="1637"/>
      <c r="AA48" s="1637"/>
      <c r="AB48" s="1637"/>
      <c r="AC48" s="1637"/>
    </row>
    <row r="49" spans="1:29" s="1058" customFormat="1" ht="15">
      <c r="A49" s="603" t="s">
        <v>480</v>
      </c>
      <c r="B49" s="594"/>
      <c r="C49" s="604" t="s">
        <v>524</v>
      </c>
      <c r="D49" s="80"/>
      <c r="E49" s="80"/>
      <c r="F49" s="80"/>
      <c r="G49" s="80"/>
      <c r="H49" s="80"/>
      <c r="I49" s="80"/>
      <c r="J49" s="80"/>
      <c r="K49" s="80"/>
      <c r="L49" s="605"/>
      <c r="M49" s="606"/>
      <c r="N49" s="1763"/>
      <c r="O49" s="1763"/>
      <c r="P49" s="1644"/>
      <c r="Q49" s="1760"/>
      <c r="R49" s="1637"/>
      <c r="S49" s="1637"/>
      <c r="T49" s="1637"/>
      <c r="U49" s="1637"/>
      <c r="V49" s="1637"/>
      <c r="W49" s="1637"/>
      <c r="X49" s="1637"/>
      <c r="Y49" s="1637"/>
      <c r="Z49" s="1637"/>
      <c r="AA49" s="1637"/>
      <c r="AB49" s="1637"/>
      <c r="AC49" s="1637"/>
    </row>
    <row r="50" spans="1:29" s="1058" customFormat="1" ht="15.75" thickBot="1">
      <c r="A50" s="603"/>
      <c r="B50" s="594"/>
      <c r="C50" s="595">
        <v>100</v>
      </c>
      <c r="D50" s="596"/>
      <c r="E50" s="596"/>
      <c r="F50" s="596"/>
      <c r="G50" s="596"/>
      <c r="H50" s="596"/>
      <c r="I50" s="596"/>
      <c r="J50" s="596"/>
      <c r="K50" s="596"/>
      <c r="L50" s="596"/>
      <c r="M50" s="597"/>
      <c r="N50" s="1763"/>
      <c r="O50" s="1763"/>
      <c r="P50" s="1760"/>
      <c r="Q50" s="1760"/>
      <c r="R50" s="1637"/>
      <c r="S50" s="1637"/>
      <c r="T50" s="1637"/>
      <c r="U50" s="1637"/>
      <c r="V50" s="1637"/>
      <c r="W50" s="1637"/>
      <c r="X50" s="1637"/>
      <c r="Y50" s="1637"/>
      <c r="Z50" s="1637"/>
      <c r="AA50" s="1637"/>
      <c r="AB50" s="1637"/>
      <c r="AC50" s="1637"/>
    </row>
    <row r="51" spans="1:29">
      <c r="A51" s="607" t="s">
        <v>525</v>
      </c>
      <c r="B51" s="608" t="s">
        <v>483</v>
      </c>
      <c r="C51" s="645">
        <f>C9</f>
        <v>0</v>
      </c>
      <c r="D51" s="547"/>
      <c r="E51" s="547"/>
      <c r="F51" s="547"/>
      <c r="G51" s="547"/>
      <c r="H51" s="547"/>
      <c r="I51" s="547"/>
      <c r="J51" s="547"/>
      <c r="K51" s="609"/>
      <c r="L51" s="610"/>
      <c r="M51" s="611"/>
      <c r="N51" s="1764"/>
      <c r="O51" s="1764"/>
      <c r="P51" s="1763"/>
      <c r="Q51" s="1760"/>
      <c r="R51" s="1739"/>
      <c r="S51" s="1739"/>
      <c r="T51" s="1739"/>
      <c r="U51" s="1739"/>
      <c r="V51" s="1739"/>
      <c r="W51" s="1739"/>
      <c r="X51" s="1739"/>
      <c r="Y51" s="1739"/>
      <c r="Z51" s="1739"/>
      <c r="AA51" s="1739"/>
      <c r="AB51" s="1739"/>
      <c r="AC51" s="1739"/>
    </row>
    <row r="52" spans="1:29" ht="15.75" thickBot="1">
      <c r="A52" s="482"/>
      <c r="B52" s="612"/>
      <c r="C52" s="613">
        <v>100</v>
      </c>
      <c r="D52" s="613"/>
      <c r="E52" s="613"/>
      <c r="F52" s="613"/>
      <c r="G52" s="613"/>
      <c r="H52" s="613"/>
      <c r="I52" s="613"/>
      <c r="J52" s="613"/>
      <c r="K52" s="613"/>
      <c r="L52" s="613"/>
      <c r="M52" s="614"/>
      <c r="N52" s="1765"/>
      <c r="O52" s="1765"/>
      <c r="P52" s="1763"/>
      <c r="Q52" s="1760"/>
      <c r="R52" s="1739"/>
      <c r="S52" s="1739"/>
      <c r="T52" s="1739"/>
      <c r="U52" s="1739"/>
      <c r="V52" s="1739"/>
      <c r="W52" s="1739"/>
      <c r="X52" s="1739"/>
      <c r="Y52" s="1739"/>
      <c r="Z52" s="1739"/>
      <c r="AA52" s="1739"/>
      <c r="AB52" s="1739"/>
      <c r="AC52" s="1739"/>
    </row>
    <row r="53" spans="1:29" ht="27.75" thickTop="1">
      <c r="A53" s="482"/>
      <c r="B53" s="615" t="s">
        <v>486</v>
      </c>
      <c r="C53" s="658"/>
      <c r="D53" s="658"/>
      <c r="E53" s="658"/>
      <c r="F53" s="658"/>
      <c r="G53" s="658"/>
      <c r="H53" s="658"/>
      <c r="I53" s="658"/>
      <c r="J53" s="658"/>
      <c r="K53" s="659"/>
      <c r="L53" s="660"/>
      <c r="M53" s="661"/>
      <c r="N53" s="1764"/>
      <c r="O53" s="1764"/>
      <c r="P53" s="1763"/>
      <c r="Q53" s="1760"/>
      <c r="R53" s="1739"/>
      <c r="S53" s="1739"/>
      <c r="T53" s="1739"/>
      <c r="U53" s="1739"/>
      <c r="V53" s="1739"/>
      <c r="W53" s="1739"/>
      <c r="X53" s="1739"/>
      <c r="Y53" s="1739"/>
      <c r="Z53" s="1739"/>
      <c r="AA53" s="1739"/>
      <c r="AB53" s="1739"/>
      <c r="AC53" s="1739"/>
    </row>
    <row r="54" spans="1:29" ht="15.75" thickBot="1">
      <c r="A54" s="482"/>
      <c r="B54" s="620"/>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15.75" thickTop="1">
      <c r="A55" s="482"/>
      <c r="B55" s="855">
        <f>B11</f>
        <v>111</v>
      </c>
      <c r="C55" s="491"/>
      <c r="D55" s="491"/>
      <c r="E55" s="491"/>
      <c r="F55" s="491"/>
      <c r="G55" s="491"/>
      <c r="H55" s="491"/>
      <c r="I55" s="491"/>
      <c r="J55" s="491"/>
      <c r="K55" s="626"/>
      <c r="L55" s="627"/>
      <c r="M55" s="628"/>
      <c r="N55" s="1764"/>
      <c r="O55" s="1764"/>
      <c r="P55" s="1763"/>
      <c r="Q55" s="1760"/>
      <c r="R55" s="1739"/>
      <c r="S55" s="1739"/>
      <c r="T55" s="1739"/>
      <c r="U55" s="1739"/>
      <c r="V55" s="1739"/>
      <c r="W55" s="1739"/>
      <c r="X55" s="1739"/>
      <c r="Y55" s="1739"/>
      <c r="Z55" s="1739"/>
      <c r="AA55" s="1739"/>
      <c r="AB55" s="1739"/>
      <c r="AC55" s="1739"/>
    </row>
    <row r="56" spans="1:29" ht="15.75" thickBot="1">
      <c r="A56" s="482"/>
      <c r="B56" s="612"/>
      <c r="C56" s="634"/>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s="1132" customFormat="1" ht="15.75" thickTop="1">
      <c r="A57" s="629"/>
      <c r="B57" s="615">
        <f>B12</f>
        <v>111</v>
      </c>
      <c r="C57" s="491"/>
      <c r="D57" s="491"/>
      <c r="E57" s="491"/>
      <c r="F57" s="491"/>
      <c r="G57" s="630"/>
      <c r="H57" s="631"/>
      <c r="I57" s="631"/>
      <c r="J57" s="631"/>
      <c r="K57" s="631"/>
      <c r="L57" s="632"/>
      <c r="M57" s="633"/>
      <c r="N57" s="1766"/>
      <c r="O57" s="1766"/>
      <c r="P57" s="1766"/>
      <c r="Q57" s="1767"/>
      <c r="R57" s="1768"/>
      <c r="S57" s="1768"/>
      <c r="T57" s="1768"/>
      <c r="U57" s="1768"/>
      <c r="V57" s="1768"/>
      <c r="W57" s="1768"/>
      <c r="X57" s="1768"/>
      <c r="Y57" s="1768"/>
      <c r="Z57" s="1768"/>
      <c r="AA57" s="1768"/>
      <c r="AB57" s="1768"/>
      <c r="AC57" s="1768"/>
    </row>
    <row r="58" spans="1:29" s="1132" customFormat="1" ht="15.75" thickBot="1">
      <c r="A58" s="629"/>
      <c r="B58" s="620"/>
      <c r="C58" s="634"/>
      <c r="D58" s="613"/>
      <c r="E58" s="613"/>
      <c r="F58" s="613"/>
      <c r="G58" s="613"/>
      <c r="H58" s="613"/>
      <c r="I58" s="613"/>
      <c r="J58" s="613"/>
      <c r="K58" s="613"/>
      <c r="L58" s="613"/>
      <c r="M58" s="614"/>
      <c r="N58" s="1765"/>
      <c r="O58" s="1765"/>
      <c r="P58" s="1766"/>
      <c r="Q58" s="1767"/>
      <c r="R58" s="1768"/>
      <c r="S58" s="1768"/>
      <c r="T58" s="1768"/>
      <c r="U58" s="1768"/>
      <c r="V58" s="1768"/>
      <c r="W58" s="1768"/>
      <c r="X58" s="1768"/>
      <c r="Y58" s="1768"/>
      <c r="Z58" s="1768"/>
      <c r="AA58" s="1768"/>
      <c r="AB58" s="1768"/>
      <c r="AC58" s="1768"/>
    </row>
    <row r="59" spans="1:29" s="1132" customFormat="1" ht="15.75" thickTop="1">
      <c r="A59" s="629"/>
      <c r="B59" s="615">
        <f>B13</f>
        <v>111</v>
      </c>
      <c r="C59" s="491"/>
      <c r="D59" s="491"/>
      <c r="E59" s="491"/>
      <c r="F59" s="491"/>
      <c r="G59" s="630"/>
      <c r="H59" s="631"/>
      <c r="I59" s="631"/>
      <c r="J59" s="631"/>
      <c r="K59" s="631"/>
      <c r="L59" s="632"/>
      <c r="M59" s="633"/>
      <c r="N59" s="1766"/>
      <c r="O59" s="1766"/>
      <c r="P59" s="1768"/>
      <c r="Q59" s="1769"/>
      <c r="R59" s="1768"/>
      <c r="S59" s="1768"/>
      <c r="T59" s="1768"/>
      <c r="U59" s="1768"/>
      <c r="V59" s="1768"/>
      <c r="W59" s="1768"/>
      <c r="X59" s="1768"/>
      <c r="Y59" s="1768"/>
      <c r="Z59" s="1768"/>
      <c r="AA59" s="1768"/>
      <c r="AB59" s="1768"/>
      <c r="AC59" s="1768"/>
    </row>
    <row r="60" spans="1:29" s="1132" customFormat="1" ht="15.75" thickBot="1">
      <c r="A60" s="629"/>
      <c r="B60" s="620"/>
      <c r="C60" s="634"/>
      <c r="D60" s="634"/>
      <c r="E60" s="634"/>
      <c r="F60" s="634"/>
      <c r="G60" s="634"/>
      <c r="H60" s="635"/>
      <c r="I60" s="635"/>
      <c r="J60" s="635"/>
      <c r="K60" s="635"/>
      <c r="L60" s="635"/>
      <c r="M60" s="636"/>
      <c r="N60" s="1766"/>
      <c r="O60" s="1766"/>
      <c r="P60" s="1766"/>
      <c r="Q60" s="1767"/>
      <c r="R60" s="1768"/>
      <c r="S60" s="1768"/>
      <c r="T60" s="1768"/>
      <c r="U60" s="1768"/>
      <c r="V60" s="1768"/>
      <c r="W60" s="1768"/>
      <c r="X60" s="1768"/>
      <c r="Y60" s="1768"/>
      <c r="Z60" s="1768"/>
      <c r="AA60" s="1768"/>
      <c r="AB60" s="1768"/>
      <c r="AC60" s="1768"/>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4"/>
      <c r="O61" s="1764"/>
      <c r="P61" s="1771"/>
      <c r="Q61" s="1760"/>
      <c r="R61" s="1739"/>
      <c r="S61" s="1739"/>
      <c r="T61" s="1739"/>
      <c r="U61" s="1739"/>
      <c r="V61" s="1739"/>
      <c r="W61" s="1739"/>
      <c r="X61" s="1739"/>
      <c r="Y61" s="1739"/>
      <c r="Z61" s="1739"/>
      <c r="AA61" s="1739"/>
      <c r="AB61" s="1739"/>
      <c r="AC61" s="1739"/>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5"/>
      <c r="O62" s="1765"/>
      <c r="P62" s="1763"/>
      <c r="Q62" s="1760"/>
      <c r="R62" s="1739"/>
      <c r="S62" s="1739"/>
      <c r="T62" s="1739"/>
      <c r="U62" s="1739"/>
      <c r="V62" s="1739"/>
      <c r="W62" s="1739"/>
      <c r="X62" s="1739"/>
      <c r="Y62" s="1739"/>
      <c r="Z62" s="1739"/>
      <c r="AA62" s="1739"/>
      <c r="AB62" s="1739"/>
      <c r="AC62" s="1739"/>
    </row>
    <row r="63" spans="1:29" ht="15.75" thickTop="1">
      <c r="A63" s="482"/>
      <c r="B63" s="1552" t="s">
        <v>1835</v>
      </c>
      <c r="C63" s="649" t="s">
        <v>527</v>
      </c>
      <c r="D63" s="649" t="s">
        <v>528</v>
      </c>
      <c r="E63" s="649" t="s">
        <v>529</v>
      </c>
      <c r="F63" s="649" t="s">
        <v>530</v>
      </c>
      <c r="G63" s="649" t="s">
        <v>531</v>
      </c>
      <c r="H63" s="616"/>
      <c r="I63" s="616"/>
      <c r="J63" s="616"/>
      <c r="K63" s="617"/>
      <c r="L63" s="618"/>
      <c r="M63" s="619"/>
      <c r="N63" s="1764"/>
      <c r="O63" s="1764"/>
      <c r="P63" s="1763"/>
      <c r="Q63" s="1760"/>
      <c r="R63" s="1739"/>
      <c r="S63" s="1739"/>
      <c r="T63" s="1739"/>
      <c r="U63" s="1739"/>
      <c r="V63" s="1739"/>
      <c r="W63" s="1739"/>
      <c r="X63" s="1739"/>
      <c r="Y63" s="1739"/>
      <c r="Z63" s="1739"/>
      <c r="AA63" s="1739"/>
      <c r="AB63" s="1739"/>
      <c r="AC63" s="1739"/>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75" thickTop="1">
      <c r="A65" s="482"/>
      <c r="B65" s="2053" t="s">
        <v>1836</v>
      </c>
      <c r="C65" s="2054" t="s">
        <v>1837</v>
      </c>
      <c r="D65" s="2054" t="s">
        <v>1838</v>
      </c>
      <c r="E65" s="2054" t="s">
        <v>1839</v>
      </c>
      <c r="F65" s="2054" t="s">
        <v>1840</v>
      </c>
      <c r="G65" s="2054" t="s">
        <v>1841</v>
      </c>
      <c r="H65" s="616"/>
      <c r="I65" s="616"/>
      <c r="J65" s="616"/>
      <c r="K65" s="616"/>
      <c r="L65" s="616"/>
      <c r="M65" s="2057"/>
      <c r="N65" s="1765"/>
      <c r="O65" s="1765"/>
      <c r="P65" s="1763"/>
      <c r="Q65" s="1760"/>
      <c r="R65" s="1739"/>
      <c r="S65" s="1739"/>
      <c r="T65" s="1739"/>
      <c r="U65" s="1739"/>
      <c r="V65" s="1739"/>
      <c r="W65" s="1739"/>
      <c r="X65" s="1739"/>
      <c r="Y65" s="1739"/>
      <c r="Z65" s="1739"/>
      <c r="AA65" s="1739"/>
      <c r="AB65" s="1739"/>
      <c r="AC65" s="1739"/>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5"/>
      <c r="O66" s="1765"/>
      <c r="P66" s="1763"/>
      <c r="Q66" s="1760"/>
      <c r="R66" s="1739"/>
      <c r="S66" s="1739"/>
      <c r="T66" s="1739"/>
      <c r="U66" s="1739"/>
      <c r="V66" s="1739"/>
      <c r="W66" s="1739"/>
      <c r="X66" s="1739"/>
      <c r="Y66" s="1739"/>
      <c r="Z66" s="1739"/>
      <c r="AA66" s="1739"/>
      <c r="AB66" s="1739"/>
      <c r="AC66" s="1739"/>
    </row>
    <row r="67" spans="1:29" ht="15.75" thickTop="1">
      <c r="A67" s="482"/>
      <c r="B67" s="615" t="s">
        <v>684</v>
      </c>
      <c r="C67" s="649" t="s">
        <v>527</v>
      </c>
      <c r="D67" s="649" t="s">
        <v>528</v>
      </c>
      <c r="E67" s="649" t="s">
        <v>529</v>
      </c>
      <c r="F67" s="649" t="s">
        <v>530</v>
      </c>
      <c r="G67" s="649" t="s">
        <v>531</v>
      </c>
      <c r="H67" s="616"/>
      <c r="I67" s="616"/>
      <c r="J67" s="616"/>
      <c r="K67" s="617"/>
      <c r="L67" s="618"/>
      <c r="M67" s="619"/>
      <c r="N67" s="1764"/>
      <c r="O67" s="1764"/>
      <c r="P67" s="1763"/>
      <c r="Q67" s="1760"/>
      <c r="R67" s="1739"/>
      <c r="S67" s="1739"/>
      <c r="T67" s="1739"/>
      <c r="U67" s="1739"/>
      <c r="V67" s="1739"/>
      <c r="W67" s="1739"/>
      <c r="X67" s="1739"/>
      <c r="Y67" s="1739"/>
      <c r="Z67" s="1739"/>
      <c r="AA67" s="1739"/>
      <c r="AB67" s="1739"/>
      <c r="AC67" s="1739"/>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5"/>
      <c r="O68" s="1765"/>
      <c r="P68" s="1763"/>
      <c r="Q68" s="1760"/>
      <c r="R68" s="1739"/>
      <c r="S68" s="1739"/>
      <c r="T68" s="1739"/>
      <c r="U68" s="1739"/>
      <c r="V68" s="1739"/>
      <c r="W68" s="1739"/>
      <c r="X68" s="1739"/>
      <c r="Y68" s="1739"/>
      <c r="Z68" s="1739"/>
      <c r="AA68" s="1739"/>
      <c r="AB68" s="1739"/>
      <c r="AC68" s="1739"/>
    </row>
    <row r="69" spans="1:29" ht="15.75" thickTop="1">
      <c r="A69" s="482"/>
      <c r="B69" s="615" t="s">
        <v>685</v>
      </c>
      <c r="C69" s="630"/>
      <c r="D69" s="630"/>
      <c r="E69" s="630"/>
      <c r="F69" s="630"/>
      <c r="G69" s="630"/>
      <c r="H69" s="658"/>
      <c r="I69" s="658"/>
      <c r="J69" s="658"/>
      <c r="K69" s="659"/>
      <c r="L69" s="660"/>
      <c r="M69" s="661"/>
      <c r="N69" s="1764"/>
      <c r="O69" s="1764"/>
      <c r="P69" s="1763"/>
      <c r="Q69" s="1760"/>
      <c r="R69" s="1739"/>
      <c r="S69" s="1739"/>
      <c r="T69" s="1739"/>
      <c r="U69" s="1739"/>
      <c r="V69" s="1739"/>
      <c r="W69" s="1739"/>
      <c r="X69" s="1739"/>
      <c r="Y69" s="1739"/>
      <c r="Z69" s="1739"/>
      <c r="AA69" s="1739"/>
      <c r="AB69" s="1739"/>
      <c r="AC69" s="1739"/>
    </row>
    <row r="70" spans="1:29" ht="15.75" thickBot="1">
      <c r="A70" s="482"/>
      <c r="B70" s="620"/>
      <c r="C70" s="621">
        <v>100</v>
      </c>
      <c r="D70" s="621">
        <f>C70-$K22</f>
        <v>100</v>
      </c>
      <c r="E70" s="621"/>
      <c r="F70" s="621"/>
      <c r="G70" s="621"/>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s="1058" customFormat="1" ht="15.75" thickTop="1">
      <c r="A71" s="486"/>
      <c r="B71" s="615">
        <f>B23</f>
        <v>111</v>
      </c>
      <c r="C71" s="491"/>
      <c r="D71" s="491"/>
      <c r="E71" s="491"/>
      <c r="F71" s="491"/>
      <c r="G71" s="630"/>
      <c r="H71" s="630"/>
      <c r="I71" s="630"/>
      <c r="J71" s="630"/>
      <c r="K71" s="630"/>
      <c r="L71" s="814"/>
      <c r="M71" s="815"/>
      <c r="N71" s="1763"/>
      <c r="O71" s="1763"/>
      <c r="P71" s="1763"/>
      <c r="Q71" s="1760"/>
      <c r="R71" s="1637"/>
      <c r="S71" s="1637"/>
      <c r="T71" s="1637"/>
      <c r="U71" s="1637"/>
      <c r="V71" s="1637"/>
      <c r="W71" s="1637"/>
      <c r="X71" s="1637"/>
      <c r="Y71" s="1637"/>
      <c r="Z71" s="1637"/>
      <c r="AA71" s="1637"/>
      <c r="AB71" s="1637"/>
      <c r="AC71" s="1637"/>
    </row>
    <row r="72" spans="1:29" s="1058" customFormat="1" ht="15.75" thickBot="1">
      <c r="A72" s="486"/>
      <c r="B72" s="620"/>
      <c r="C72" s="634"/>
      <c r="D72" s="613"/>
      <c r="E72" s="613"/>
      <c r="F72" s="613"/>
      <c r="G72" s="613"/>
      <c r="H72" s="613"/>
      <c r="I72" s="613"/>
      <c r="J72" s="613"/>
      <c r="K72" s="613"/>
      <c r="L72" s="613"/>
      <c r="M72" s="614"/>
      <c r="N72" s="1765"/>
      <c r="O72" s="1765"/>
      <c r="P72" s="1763"/>
      <c r="Q72" s="1760"/>
      <c r="R72" s="1637"/>
      <c r="S72" s="1637"/>
      <c r="T72" s="1637"/>
      <c r="U72" s="1637"/>
      <c r="V72" s="1637"/>
      <c r="W72" s="1637"/>
      <c r="X72" s="1637"/>
      <c r="Y72" s="1637"/>
      <c r="Z72" s="1637"/>
      <c r="AA72" s="1637"/>
      <c r="AB72" s="1637"/>
      <c r="AC72" s="1637"/>
    </row>
    <row r="73" spans="1:29" s="1058" customFormat="1" ht="15.75" thickTop="1">
      <c r="A73" s="486"/>
      <c r="B73" s="615">
        <f>B24</f>
        <v>111</v>
      </c>
      <c r="C73" s="491"/>
      <c r="D73" s="491"/>
      <c r="E73" s="491"/>
      <c r="F73" s="491"/>
      <c r="G73" s="630"/>
      <c r="H73" s="630"/>
      <c r="I73" s="630"/>
      <c r="J73" s="630"/>
      <c r="K73" s="630"/>
      <c r="L73" s="630"/>
      <c r="M73" s="815"/>
      <c r="N73" s="1763"/>
      <c r="O73" s="1763"/>
      <c r="P73" s="1763"/>
      <c r="Q73" s="1760"/>
      <c r="R73" s="1637"/>
      <c r="S73" s="1637"/>
      <c r="T73" s="1637"/>
      <c r="U73" s="1637"/>
      <c r="V73" s="1637"/>
      <c r="W73" s="1637"/>
      <c r="X73" s="1637"/>
      <c r="Y73" s="1637"/>
      <c r="Z73" s="1637"/>
      <c r="AA73" s="1637"/>
      <c r="AB73" s="1637"/>
      <c r="AC73" s="1637"/>
    </row>
    <row r="74" spans="1:29" s="1058" customFormat="1" ht="15.75"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132" customFormat="1" ht="15.75" thickTop="1">
      <c r="A75" s="629"/>
      <c r="B75" s="615">
        <f>B25</f>
        <v>111</v>
      </c>
      <c r="C75" s="491"/>
      <c r="D75" s="491"/>
      <c r="E75" s="491"/>
      <c r="F75" s="491"/>
      <c r="G75" s="630"/>
      <c r="H75" s="631"/>
      <c r="I75" s="631"/>
      <c r="J75" s="631"/>
      <c r="K75" s="631"/>
      <c r="L75" s="632"/>
      <c r="M75" s="633"/>
      <c r="N75" s="1766"/>
      <c r="O75" s="1766"/>
      <c r="P75" s="1766"/>
      <c r="Q75" s="1767"/>
      <c r="R75" s="1768"/>
      <c r="S75" s="1768"/>
      <c r="T75" s="1768"/>
      <c r="U75" s="1768"/>
      <c r="V75" s="1768"/>
      <c r="W75" s="1768"/>
      <c r="X75" s="1768"/>
      <c r="Y75" s="1768"/>
      <c r="Z75" s="1768"/>
      <c r="AA75" s="1768"/>
      <c r="AB75" s="1768"/>
      <c r="AC75" s="1768"/>
    </row>
    <row r="76" spans="1:29" s="1132" customFormat="1" ht="15.75" thickBot="1">
      <c r="A76" s="629"/>
      <c r="B76" s="620"/>
      <c r="C76" s="634"/>
      <c r="D76" s="634"/>
      <c r="E76" s="634"/>
      <c r="F76" s="634"/>
      <c r="G76" s="613"/>
      <c r="H76" s="613"/>
      <c r="I76" s="613"/>
      <c r="J76" s="613"/>
      <c r="K76" s="613"/>
      <c r="L76" s="613"/>
      <c r="M76" s="614"/>
      <c r="N76" s="1766"/>
      <c r="O76" s="1766"/>
      <c r="P76" s="1766"/>
      <c r="Q76" s="1767"/>
      <c r="R76" s="1768"/>
      <c r="S76" s="1768"/>
      <c r="T76" s="1768"/>
      <c r="U76" s="1768"/>
      <c r="V76" s="1768"/>
      <c r="W76" s="1768"/>
      <c r="X76" s="1768"/>
      <c r="Y76" s="1768"/>
      <c r="Z76" s="1768"/>
      <c r="AA76" s="1768"/>
      <c r="AB76" s="1768"/>
      <c r="AC76" s="1768"/>
    </row>
    <row r="77" spans="1:29" ht="15" thickTop="1">
      <c r="A77" s="607" t="s">
        <v>500</v>
      </c>
      <c r="B77" s="608" t="s">
        <v>691</v>
      </c>
      <c r="C77" s="630"/>
      <c r="D77" s="630"/>
      <c r="E77" s="547"/>
      <c r="F77" s="547"/>
      <c r="G77" s="547"/>
      <c r="H77" s="547"/>
      <c r="I77" s="547"/>
      <c r="J77" s="547"/>
      <c r="K77" s="609"/>
      <c r="L77" s="610"/>
      <c r="M77" s="611"/>
      <c r="N77" s="1764"/>
      <c r="O77" s="1764"/>
      <c r="P77" s="1763"/>
      <c r="Q77" s="1760"/>
      <c r="R77" s="1739"/>
      <c r="S77" s="1739"/>
      <c r="T77" s="1739"/>
      <c r="U77" s="1739"/>
      <c r="V77" s="1739"/>
      <c r="W77" s="1739"/>
      <c r="X77" s="1739"/>
      <c r="Y77" s="1739"/>
      <c r="Z77" s="1739"/>
      <c r="AA77" s="1739"/>
      <c r="AB77" s="1739"/>
      <c r="AC77" s="1739"/>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5"/>
      <c r="O78" s="1765"/>
      <c r="P78" s="1763"/>
      <c r="Q78" s="1760"/>
      <c r="R78" s="1739"/>
      <c r="S78" s="1739"/>
      <c r="T78" s="1739"/>
      <c r="U78" s="1739"/>
      <c r="V78" s="1739"/>
      <c r="W78" s="1739"/>
      <c r="X78" s="1739"/>
      <c r="Y78" s="1739"/>
      <c r="Z78" s="1739"/>
      <c r="AA78" s="1739"/>
      <c r="AB78" s="1739"/>
      <c r="AC78" s="1739"/>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3"/>
      <c r="O79" s="1763"/>
      <c r="P79" s="1763"/>
      <c r="Q79" s="1760"/>
      <c r="R79" s="1739"/>
      <c r="S79" s="1739"/>
      <c r="T79" s="1739"/>
      <c r="U79" s="1739"/>
      <c r="V79" s="1739"/>
      <c r="W79" s="1739"/>
      <c r="X79" s="1739"/>
      <c r="Y79" s="1739"/>
      <c r="Z79" s="1739"/>
      <c r="AA79" s="1739"/>
      <c r="AB79" s="1739"/>
      <c r="AC79" s="1739"/>
    </row>
    <row r="80" spans="1:29" ht="15">
      <c r="A80" s="482"/>
      <c r="B80" s="623"/>
      <c r="C80" s="817">
        <v>0.5</v>
      </c>
      <c r="D80" s="817">
        <v>0.6</v>
      </c>
      <c r="E80" s="817">
        <v>0.7</v>
      </c>
      <c r="F80" s="817">
        <v>0.8</v>
      </c>
      <c r="G80" s="817">
        <v>0.9</v>
      </c>
      <c r="H80" s="817">
        <v>1.0001</v>
      </c>
      <c r="I80" s="855"/>
      <c r="J80" s="855"/>
      <c r="K80" s="863"/>
      <c r="L80" s="864"/>
      <c r="M80" s="865"/>
      <c r="N80" s="1763"/>
      <c r="O80" s="1763"/>
      <c r="P80" s="1763"/>
      <c r="Q80" s="1760"/>
      <c r="R80" s="1739"/>
      <c r="S80" s="1739"/>
      <c r="T80" s="1739"/>
      <c r="U80" s="1739"/>
      <c r="V80" s="1739"/>
      <c r="W80" s="1739"/>
      <c r="X80" s="1739"/>
      <c r="Y80" s="1739"/>
      <c r="Z80" s="1739"/>
      <c r="AA80" s="1739"/>
      <c r="AB80" s="1739"/>
      <c r="AC80" s="1739"/>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3"/>
      <c r="B82" s="623" t="s">
        <v>757</v>
      </c>
      <c r="C82" s="630"/>
      <c r="D82" s="630"/>
      <c r="E82" s="658"/>
      <c r="F82" s="658"/>
      <c r="G82" s="658"/>
      <c r="H82" s="658"/>
      <c r="I82" s="658"/>
      <c r="J82" s="658"/>
      <c r="K82" s="659"/>
      <c r="L82" s="660"/>
      <c r="M82" s="661"/>
      <c r="N82" s="1764"/>
      <c r="O82" s="1764"/>
      <c r="P82" s="1763"/>
      <c r="Q82" s="1760"/>
      <c r="R82" s="1739"/>
      <c r="S82" s="1739"/>
      <c r="T82" s="1739"/>
      <c r="U82" s="1739"/>
      <c r="V82" s="1739"/>
      <c r="W82" s="1739"/>
      <c r="X82" s="1739"/>
      <c r="Y82" s="1739"/>
      <c r="Z82" s="1739"/>
      <c r="AA82" s="1739"/>
      <c r="AB82" s="1739"/>
      <c r="AC82" s="1739"/>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3"/>
      <c r="B84" s="615" t="s">
        <v>765</v>
      </c>
      <c r="C84" s="630"/>
      <c r="D84" s="630"/>
      <c r="E84" s="630"/>
      <c r="F84" s="630"/>
      <c r="G84" s="630"/>
      <c r="H84" s="630"/>
      <c r="I84" s="658"/>
      <c r="J84" s="658"/>
      <c r="K84" s="659"/>
      <c r="L84" s="660"/>
      <c r="M84" s="661"/>
      <c r="N84" s="1764"/>
      <c r="O84" s="1764"/>
      <c r="P84" s="1763"/>
      <c r="Q84" s="1760"/>
      <c r="R84" s="1739"/>
      <c r="S84" s="1739"/>
      <c r="T84" s="1739"/>
      <c r="U84" s="1739"/>
      <c r="V84" s="1739"/>
      <c r="W84" s="1739"/>
      <c r="X84" s="1739"/>
      <c r="Y84" s="1739"/>
      <c r="Z84" s="1739"/>
      <c r="AA84" s="1739"/>
      <c r="AB84" s="1739"/>
      <c r="AC84" s="1739"/>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4"/>
      <c r="O86" s="1764"/>
      <c r="P86" s="1763"/>
      <c r="Q86" s="1760"/>
      <c r="R86" s="1739"/>
      <c r="S86" s="1739"/>
      <c r="T86" s="1739"/>
      <c r="U86" s="1739"/>
      <c r="V86" s="1739"/>
      <c r="W86" s="1739"/>
      <c r="X86" s="1739"/>
      <c r="Y86" s="1739"/>
      <c r="Z86" s="1739"/>
      <c r="AA86" s="1739"/>
      <c r="AB86" s="1739"/>
      <c r="AC86" s="1739"/>
    </row>
    <row r="87" spans="1:29">
      <c r="A87" s="543"/>
      <c r="B87" s="623"/>
      <c r="C87" s="79"/>
      <c r="D87" s="79"/>
      <c r="E87" s="79"/>
      <c r="F87" s="79"/>
      <c r="G87" s="79"/>
      <c r="H87" s="79"/>
      <c r="I87" s="79"/>
      <c r="J87" s="669"/>
      <c r="K87" s="669"/>
      <c r="L87" s="670"/>
      <c r="M87" s="671"/>
      <c r="N87" s="1764"/>
      <c r="O87" s="1764"/>
      <c r="P87" s="1763"/>
      <c r="Q87" s="1760"/>
      <c r="R87" s="1739"/>
      <c r="S87" s="1739"/>
      <c r="T87" s="1739"/>
      <c r="U87" s="1739"/>
      <c r="V87" s="1739"/>
      <c r="W87" s="1739"/>
      <c r="X87" s="1739"/>
      <c r="Y87" s="1739"/>
      <c r="Z87" s="1739"/>
      <c r="AA87" s="1739"/>
      <c r="AB87" s="1739"/>
      <c r="AC87" s="1739"/>
    </row>
    <row r="88" spans="1:29" ht="15.75" thickBot="1">
      <c r="A88" s="482"/>
      <c r="B88" s="620"/>
      <c r="C88" s="634"/>
      <c r="D88" s="613"/>
      <c r="E88" s="613"/>
      <c r="F88" s="613"/>
      <c r="G88" s="613"/>
      <c r="H88" s="613"/>
      <c r="I88" s="613"/>
      <c r="J88" s="613"/>
      <c r="K88" s="613"/>
      <c r="L88" s="613"/>
      <c r="M88" s="613"/>
      <c r="N88" s="1765"/>
      <c r="O88" s="1765"/>
      <c r="P88" s="1763"/>
      <c r="Q88" s="1760"/>
      <c r="R88" s="1739"/>
      <c r="S88" s="1739"/>
      <c r="T88" s="1739"/>
      <c r="U88" s="1739"/>
      <c r="V88" s="1739"/>
      <c r="W88" s="1739"/>
      <c r="X88" s="1739"/>
      <c r="Y88" s="1739"/>
      <c r="Z88" s="1739"/>
      <c r="AA88" s="1739"/>
      <c r="AB88" s="1739"/>
      <c r="AC88" s="1739"/>
    </row>
    <row r="89" spans="1:29" s="1132" customFormat="1" ht="15" thickTop="1">
      <c r="A89" s="552"/>
      <c r="B89" s="615" t="s">
        <v>767</v>
      </c>
      <c r="C89" s="630"/>
      <c r="D89" s="630"/>
      <c r="E89" s="630"/>
      <c r="F89" s="630"/>
      <c r="G89" s="630"/>
      <c r="H89" s="630"/>
      <c r="I89" s="630"/>
      <c r="J89" s="630"/>
      <c r="K89" s="630"/>
      <c r="L89" s="630"/>
      <c r="M89" s="815"/>
      <c r="N89" s="1766"/>
      <c r="O89" s="1766"/>
      <c r="P89" s="1766"/>
      <c r="Q89" s="1767"/>
      <c r="R89" s="1768"/>
      <c r="S89" s="1768"/>
      <c r="T89" s="1768"/>
      <c r="U89" s="1768"/>
      <c r="V89" s="1768"/>
      <c r="W89" s="1768"/>
      <c r="X89" s="1768"/>
      <c r="Y89" s="1768"/>
      <c r="Z89" s="1768"/>
      <c r="AA89" s="1768"/>
      <c r="AB89" s="1768"/>
      <c r="AC89" s="1768"/>
    </row>
    <row r="90" spans="1:29" s="1132" customFormat="1" ht="15.75" thickBot="1">
      <c r="A90" s="629"/>
      <c r="B90" s="620"/>
      <c r="C90" s="634"/>
      <c r="D90" s="613"/>
      <c r="E90" s="613"/>
      <c r="F90" s="613"/>
      <c r="G90" s="613"/>
      <c r="H90" s="613"/>
      <c r="I90" s="613"/>
      <c r="J90" s="613"/>
      <c r="K90" s="613"/>
      <c r="L90" s="613"/>
      <c r="M90" s="614"/>
      <c r="N90" s="1766"/>
      <c r="O90" s="1766"/>
      <c r="P90" s="1766"/>
      <c r="Q90" s="1767"/>
      <c r="R90" s="1768"/>
      <c r="S90" s="1768"/>
      <c r="T90" s="1768"/>
      <c r="U90" s="1768"/>
      <c r="V90" s="1768"/>
      <c r="W90" s="1768"/>
      <c r="X90" s="1768"/>
      <c r="Y90" s="1768"/>
      <c r="Z90" s="1768"/>
      <c r="AA90" s="1768"/>
      <c r="AB90" s="1768"/>
      <c r="AC90" s="1768"/>
    </row>
    <row r="91" spans="1:29" ht="15" thickTop="1">
      <c r="A91" s="543"/>
      <c r="B91" s="615">
        <f>B32</f>
        <v>111</v>
      </c>
      <c r="C91" s="491"/>
      <c r="D91" s="491"/>
      <c r="E91" s="491"/>
      <c r="F91" s="491"/>
      <c r="G91" s="630"/>
      <c r="H91" s="631"/>
      <c r="I91" s="631"/>
      <c r="J91" s="631"/>
      <c r="K91" s="631"/>
      <c r="L91" s="632"/>
      <c r="M91" s="633"/>
      <c r="N91" s="1764"/>
      <c r="O91" s="1764"/>
      <c r="P91" s="1763"/>
      <c r="Q91" s="1760"/>
      <c r="R91" s="1739"/>
      <c r="S91" s="1739"/>
      <c r="T91" s="1739"/>
      <c r="U91" s="1739"/>
      <c r="V91" s="1739"/>
      <c r="W91" s="1739"/>
      <c r="X91" s="1739"/>
      <c r="Y91" s="1739"/>
      <c r="Z91" s="1739"/>
      <c r="AA91" s="1739"/>
      <c r="AB91" s="1739"/>
      <c r="AC91" s="1739"/>
    </row>
    <row r="92" spans="1:29" ht="15.75" thickBot="1">
      <c r="A92" s="482"/>
      <c r="B92" s="620"/>
      <c r="C92" s="634"/>
      <c r="D92" s="613"/>
      <c r="E92" s="613"/>
      <c r="F92" s="613"/>
      <c r="G92" s="634"/>
      <c r="H92" s="635"/>
      <c r="I92" s="635"/>
      <c r="J92" s="635"/>
      <c r="K92" s="635"/>
      <c r="L92" s="635"/>
      <c r="M92" s="636"/>
      <c r="N92" s="1765"/>
      <c r="O92" s="1765"/>
      <c r="P92" s="1763"/>
      <c r="Q92" s="1760"/>
      <c r="R92" s="1739"/>
      <c r="S92" s="1739"/>
      <c r="T92" s="1739"/>
      <c r="U92" s="1739"/>
      <c r="V92" s="1739"/>
      <c r="W92" s="1739"/>
      <c r="X92" s="1739"/>
      <c r="Y92" s="1739"/>
      <c r="Z92" s="1739"/>
      <c r="AA92" s="1739"/>
      <c r="AB92" s="1739"/>
      <c r="AC92" s="1739"/>
    </row>
    <row r="93" spans="1:29" ht="15" thickTop="1">
      <c r="A93" s="543"/>
      <c r="B93" s="615">
        <f>B33</f>
        <v>111</v>
      </c>
      <c r="C93" s="491"/>
      <c r="D93" s="491"/>
      <c r="E93" s="491"/>
      <c r="F93" s="491"/>
      <c r="G93" s="630"/>
      <c r="H93" s="631"/>
      <c r="I93" s="631"/>
      <c r="J93" s="631"/>
      <c r="K93" s="631"/>
      <c r="L93" s="632"/>
      <c r="M93" s="633"/>
      <c r="N93" s="1764"/>
      <c r="O93" s="1764"/>
      <c r="P93" s="1763"/>
      <c r="Q93" s="1760"/>
      <c r="R93" s="1739"/>
      <c r="S93" s="1739"/>
      <c r="T93" s="1739"/>
      <c r="U93" s="1739"/>
      <c r="V93" s="1739"/>
      <c r="W93" s="1739"/>
      <c r="X93" s="1739"/>
      <c r="Y93" s="1739"/>
      <c r="Z93" s="1739"/>
      <c r="AA93" s="1739"/>
      <c r="AB93" s="1739"/>
      <c r="AC93" s="1739"/>
    </row>
    <row r="94" spans="1:29" ht="15.75" thickBot="1">
      <c r="A94" s="482"/>
      <c r="B94" s="620"/>
      <c r="C94" s="634"/>
      <c r="D94" s="613"/>
      <c r="E94" s="613"/>
      <c r="F94" s="613"/>
      <c r="G94" s="634"/>
      <c r="H94" s="635"/>
      <c r="I94" s="635"/>
      <c r="J94" s="635"/>
      <c r="K94" s="635"/>
      <c r="L94" s="635"/>
      <c r="M94" s="636"/>
      <c r="N94" s="1765"/>
      <c r="O94" s="1765"/>
      <c r="P94" s="1763"/>
      <c r="Q94" s="1760"/>
      <c r="R94" s="1739"/>
      <c r="S94" s="1739"/>
      <c r="T94" s="1739"/>
      <c r="U94" s="1739"/>
      <c r="V94" s="1739"/>
      <c r="W94" s="1739"/>
      <c r="X94" s="1739"/>
      <c r="Y94" s="1739"/>
      <c r="Z94" s="1739"/>
      <c r="AA94" s="1739"/>
      <c r="AB94" s="1739"/>
      <c r="AC94" s="1739"/>
    </row>
    <row r="95" spans="1:29" ht="15" thickTop="1">
      <c r="A95" s="543"/>
      <c r="B95" s="838">
        <f>B34</f>
        <v>111</v>
      </c>
      <c r="C95" s="491"/>
      <c r="D95" s="491"/>
      <c r="E95" s="491"/>
      <c r="F95" s="491"/>
      <c r="G95" s="630"/>
      <c r="H95" s="631"/>
      <c r="I95" s="631"/>
      <c r="J95" s="631"/>
      <c r="K95" s="631"/>
      <c r="L95" s="632"/>
      <c r="M95" s="633"/>
      <c r="N95" s="1765"/>
      <c r="O95" s="1765"/>
      <c r="P95" s="1765"/>
      <c r="Q95" s="1800"/>
      <c r="R95" s="1739"/>
      <c r="S95" s="1739"/>
      <c r="T95" s="1739"/>
      <c r="U95" s="1739"/>
      <c r="V95" s="1739"/>
      <c r="W95" s="1739"/>
      <c r="X95" s="1739"/>
      <c r="Y95" s="1739"/>
      <c r="Z95" s="1739"/>
      <c r="AA95" s="1739"/>
      <c r="AB95" s="1739"/>
      <c r="AC95" s="1739"/>
    </row>
    <row r="96" spans="1:29" ht="15.75" thickBot="1">
      <c r="A96" s="482"/>
      <c r="B96" s="620"/>
      <c r="C96" s="634"/>
      <c r="D96" s="634"/>
      <c r="E96" s="634"/>
      <c r="F96" s="634"/>
      <c r="G96" s="634"/>
      <c r="H96" s="635"/>
      <c r="I96" s="635"/>
      <c r="J96" s="635"/>
      <c r="K96" s="635"/>
      <c r="L96" s="635"/>
      <c r="M96" s="636"/>
      <c r="N96" s="1765"/>
      <c r="O96" s="1765"/>
      <c r="P96" s="1763"/>
      <c r="Q96" s="1760"/>
      <c r="R96" s="1739"/>
      <c r="S96" s="1739"/>
      <c r="T96" s="1739"/>
      <c r="U96" s="1739"/>
      <c r="V96" s="1739"/>
      <c r="W96" s="1739"/>
      <c r="X96" s="1739"/>
      <c r="Y96" s="1739"/>
      <c r="Z96" s="1739"/>
      <c r="AA96" s="1739"/>
      <c r="AB96" s="1739"/>
      <c r="AC96" s="1739"/>
    </row>
    <row r="97" spans="1:29" ht="1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6" t="s">
        <v>1254</v>
      </c>
      <c r="B1" s="675"/>
      <c r="C1" s="708" t="s">
        <v>3706</v>
      </c>
      <c r="D1" s="2360" t="s">
        <v>3707</v>
      </c>
      <c r="E1" s="1944" t="s">
        <v>1723</v>
      </c>
      <c r="F1" s="1945">
        <f ca="1">J53</f>
        <v>46.8</v>
      </c>
      <c r="G1" s="2755">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10">
        <f ca="1">C40+J29+L46</f>
        <v>1336</v>
      </c>
      <c r="C2" s="2760"/>
      <c r="D2" s="2759"/>
      <c r="E2" s="2761"/>
      <c r="F2" s="2761"/>
      <c r="G2" s="2756"/>
      <c r="H2" s="1667"/>
      <c r="I2" s="1667"/>
      <c r="J2" s="1667"/>
      <c r="K2" s="1668"/>
      <c r="L2" s="1667"/>
      <c r="M2" s="1667"/>
    </row>
    <row r="3" spans="1:33" ht="18" customHeight="1" thickBot="1">
      <c r="A3" s="767" t="s">
        <v>1256</v>
      </c>
      <c r="B3" s="768">
        <f ca="1">IF(ISERROR(B2*10000/F43),0,ROUND(B2*10000/F43,0))</f>
        <v>9496</v>
      </c>
      <c r="C3" s="2760"/>
      <c r="D3" s="2759"/>
      <c r="E3" s="2761"/>
      <c r="F3" s="2761"/>
      <c r="G3" s="2756"/>
      <c r="H3" s="711" t="s">
        <v>642</v>
      </c>
      <c r="I3" s="1155"/>
      <c r="J3" s="1155"/>
      <c r="K3" s="1322"/>
      <c r="L3" s="1155"/>
      <c r="M3" s="1155"/>
    </row>
    <row r="4" spans="1:33" ht="18" customHeight="1">
      <c r="A4" s="712" t="s">
        <v>1257</v>
      </c>
      <c r="B4" s="713" t="s">
        <v>1258</v>
      </c>
      <c r="C4" s="713" t="s">
        <v>1259</v>
      </c>
      <c r="D4" s="713" t="s">
        <v>581</v>
      </c>
      <c r="E4" s="714" t="s">
        <v>1260</v>
      </c>
      <c r="F4" s="715"/>
      <c r="G4" s="1665"/>
      <c r="H4" s="712" t="s">
        <v>1261</v>
      </c>
      <c r="I4" s="713" t="s">
        <v>1262</v>
      </c>
      <c r="J4" s="713" t="s">
        <v>1263</v>
      </c>
      <c r="K4" s="713" t="s">
        <v>1264</v>
      </c>
      <c r="L4" s="714" t="s">
        <v>1265</v>
      </c>
      <c r="M4" s="715"/>
    </row>
    <row r="5" spans="1:33" ht="18" customHeight="1">
      <c r="A5" s="716">
        <v>1</v>
      </c>
      <c r="B5" s="717" t="s">
        <v>1797</v>
      </c>
      <c r="C5" s="51">
        <f ca="1">C6+C10+C12</f>
        <v>69</v>
      </c>
      <c r="D5" s="1998" t="s">
        <v>1800</v>
      </c>
      <c r="E5" s="1992"/>
      <c r="F5" s="1993"/>
      <c r="G5" s="1665"/>
      <c r="H5" s="716">
        <v>1</v>
      </c>
      <c r="I5" s="717" t="s">
        <v>1797</v>
      </c>
      <c r="J5" s="51">
        <f ca="1">J6+J10+J12</f>
        <v>0</v>
      </c>
      <c r="K5" s="1998" t="s">
        <v>1800</v>
      </c>
      <c r="L5" s="1992"/>
      <c r="M5" s="1993"/>
    </row>
    <row r="6" spans="1:33" ht="18" customHeight="1">
      <c r="A6" s="1518" t="s">
        <v>1353</v>
      </c>
      <c r="B6" s="3773" t="s">
        <v>1802</v>
      </c>
      <c r="C6" s="718">
        <f ca="1">ROUND(F6*F8*F7*(1-F9)/10000,0)</f>
        <v>69</v>
      </c>
      <c r="D6" s="1999" t="s">
        <v>1801</v>
      </c>
      <c r="E6" s="719" t="s">
        <v>1267</v>
      </c>
      <c r="F6" s="720">
        <f ca="1">INDIRECT("'数据-取费表'!u"&amp;$G$1)</f>
        <v>1.5</v>
      </c>
      <c r="G6" s="1665"/>
      <c r="H6" s="2006" t="s">
        <v>1807</v>
      </c>
      <c r="I6" s="3773" t="s">
        <v>1802</v>
      </c>
      <c r="J6" s="718">
        <f ca="1">ROUND(M6*M8*M7*(1-M9)/10000,0)</f>
        <v>0</v>
      </c>
      <c r="K6" s="315" t="s">
        <v>1266</v>
      </c>
      <c r="L6" s="719" t="s">
        <v>1267</v>
      </c>
      <c r="M6" s="720">
        <f ca="1">INDIRECT("'数据-取费表'!z"&amp;$G$1)</f>
        <v>0</v>
      </c>
    </row>
    <row r="7" spans="1:33" ht="18" customHeight="1">
      <c r="A7" s="2002"/>
      <c r="B7" s="3774"/>
      <c r="C7" s="723"/>
      <c r="D7" s="724"/>
      <c r="E7" s="719" t="s">
        <v>1268</v>
      </c>
      <c r="F7" s="720">
        <f ca="1">IF(INDIRECT("'数据-取费表'!ah"&amp;$G$1)="",INDIRECT("'数据-取费表'!k"&amp;$G$1),INDIRECT("'数据-取费表'!ah"&amp;$G$1))</f>
        <v>1406.86</v>
      </c>
      <c r="G7" s="1665"/>
      <c r="H7" s="1991"/>
      <c r="I7" s="3774"/>
      <c r="J7" s="723"/>
      <c r="K7" s="724"/>
      <c r="L7" s="719" t="s">
        <v>1268</v>
      </c>
      <c r="M7" s="720">
        <f ca="1">F7</f>
        <v>1406.86</v>
      </c>
    </row>
    <row r="8" spans="1:33" ht="18" customHeight="1">
      <c r="A8" s="1995"/>
      <c r="B8" s="3775"/>
      <c r="C8" s="723"/>
      <c r="D8" s="724"/>
      <c r="E8" s="719" t="s">
        <v>1269</v>
      </c>
      <c r="F8" s="720">
        <f ca="1">INDIRECT("'数据-取费表'!ai"&amp;$G$1)</f>
        <v>365</v>
      </c>
      <c r="G8" s="1665"/>
      <c r="H8" s="1991"/>
      <c r="I8" s="3775"/>
      <c r="J8" s="723"/>
      <c r="K8" s="724"/>
      <c r="L8" s="719" t="s">
        <v>1269</v>
      </c>
      <c r="M8" s="720">
        <f ca="1">INDIRECT("'数据-取费表'!ai"&amp;$G$1)</f>
        <v>365</v>
      </c>
    </row>
    <row r="9" spans="1:33" ht="18" customHeight="1">
      <c r="A9" s="721"/>
      <c r="B9" s="3776"/>
      <c r="C9" s="723"/>
      <c r="D9" s="724"/>
      <c r="E9" s="719" t="s">
        <v>1270</v>
      </c>
      <c r="F9" s="729">
        <f ca="1">INDIRECT("'数据-取费表'!w"&amp;$G$1)</f>
        <v>0.1</v>
      </c>
      <c r="G9" s="1665"/>
      <c r="H9" s="2007"/>
      <c r="I9" s="3775"/>
      <c r="J9" s="723"/>
      <c r="K9" s="724"/>
      <c r="L9" s="730" t="s">
        <v>1270</v>
      </c>
      <c r="M9" s="731">
        <f ca="1">INDIRECT("'数据-取费表'!ab"&amp;$G$1)</f>
        <v>0</v>
      </c>
    </row>
    <row r="10" spans="1:33" ht="18" customHeight="1">
      <c r="A10" s="1518" t="s">
        <v>1805</v>
      </c>
      <c r="B10" s="1996" t="s">
        <v>1798</v>
      </c>
      <c r="C10" s="734">
        <f ca="1">ROUND(IF(F10="押一",C6/12*F11,IF(F10="押二",C6/12*2*F11,IF(F10="押三",C6/12*3*F11,C11*F11))),0)</f>
        <v>0</v>
      </c>
      <c r="D10" s="2003" t="s">
        <v>2214</v>
      </c>
      <c r="E10" s="2000" t="s">
        <v>1803</v>
      </c>
      <c r="F10" s="2073" t="s">
        <v>3708</v>
      </c>
      <c r="G10" s="1665"/>
      <c r="H10" s="2034" t="s">
        <v>1808</v>
      </c>
      <c r="I10" s="2038" t="s">
        <v>1798</v>
      </c>
      <c r="J10" s="718">
        <f ca="1">ROUND(IF(M10="押一",J6/12*M11,IF(M10="押二",J6/12*2*M11,IF(M10="押三",J6/12*3*M11,J11*M11))),0)</f>
        <v>0</v>
      </c>
      <c r="K10" s="2003" t="s">
        <v>2214</v>
      </c>
      <c r="L10" s="2000" t="s">
        <v>1803</v>
      </c>
      <c r="M10" s="2073"/>
    </row>
    <row r="11" spans="1:33" ht="18" customHeight="1">
      <c r="A11" s="725"/>
      <c r="B11" s="1997" t="s">
        <v>1851</v>
      </c>
      <c r="C11" s="2001"/>
      <c r="D11" s="724"/>
      <c r="E11" s="2000" t="s">
        <v>1804</v>
      </c>
      <c r="F11" s="731">
        <f ca="1">'数据-取费表'!B39</f>
        <v>1.4999999999999999E-2</v>
      </c>
      <c r="G11" s="1665"/>
      <c r="H11" s="2035"/>
      <c r="I11" s="1997" t="s">
        <v>1851</v>
      </c>
      <c r="J11" s="2001"/>
      <c r="K11" s="287"/>
      <c r="L11" s="2000" t="s">
        <v>1804</v>
      </c>
      <c r="M11" s="1994">
        <f ca="1">'数据-取费表'!B39</f>
        <v>1.4999999999999999E-2</v>
      </c>
    </row>
    <row r="12" spans="1:33" ht="18" customHeight="1" thickBot="1">
      <c r="A12" s="2010" t="s">
        <v>1806</v>
      </c>
      <c r="B12" s="2011" t="s">
        <v>1799</v>
      </c>
      <c r="C12" s="2012"/>
      <c r="D12" s="2013"/>
      <c r="E12" s="2014"/>
      <c r="F12" s="2015"/>
      <c r="G12" s="1665"/>
      <c r="H12" s="2024" t="s">
        <v>1809</v>
      </c>
      <c r="I12" s="2036" t="s">
        <v>1799</v>
      </c>
      <c r="J12" s="2037"/>
      <c r="K12" s="2013"/>
      <c r="L12" s="2014"/>
      <c r="M12" s="2027"/>
    </row>
    <row r="13" spans="1:33" ht="18" customHeight="1" thickTop="1">
      <c r="A13" s="1517">
        <v>2</v>
      </c>
      <c r="B13" s="1515" t="s">
        <v>1271</v>
      </c>
      <c r="C13" s="727">
        <f ca="1">ROUND(C29*F13,0)</f>
        <v>1046</v>
      </c>
      <c r="D13" s="1522" t="s">
        <v>1651</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9" t="s">
        <v>593</v>
      </c>
      <c r="C14" s="739">
        <f ca="1">INDIRECT("'数据-取费表'!m"&amp;$G$1)+INDIRECT("'数据-取费表'!t"&amp;$G$1)</f>
        <v>756</v>
      </c>
      <c r="D14" s="904" t="s">
        <v>1274</v>
      </c>
      <c r="E14" s="903"/>
      <c r="F14" s="740"/>
      <c r="G14" s="1665"/>
      <c r="H14" s="1367" t="s">
        <v>1359</v>
      </c>
      <c r="I14" s="1822" t="s">
        <v>2098</v>
      </c>
      <c r="J14" s="49">
        <f ca="1">C29</f>
        <v>1046</v>
      </c>
      <c r="K14" s="22"/>
      <c r="L14" s="736"/>
      <c r="M14" s="737"/>
    </row>
    <row r="15" spans="1:33" s="1673" customFormat="1" ht="18" customHeight="1" thickBot="1">
      <c r="A15" s="1366" t="s">
        <v>1410</v>
      </c>
      <c r="B15" s="719" t="s">
        <v>595</v>
      </c>
      <c r="C15" s="49">
        <f ca="1">ROUND(C14*F15,0)</f>
        <v>53</v>
      </c>
      <c r="D15" s="741" t="s">
        <v>1275</v>
      </c>
      <c r="E15" s="741" t="s">
        <v>1276</v>
      </c>
      <c r="F15" s="742">
        <f>'数据-取费表'!B33</f>
        <v>7.0000000000000007E-2</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5"/>
      <c r="H16" s="1517" t="s">
        <v>1277</v>
      </c>
      <c r="I16" s="1515" t="s">
        <v>1278</v>
      </c>
      <c r="J16" s="727">
        <f ca="1">ROUND(J17+J22+J23+J24,0)</f>
        <v>2</v>
      </c>
      <c r="K16" s="1511" t="s">
        <v>1279</v>
      </c>
      <c r="L16" s="907"/>
      <c r="M16" s="1993"/>
    </row>
    <row r="17" spans="1:33" s="1673" customFormat="1" ht="18" customHeight="1">
      <c r="A17" s="1366" t="s">
        <v>1412</v>
      </c>
      <c r="B17" s="719" t="s">
        <v>601</v>
      </c>
      <c r="C17" s="49">
        <f ca="1">ROUND(F17*(F43+INDIRECT("'数据-取费表'!S"&amp;$G$1))/10000,0)</f>
        <v>30</v>
      </c>
      <c r="D17" s="719" t="s">
        <v>1280</v>
      </c>
      <c r="E17" s="719" t="s">
        <v>1281</v>
      </c>
      <c r="F17" s="52">
        <f>'数据-取费表'!B35</f>
        <v>200</v>
      </c>
      <c r="G17" s="2757"/>
      <c r="H17" s="1367" t="s">
        <v>1359</v>
      </c>
      <c r="I17" s="719" t="s">
        <v>604</v>
      </c>
      <c r="J17" s="2552">
        <f ca="1">ROUND(IF(AND(项目基本情况!B11="自然人",项目基本情况!B10="北京市"),J6*M17/(1+'数据-取费表'!C42),J18+J19+J20),2)</f>
        <v>0.14000000000000001</v>
      </c>
      <c r="K17" s="904" t="s">
        <v>1282</v>
      </c>
      <c r="L17" s="905" t="s">
        <v>1283</v>
      </c>
      <c r="M17" s="2551"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9" t="s">
        <v>607</v>
      </c>
      <c r="C18" s="49">
        <f ca="1">ROUND(C14*F18,0)</f>
        <v>15</v>
      </c>
      <c r="D18" s="719" t="s">
        <v>1275</v>
      </c>
      <c r="E18" s="719" t="s">
        <v>1276</v>
      </c>
      <c r="F18" s="744">
        <f>'数据-取费表'!B36</f>
        <v>0.02</v>
      </c>
      <c r="G18" s="2757"/>
      <c r="H18" s="1366" t="s">
        <v>1409</v>
      </c>
      <c r="I18" s="719" t="s">
        <v>1284</v>
      </c>
      <c r="J18" s="49">
        <f ca="1">ROUND(J6*M18/(1+'数据-取费表'!C42),2)</f>
        <v>0</v>
      </c>
      <c r="K18" s="905" t="s">
        <v>1285</v>
      </c>
      <c r="L18" s="719" t="s">
        <v>1276</v>
      </c>
      <c r="M18" s="744">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9" t="s">
        <v>610</v>
      </c>
      <c r="C19" s="49">
        <f ca="1">SUM(C14:C18)</f>
        <v>854</v>
      </c>
      <c r="D19" s="241" t="s">
        <v>1286</v>
      </c>
      <c r="E19" s="913"/>
      <c r="F19" s="52"/>
      <c r="G19" s="1665"/>
      <c r="H19" s="1366" t="s">
        <v>1410</v>
      </c>
      <c r="I19" s="719" t="s">
        <v>1287</v>
      </c>
      <c r="J19" s="49">
        <f ca="1">IF(K19="按租金收入计税",ROUND(J6*M19/(1+'数据-取费表'!C42),1),ROUND(C29*F33*0.7,2))</f>
        <v>0</v>
      </c>
      <c r="K19" s="745" t="s">
        <v>3225</v>
      </c>
      <c r="L19" s="719" t="s">
        <v>1276</v>
      </c>
      <c r="M19" s="744">
        <f>IF(K19="按租金收入计税",'数据-取费表'!B51,'数据-取费表'!B50)</f>
        <v>0.12</v>
      </c>
    </row>
    <row r="20" spans="1:33" s="1673" customFormat="1" ht="18" customHeight="1">
      <c r="A20" s="1367" t="s">
        <v>1414</v>
      </c>
      <c r="B20" s="719" t="s">
        <v>613</v>
      </c>
      <c r="C20" s="49">
        <f ca="1">ROUND(C19*F20,0)</f>
        <v>17</v>
      </c>
      <c r="D20" s="746" t="s">
        <v>1288</v>
      </c>
      <c r="E20" s="719" t="s">
        <v>1276</v>
      </c>
      <c r="F20" s="744">
        <f>'数据-取费表'!B37</f>
        <v>0.02</v>
      </c>
      <c r="G20" s="2757"/>
      <c r="H20" s="1369" t="s">
        <v>1405</v>
      </c>
      <c r="I20" s="315" t="s">
        <v>1289</v>
      </c>
      <c r="J20" s="50">
        <f ca="1">ROUND(M20*M21/10000,2)</f>
        <v>0.14000000000000001</v>
      </c>
      <c r="K20" s="748" t="s">
        <v>1290</v>
      </c>
      <c r="L20" s="719" t="s">
        <v>1291</v>
      </c>
      <c r="M20" s="587">
        <f>'数据-取费表'!B52</f>
        <v>3</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9" t="s">
        <v>1292</v>
      </c>
      <c r="C21" s="49" t="s">
        <v>1293</v>
      </c>
      <c r="D21" s="746" t="s">
        <v>1652</v>
      </c>
      <c r="E21" s="719" t="s">
        <v>1294</v>
      </c>
      <c r="F21" s="744">
        <f>'数据-取费表'!B38</f>
        <v>0.03</v>
      </c>
      <c r="G21" s="2757"/>
      <c r="H21" s="2008"/>
      <c r="I21" s="728"/>
      <c r="J21" s="65"/>
      <c r="K21" s="750"/>
      <c r="L21" s="719" t="s">
        <v>1295</v>
      </c>
      <c r="M21" s="720">
        <f ca="1">INDIRECT("'数据-取费表'!r"&amp;$G$1)</f>
        <v>455.73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9" t="s">
        <v>1296</v>
      </c>
      <c r="C22" s="49"/>
      <c r="D22" s="2042" t="str">
        <f>IF(F23&lt;=1,"单利计息。","复利计息。")&amp;"建造成本、管理费用、销售费用产生的利息。"</f>
        <v>复利计息。建造成本、管理费用、销售费用产生的利息。</v>
      </c>
      <c r="E22" s="913"/>
      <c r="F22" s="52"/>
      <c r="G22" s="1665"/>
      <c r="H22" s="1367" t="s">
        <v>1414</v>
      </c>
      <c r="I22" s="719" t="s">
        <v>1297</v>
      </c>
      <c r="J22" s="49">
        <f ca="1">ROUND(J14*M22,2)</f>
        <v>2.09</v>
      </c>
      <c r="K22" s="905" t="s">
        <v>1298</v>
      </c>
      <c r="L22" s="719" t="s">
        <v>1276</v>
      </c>
      <c r="M22" s="751">
        <f ca="1">INDIRECT("'数据-取费表'!Ak"&amp;$G$1)</f>
        <v>2E-3</v>
      </c>
    </row>
    <row r="23" spans="1:33" s="1673" customFormat="1" ht="18" customHeight="1">
      <c r="A23" s="1366" t="s">
        <v>1360</v>
      </c>
      <c r="B23" s="719" t="s">
        <v>1813</v>
      </c>
      <c r="C23" s="49">
        <f ca="1">ROUND(IF('数据-取费表'!B22&lt;=1,(C19+C20)*F24*F23/2,(C19+C20)*(POWER((1+F24),F23/2)-1)),0)</f>
        <v>41</v>
      </c>
      <c r="D23" s="2041" t="str">
        <f>IF(F23&lt;=1,"(建造成本+管理费用)×利率×(建设周期÷2)","(建造成本+管理费用)×((1+利率)^(建设周期÷2)-1)")</f>
        <v>(建造成本+管理费用)×((1+利率)^(建设周期÷2)-1)</v>
      </c>
      <c r="E23" s="719" t="s">
        <v>1299</v>
      </c>
      <c r="F23" s="587">
        <f>'数据-取费表'!B20</f>
        <v>3</v>
      </c>
      <c r="G23" s="2757"/>
      <c r="H23" s="1367" t="s">
        <v>1415</v>
      </c>
      <c r="I23" s="719" t="s">
        <v>626</v>
      </c>
      <c r="J23" s="49">
        <f ca="1">ROUND(J13*M23,2)</f>
        <v>0</v>
      </c>
      <c r="K23" s="905" t="s">
        <v>1300</v>
      </c>
      <c r="L23" s="719" t="s">
        <v>1276</v>
      </c>
      <c r="M23" s="752">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9" t="s">
        <v>1301</v>
      </c>
      <c r="C24" s="49">
        <f ca="1">ROUND(IF('数据-取费表'!B22&lt;=1,F21*F24*F23/2,F21*(POWER((1+F24),F23/2)-1)),4)</f>
        <v>1.4E-3</v>
      </c>
      <c r="D24" s="2041" t="str">
        <f>IF(F23&lt;=1,"销售费用×利率×(建设周期÷2)","销售费用×((1+利率)^(建设周期÷2)-1)")</f>
        <v>销售费用×((1+利率)^(建设周期÷2)-1)</v>
      </c>
      <c r="E24" s="719" t="s">
        <v>1302</v>
      </c>
      <c r="F24" s="753">
        <f ca="1">'数据-取费表'!B40</f>
        <v>3.1E-2</v>
      </c>
      <c r="G24" s="2757"/>
      <c r="H24" s="2024" t="s">
        <v>1416</v>
      </c>
      <c r="I24" s="2019" t="s">
        <v>613</v>
      </c>
      <c r="J24" s="2017">
        <f ca="1">ROUND(J5*M24,2)</f>
        <v>0</v>
      </c>
      <c r="K24" s="2018" t="s">
        <v>1303</v>
      </c>
      <c r="L24" s="2019" t="s">
        <v>1276</v>
      </c>
      <c r="M24" s="2015">
        <f ca="1">INDIRECT("'数据-取费表'!Am"&amp;$G$1)</f>
        <v>5.0000000000000001E-3</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9" t="s">
        <v>631</v>
      </c>
      <c r="C25" s="49"/>
      <c r="D25" s="241" t="s">
        <v>1304</v>
      </c>
      <c r="E25" s="913"/>
      <c r="F25" s="52"/>
      <c r="G25" s="1665"/>
      <c r="H25" s="1517" t="s">
        <v>1305</v>
      </c>
      <c r="I25" s="2294" t="s">
        <v>2094</v>
      </c>
      <c r="J25" s="727">
        <f ca="1">J5-J16</f>
        <v>-2</v>
      </c>
      <c r="K25" s="2021" t="s">
        <v>1306</v>
      </c>
      <c r="L25" s="2022"/>
      <c r="M25" s="2023"/>
    </row>
    <row r="26" spans="1:33" ht="18" customHeight="1">
      <c r="A26" s="1366" t="s">
        <v>1360</v>
      </c>
      <c r="B26" s="719" t="s">
        <v>1780</v>
      </c>
      <c r="C26" s="49">
        <f ca="1">ROUND((C19+C20)*F26,0)</f>
        <v>44</v>
      </c>
      <c r="D26" s="746" t="s">
        <v>1307</v>
      </c>
      <c r="E26" s="730" t="s">
        <v>1308</v>
      </c>
      <c r="F26" s="729">
        <f ca="1">INDIRECT("'数据-取费表'!q"&amp;$G$1)</f>
        <v>0.05</v>
      </c>
      <c r="G26" s="1665"/>
      <c r="H26" s="2004" t="s">
        <v>1309</v>
      </c>
      <c r="I26" s="1823" t="s">
        <v>2099</v>
      </c>
      <c r="J26" s="718">
        <f ca="1">IF(J5&lt;&gt;0,ROUND(J25*(1-((1+M28)/(1+M26))^M27)/(M26-M28),0),0)</f>
        <v>0</v>
      </c>
      <c r="K26" s="748" t="s">
        <v>1310</v>
      </c>
      <c r="L26" s="719" t="s">
        <v>1768</v>
      </c>
      <c r="M26" s="729">
        <f ca="1">INDIRECT("'数据-取费表'!I"&amp;$G$1)</f>
        <v>0.05</v>
      </c>
    </row>
    <row r="27" spans="1:33" ht="18" customHeight="1">
      <c r="A27" s="1366" t="s">
        <v>1361</v>
      </c>
      <c r="B27" s="719" t="s">
        <v>633</v>
      </c>
      <c r="C27" s="49">
        <f ca="1">ROUND(F21*F26,4)</f>
        <v>1.5E-3</v>
      </c>
      <c r="D27" s="746" t="s">
        <v>1311</v>
      </c>
      <c r="E27" s="741"/>
      <c r="F27" s="742"/>
      <c r="G27" s="1665"/>
      <c r="H27" s="2005"/>
      <c r="I27" s="722"/>
      <c r="J27" s="723"/>
      <c r="K27" s="755" t="s">
        <v>1312</v>
      </c>
      <c r="L27" s="719" t="s">
        <v>1313</v>
      </c>
      <c r="M27" s="756">
        <f ca="1">INDIRECT("'数据-取费表'!ag"&amp;$G$1)</f>
        <v>0</v>
      </c>
    </row>
    <row r="28" spans="1:33" s="1673" customFormat="1" ht="18" customHeight="1">
      <c r="A28" s="1368" t="s">
        <v>1370</v>
      </c>
      <c r="B28" s="719" t="s">
        <v>634</v>
      </c>
      <c r="C28" s="49">
        <f>ROUND(F28/(1+'数据-取费表'!C42),4)</f>
        <v>5.33E-2</v>
      </c>
      <c r="D28" s="746" t="s">
        <v>1653</v>
      </c>
      <c r="E28" s="719" t="s">
        <v>1314</v>
      </c>
      <c r="F28" s="744">
        <f>'数据-取费表'!B41</f>
        <v>5.6000000000000001E-2</v>
      </c>
      <c r="G28" s="2757"/>
      <c r="H28" s="1517"/>
      <c r="I28" s="726"/>
      <c r="J28" s="727"/>
      <c r="K28" s="750"/>
      <c r="L28" s="719" t="s">
        <v>1315</v>
      </c>
      <c r="M28" s="729">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1654</v>
      </c>
      <c r="C29" s="2017">
        <f ca="1">ROUND((C19+C20+C23+C26)/(1-F21-C24-C27-C28),0)</f>
        <v>1046</v>
      </c>
      <c r="D29" s="2018"/>
      <c r="E29" s="2019"/>
      <c r="F29" s="2020"/>
      <c r="G29" s="2757"/>
      <c r="H29" s="757" t="s">
        <v>1316</v>
      </c>
      <c r="I29" s="758" t="s">
        <v>1317</v>
      </c>
      <c r="J29" s="759">
        <f ca="1">ROUND(J26/(1+F40)^F41,0)</f>
        <v>0</v>
      </c>
      <c r="K29" s="760" t="s">
        <v>1318</v>
      </c>
      <c r="L29" s="761"/>
      <c r="M29" s="762">
        <f ca="1">INDIRECT("'数据-取费表'!k"&amp;$G$1)</f>
        <v>1406.86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7">
        <f ca="1">ROUND(C31+C36+C37+C38,0)</f>
        <v>15</v>
      </c>
      <c r="D30" s="1511" t="s">
        <v>1320</v>
      </c>
      <c r="E30" s="907"/>
      <c r="F30" s="1993"/>
      <c r="G30" s="1665"/>
      <c r="H30" s="1674"/>
      <c r="I30" s="1675"/>
      <c r="J30" s="1676"/>
      <c r="K30" s="1633"/>
      <c r="L30" s="1677"/>
      <c r="M30" s="1678"/>
    </row>
    <row r="31" spans="1:33" ht="18" customHeight="1">
      <c r="A31" s="1367" t="s">
        <v>1359</v>
      </c>
      <c r="B31" s="719" t="s">
        <v>604</v>
      </c>
      <c r="C31" s="2552">
        <f ca="1">ROUND(IF(AND(项目基本情况!B11="自然人",项目基本情况!B10="北京市"),C6*F31/(1+'数据-取费表'!C42),C32+C33+C34),2)</f>
        <v>11.71</v>
      </c>
      <c r="D31" s="904" t="s">
        <v>1321</v>
      </c>
      <c r="E31" s="905" t="s">
        <v>1322</v>
      </c>
      <c r="F31" s="2551" t="str">
        <f>IF(项目基本情况!B11="企业","——",IF(M47="住宅",IF(F6*F7*F8/12/(1+'数据-取费表'!F30)&gt;100000,4%,2.5%),IF(F6*F7*F8/12/(1+'数据-取费表'!F30)&gt;100000,12%,7%)))</f>
        <v>——</v>
      </c>
      <c r="G31" s="1665"/>
      <c r="H31" s="2754" t="s">
        <v>2262</v>
      </c>
      <c r="I31" s="1675"/>
      <c r="J31" s="1676"/>
      <c r="K31" s="1633"/>
      <c r="L31" s="1677"/>
      <c r="M31" s="1678"/>
    </row>
    <row r="32" spans="1:33" ht="18" customHeight="1">
      <c r="A32" s="1366" t="s">
        <v>1360</v>
      </c>
      <c r="B32" s="719" t="s">
        <v>1323</v>
      </c>
      <c r="C32" s="49">
        <f ca="1">ROUND(C6*F32/(1+'数据-取费表'!C42),2)</f>
        <v>3.68</v>
      </c>
      <c r="D32" s="905" t="s">
        <v>1324</v>
      </c>
      <c r="E32" s="719" t="s">
        <v>1325</v>
      </c>
      <c r="F32" s="744">
        <f>'数据-取费表'!B41</f>
        <v>5.6000000000000001E-2</v>
      </c>
      <c r="G32" s="1665"/>
      <c r="H32" s="1679"/>
      <c r="I32" s="1680"/>
      <c r="J32" s="1681"/>
      <c r="K32" s="1682"/>
      <c r="L32" s="1683"/>
      <c r="M32" s="1684"/>
    </row>
    <row r="33" spans="1:18" ht="18" customHeight="1">
      <c r="A33" s="1366" t="s">
        <v>1361</v>
      </c>
      <c r="B33" s="719" t="s">
        <v>1326</v>
      </c>
      <c r="C33" s="49">
        <f ca="1">IF(D33="按租金收入计税",ROUND(C6*F33/(1+'数据-取费表'!C42),2),IF(D33="按房产原值计税",ROUND(C29*F33*0.7,2),INDIRECT("'数据-取费表'!Aj"&amp;$G$1)))</f>
        <v>7.89</v>
      </c>
      <c r="D33" s="745" t="s">
        <v>3225</v>
      </c>
      <c r="E33" s="719" t="s">
        <v>1325</v>
      </c>
      <c r="F33" s="744">
        <f>IF(D33="按租金收入计税",'数据-取费表'!B51,'数据-取费表'!B50)</f>
        <v>0.12</v>
      </c>
      <c r="G33" s="1665"/>
      <c r="H33" s="1685"/>
      <c r="I33" s="1685"/>
      <c r="J33" s="1685"/>
      <c r="K33" s="1686"/>
      <c r="L33" s="1685"/>
      <c r="M33" s="1685"/>
    </row>
    <row r="34" spans="1:18" ht="18" customHeight="1">
      <c r="A34" s="1369" t="s">
        <v>1362</v>
      </c>
      <c r="B34" s="315" t="s">
        <v>1327</v>
      </c>
      <c r="C34" s="50">
        <f ca="1">ROUND(F34*F35/10000,2)</f>
        <v>0.14000000000000001</v>
      </c>
      <c r="D34" s="748" t="s">
        <v>1328</v>
      </c>
      <c r="E34" s="719" t="s">
        <v>1329</v>
      </c>
      <c r="F34" s="587">
        <f>'数据-取费表'!B52</f>
        <v>3</v>
      </c>
      <c r="G34" s="1665"/>
      <c r="H34" s="1674"/>
      <c r="I34" s="769" t="s">
        <v>1342</v>
      </c>
      <c r="J34" s="770"/>
      <c r="K34" s="1688"/>
      <c r="L34" s="1687"/>
      <c r="M34" s="1687"/>
    </row>
    <row r="35" spans="1:18" ht="18" customHeight="1">
      <c r="A35" s="749"/>
      <c r="B35" s="728"/>
      <c r="C35" s="65"/>
      <c r="D35" s="750"/>
      <c r="E35" s="719" t="s">
        <v>1330</v>
      </c>
      <c r="F35" s="720">
        <f ca="1">INDIRECT("'数据-取费表'!r"&amp;$G$1)</f>
        <v>455.73</v>
      </c>
      <c r="G35" s="1665"/>
      <c r="H35" s="1674"/>
      <c r="I35" s="771" t="s">
        <v>1343</v>
      </c>
      <c r="J35" s="772">
        <f ca="1">ROUND(C13*J36,0)</f>
        <v>73</v>
      </c>
      <c r="K35" s="1686"/>
      <c r="L35" s="1685"/>
      <c r="M35" s="1685"/>
    </row>
    <row r="36" spans="1:18" ht="18" customHeight="1">
      <c r="A36" s="1367" t="s">
        <v>1414</v>
      </c>
      <c r="B36" s="719" t="s">
        <v>1331</v>
      </c>
      <c r="C36" s="49">
        <f ca="1">ROUND(C29*F36,2)</f>
        <v>2.09</v>
      </c>
      <c r="D36" s="905" t="s">
        <v>1332</v>
      </c>
      <c r="E36" s="719" t="s">
        <v>1325</v>
      </c>
      <c r="F36" s="751">
        <f ca="1">INDIRECT("'数据-取费表'!Ak"&amp;$G$1)</f>
        <v>2E-3</v>
      </c>
      <c r="G36" s="1665"/>
      <c r="H36" s="1685"/>
      <c r="I36" s="773" t="s">
        <v>1344</v>
      </c>
      <c r="J36" s="774">
        <f ca="1">INDIRECT("'数据-取费表'!j"&amp;$G$1)</f>
        <v>7.0000000000000007E-2</v>
      </c>
      <c r="K36" s="1689"/>
      <c r="L36" s="1685"/>
      <c r="M36" s="1685"/>
    </row>
    <row r="37" spans="1:18" ht="18" customHeight="1">
      <c r="A37" s="1367" t="s">
        <v>1415</v>
      </c>
      <c r="B37" s="719" t="s">
        <v>626</v>
      </c>
      <c r="C37" s="49">
        <f ca="1">ROUND(C13*F37,2)</f>
        <v>1.05</v>
      </c>
      <c r="D37" s="905" t="s">
        <v>1333</v>
      </c>
      <c r="E37" s="719" t="s">
        <v>1325</v>
      </c>
      <c r="F37" s="752">
        <f ca="1">INDIRECT("'数据-取费表'!Al"&amp;$G$1)</f>
        <v>1E-3</v>
      </c>
      <c r="G37" s="1665"/>
      <c r="H37" s="1685"/>
      <c r="I37" s="775" t="s">
        <v>1345</v>
      </c>
      <c r="J37" s="776"/>
      <c r="K37" s="1689"/>
      <c r="L37" s="1685"/>
      <c r="M37" s="1685"/>
    </row>
    <row r="38" spans="1:18" ht="18" customHeight="1" thickBot="1">
      <c r="A38" s="2024" t="s">
        <v>1416</v>
      </c>
      <c r="B38" s="2019" t="s">
        <v>613</v>
      </c>
      <c r="C38" s="2017">
        <f ca="1">ROUND(C5*F38,2)</f>
        <v>0.35</v>
      </c>
      <c r="D38" s="2018" t="s">
        <v>1334</v>
      </c>
      <c r="E38" s="2019" t="s">
        <v>1325</v>
      </c>
      <c r="F38" s="2015">
        <f ca="1">INDIRECT("'数据-取费表'!Am"&amp;$G$1)</f>
        <v>5.0000000000000001E-3</v>
      </c>
      <c r="G38" s="1665"/>
      <c r="H38" s="1685"/>
      <c r="I38" s="777" t="s">
        <v>1346</v>
      </c>
      <c r="J38" s="778"/>
      <c r="K38" s="1690"/>
      <c r="L38" s="1685"/>
      <c r="M38" s="1685"/>
    </row>
    <row r="39" spans="1:18" ht="24.6" customHeight="1" thickTop="1">
      <c r="A39" s="1517" t="s">
        <v>1419</v>
      </c>
      <c r="B39" s="2294" t="s">
        <v>2094</v>
      </c>
      <c r="C39" s="727">
        <f ca="1">C5-C30</f>
        <v>54</v>
      </c>
      <c r="D39" s="2021" t="s">
        <v>1335</v>
      </c>
      <c r="E39" s="2022"/>
      <c r="F39" s="2023"/>
      <c r="G39" s="1665"/>
      <c r="H39" s="1685"/>
      <c r="I39" s="771" t="s">
        <v>1347</v>
      </c>
      <c r="J39" s="779">
        <f ca="1">ROUND(J35/C39,3)</f>
        <v>1.3520000000000001</v>
      </c>
      <c r="K39" s="1690"/>
      <c r="L39" s="1685"/>
      <c r="M39" s="1685"/>
    </row>
    <row r="40" spans="1:18" ht="18" customHeight="1">
      <c r="A40" s="716" t="s">
        <v>1420</v>
      </c>
      <c r="B40" s="1823" t="s">
        <v>1655</v>
      </c>
      <c r="C40" s="718">
        <f ca="1">ROUND(C39*(1-((1+F42)/(1+F40))^F41)/(F40-F42),0)</f>
        <v>1336</v>
      </c>
      <c r="D40" s="748" t="s">
        <v>1336</v>
      </c>
      <c r="E40" s="719" t="s">
        <v>1768</v>
      </c>
      <c r="F40" s="729">
        <f ca="1">INDIRECT("'数据-取费表'!I"&amp;$G$1)</f>
        <v>0.05</v>
      </c>
      <c r="G40" s="1665"/>
      <c r="H40" s="1665"/>
      <c r="I40" s="771" t="s">
        <v>1348</v>
      </c>
      <c r="J40" s="779">
        <f ca="1">1-J39</f>
        <v>-0.35200000000000009</v>
      </c>
      <c r="K40" s="1690"/>
      <c r="L40" s="1665"/>
      <c r="M40" s="1665"/>
    </row>
    <row r="41" spans="1:18" ht="18" customHeight="1">
      <c r="A41" s="721"/>
      <c r="B41" s="722"/>
      <c r="C41" s="723"/>
      <c r="D41" s="755" t="s">
        <v>1337</v>
      </c>
      <c r="E41" s="719" t="s">
        <v>2206</v>
      </c>
      <c r="F41" s="756">
        <f ca="1">IF(INDIRECT("'数据-取费表'!af"&amp;$G$1)=0,INDIRECT("'数据-取费表'!ae"&amp;$G$1),INDIRECT("'数据-取费表'!af"&amp;$G$1))</f>
        <v>46.8</v>
      </c>
      <c r="G41" s="1665"/>
      <c r="H41" s="1633"/>
      <c r="I41" s="777" t="s">
        <v>1349</v>
      </c>
      <c r="J41" s="780"/>
      <c r="K41" s="1689"/>
      <c r="L41" s="1633"/>
      <c r="M41" s="1633"/>
    </row>
    <row r="42" spans="1:18" ht="18" customHeight="1">
      <c r="A42" s="725"/>
      <c r="B42" s="726"/>
      <c r="C42" s="727"/>
      <c r="D42" s="750"/>
      <c r="E42" s="719" t="s">
        <v>1338</v>
      </c>
      <c r="F42" s="729">
        <f ca="1">INDIRECT("'数据-取费表'!v"&amp;$G$1)</f>
        <v>0.02</v>
      </c>
      <c r="G42" s="1665"/>
      <c r="H42" s="1633"/>
      <c r="I42" s="781" t="s">
        <v>1350</v>
      </c>
      <c r="J42" s="779">
        <f ca="1">ROUND(C13/C40,3)</f>
        <v>0.78300000000000003</v>
      </c>
      <c r="K42" s="1689"/>
      <c r="L42" s="1633"/>
      <c r="M42" s="1633"/>
    </row>
    <row r="43" spans="1:18" ht="18" customHeight="1" thickBot="1">
      <c r="A43" s="757" t="s">
        <v>1316</v>
      </c>
      <c r="B43" s="758" t="s">
        <v>1339</v>
      </c>
      <c r="C43" s="759">
        <f ca="1">ROUND(C40*10000/F43,0)</f>
        <v>9496</v>
      </c>
      <c r="D43" s="760" t="s">
        <v>1340</v>
      </c>
      <c r="E43" s="761" t="s">
        <v>1341</v>
      </c>
      <c r="F43" s="762">
        <f ca="1">INDIRECT("'数据-取费表'!k"&amp;$G$1)</f>
        <v>1406.86</v>
      </c>
      <c r="G43" s="1665"/>
      <c r="H43" s="1633"/>
      <c r="I43" s="781" t="s">
        <v>1351</v>
      </c>
      <c r="J43" s="782">
        <f ca="1">1-J42</f>
        <v>0.21699999999999997</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1649</v>
      </c>
      <c r="B46" s="1692"/>
      <c r="C46" s="1145">
        <f ca="1">C67-C40</f>
        <v>-1390</v>
      </c>
      <c r="D46" s="2758"/>
      <c r="E46" s="2758"/>
      <c r="F46" s="2758"/>
      <c r="I46" s="1936" t="s">
        <v>1692</v>
      </c>
      <c r="J46" s="1937"/>
      <c r="K46" s="1938"/>
      <c r="L46" s="2372">
        <f>IF(OR(M47="住宅",D1="土地（套用方法）"),0,IF(L48&gt;J51,L60,J60))</f>
        <v>0</v>
      </c>
      <c r="M46" s="2759"/>
      <c r="O46" s="1950" t="s">
        <v>1759</v>
      </c>
      <c r="P46" s="1143"/>
      <c r="Q46" s="1328"/>
      <c r="R46" s="1143"/>
    </row>
    <row r="47" spans="1:18" s="1669" customFormat="1" ht="18" customHeight="1" thickBot="1">
      <c r="A47" s="3377">
        <v>1</v>
      </c>
      <c r="B47" s="3378" t="s">
        <v>583</v>
      </c>
      <c r="C47" s="3379">
        <f ca="1">C48+C52+C54</f>
        <v>0</v>
      </c>
      <c r="D47" s="3380"/>
      <c r="E47" s="3380"/>
      <c r="F47" s="3381"/>
      <c r="I47" s="2364" t="s">
        <v>1693</v>
      </c>
      <c r="J47" s="1939" t="s">
        <v>3694</v>
      </c>
      <c r="K47" s="2369" t="s">
        <v>1698</v>
      </c>
      <c r="L47" s="2373">
        <f ca="1">INDIRECT("'数据-取费表'!d"&amp;$G$1)</f>
        <v>50</v>
      </c>
      <c r="M47" s="1328" t="str">
        <f>IF(ISNUMBER(FIND("住宅",C1)),"住宅","非住宅")</f>
        <v>非住宅</v>
      </c>
      <c r="O47" s="1951" t="s">
        <v>1724</v>
      </c>
      <c r="P47" s="1952" t="s">
        <v>1725</v>
      </c>
      <c r="Q47" s="1953" t="s">
        <v>1726</v>
      </c>
      <c r="R47" s="1952" t="s">
        <v>1727</v>
      </c>
    </row>
    <row r="48" spans="1:18" s="1669" customFormat="1" ht="18" customHeight="1" thickBot="1">
      <c r="A48" s="2081" t="s">
        <v>1815</v>
      </c>
      <c r="B48" s="2082" t="s">
        <v>1816</v>
      </c>
      <c r="C48" s="1932">
        <f ca="1">ROUND(F48*F50*F49*(1-F51)/10000,0)</f>
        <v>0</v>
      </c>
      <c r="D48" s="1933" t="s">
        <v>584</v>
      </c>
      <c r="E48" s="1934" t="s">
        <v>1650</v>
      </c>
      <c r="F48" s="1935">
        <f ca="1">M6</f>
        <v>0</v>
      </c>
      <c r="G48" s="1696"/>
      <c r="I48" s="2361" t="s">
        <v>1694</v>
      </c>
      <c r="J48" s="1940" t="s">
        <v>1699</v>
      </c>
      <c r="K48" s="2370" t="s">
        <v>1700</v>
      </c>
      <c r="L48" s="1564">
        <f ca="1">INDIRECT("'数据-取费表'!f"&amp;$G$1)</f>
        <v>49.8</v>
      </c>
      <c r="M48" s="2759"/>
      <c r="O48" s="1954" t="s">
        <v>1728</v>
      </c>
      <c r="P48" s="1955" t="s">
        <v>1754</v>
      </c>
      <c r="Q48" s="1956">
        <f ca="1">C40+J29</f>
        <v>1336</v>
      </c>
      <c r="R48" s="1955" t="s">
        <v>1729</v>
      </c>
    </row>
    <row r="49" spans="1:18" s="1669" customFormat="1" ht="18" customHeight="1" thickBot="1">
      <c r="A49" s="721"/>
      <c r="B49" s="722"/>
      <c r="C49" s="723"/>
      <c r="D49" s="724"/>
      <c r="E49" s="719" t="s">
        <v>1268</v>
      </c>
      <c r="F49" s="720">
        <f ca="1">F7</f>
        <v>1406.86</v>
      </c>
      <c r="G49" s="1696"/>
      <c r="H49" s="1699"/>
      <c r="I49" s="2361" t="s">
        <v>1695</v>
      </c>
      <c r="J49" s="1941">
        <v>2027</v>
      </c>
      <c r="K49" s="2371" t="s">
        <v>1701</v>
      </c>
      <c r="L49" s="1563"/>
      <c r="M49" s="2759"/>
      <c r="O49" s="1954" t="s">
        <v>1730</v>
      </c>
      <c r="P49" s="1955" t="s">
        <v>1755</v>
      </c>
      <c r="Q49" s="1956" t="str">
        <f ca="1">J60</f>
        <v>0</v>
      </c>
      <c r="R49" s="1955" t="s">
        <v>1731</v>
      </c>
    </row>
    <row r="50" spans="1:18" s="1669" customFormat="1" ht="18" customHeight="1" thickBot="1">
      <c r="A50" s="721"/>
      <c r="B50" s="722"/>
      <c r="C50" s="723"/>
      <c r="D50" s="724"/>
      <c r="E50" s="719" t="s">
        <v>1269</v>
      </c>
      <c r="F50" s="720">
        <f ca="1">F8</f>
        <v>365</v>
      </c>
      <c r="H50" s="1699"/>
      <c r="I50" s="2361" t="s">
        <v>1696</v>
      </c>
      <c r="J50" s="2368">
        <f>SUMPRODUCT((I63:I65=J47)*(J62:L62=J48)*(J63:L65))</f>
        <v>60</v>
      </c>
      <c r="K50" s="2371" t="s">
        <v>1702</v>
      </c>
      <c r="L50" s="1563"/>
      <c r="M50" s="2759"/>
      <c r="O50" s="1957" t="s">
        <v>1732</v>
      </c>
      <c r="P50" s="1955" t="s">
        <v>1756</v>
      </c>
      <c r="Q50" s="1956">
        <f ca="1">C29</f>
        <v>1046</v>
      </c>
      <c r="R50" s="1955" t="s">
        <v>1729</v>
      </c>
    </row>
    <row r="51" spans="1:18" s="1669" customFormat="1" ht="18" customHeight="1" thickBot="1">
      <c r="A51" s="721"/>
      <c r="B51" s="722"/>
      <c r="C51" s="723"/>
      <c r="D51" s="724"/>
      <c r="E51" s="719" t="s">
        <v>588</v>
      </c>
      <c r="F51" s="1931"/>
      <c r="H51" s="1699"/>
      <c r="I51" s="2365" t="s">
        <v>1697</v>
      </c>
      <c r="J51" s="1564">
        <f>IF(J49="",J50,J49+J50-YEAR('数据-取费表'!B2))</f>
        <v>62</v>
      </c>
      <c r="K51" s="2361" t="s">
        <v>1703</v>
      </c>
      <c r="L51" s="2374">
        <f ca="1">ROUND(-PV(INDIRECT("'数据-取费表'!h"&amp;$G$1),J51,(C39-C13*J36),0),0)</f>
        <v>-399</v>
      </c>
      <c r="M51" s="2759"/>
      <c r="O51" s="1957" t="s">
        <v>1733</v>
      </c>
      <c r="P51" s="1955" t="s">
        <v>1734</v>
      </c>
      <c r="Q51" s="1958" t="e">
        <f ca="1">J58</f>
        <v>#VALUE!</v>
      </c>
      <c r="R51" s="1959"/>
    </row>
    <row r="52" spans="1:18" s="1669" customFormat="1" ht="18" customHeight="1" thickBot="1">
      <c r="A52" s="716" t="s">
        <v>1814</v>
      </c>
      <c r="B52" s="1996" t="s">
        <v>1798</v>
      </c>
      <c r="C52" s="734">
        <f ca="1">ROUND(IF(F52="押一",C48/12*F11,IF(F52="押二",C48/12*2*F11,IF(F52="押三",C48/12*3*F11,C53*F11))),0)</f>
        <v>0</v>
      </c>
      <c r="D52" s="2003" t="s">
        <v>2215</v>
      </c>
      <c r="E52" s="2000" t="s">
        <v>1803</v>
      </c>
      <c r="F52" s="2073"/>
      <c r="I52" s="2366" t="s">
        <v>1770</v>
      </c>
      <c r="J52" s="1942"/>
      <c r="K52" s="2366" t="s">
        <v>1769</v>
      </c>
      <c r="L52" s="1942"/>
      <c r="M52" s="2759"/>
      <c r="O52" s="1957" t="s">
        <v>1735</v>
      </c>
      <c r="P52" s="1955" t="s">
        <v>1736</v>
      </c>
      <c r="Q52" s="1958">
        <f>J52</f>
        <v>0</v>
      </c>
      <c r="R52" s="1959"/>
    </row>
    <row r="53" spans="1:18" s="1669" customFormat="1" ht="39.75" customHeight="1" thickBot="1">
      <c r="A53" s="721"/>
      <c r="B53" s="1997" t="s">
        <v>1851</v>
      </c>
      <c r="C53" s="2001"/>
      <c r="D53" s="2003"/>
      <c r="E53" s="2000"/>
      <c r="F53" s="735"/>
      <c r="I53" s="2367" t="s">
        <v>2218</v>
      </c>
      <c r="J53" s="2413">
        <f ca="1">IF(M47="住宅",IF(D1="——",MAX(J51,L48),MAX(J51,L48-'数据-取费表'!B20)),IF(D1="——",MIN(J51,L48),MIN(J51,L48-'数据-取费表'!B20)))</f>
        <v>46.8</v>
      </c>
      <c r="K53" s="3806" t="s">
        <v>2208</v>
      </c>
      <c r="L53" s="3807"/>
      <c r="M53" s="2759"/>
      <c r="O53" s="1957" t="s">
        <v>1737</v>
      </c>
      <c r="P53" s="1955" t="s">
        <v>1738</v>
      </c>
      <c r="Q53" s="1956">
        <f ca="1">J53</f>
        <v>46.8</v>
      </c>
      <c r="R53" s="1955" t="s">
        <v>1739</v>
      </c>
    </row>
    <row r="54" spans="1:18" s="1669" customFormat="1" ht="18" customHeight="1" thickBot="1">
      <c r="A54" s="2010" t="s">
        <v>1806</v>
      </c>
      <c r="B54" s="2011" t="s">
        <v>1799</v>
      </c>
      <c r="C54" s="2012"/>
      <c r="D54" s="2003"/>
      <c r="E54" s="2000"/>
      <c r="F54" s="735"/>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9"/>
      <c r="O54" s="1954" t="s">
        <v>1740</v>
      </c>
      <c r="P54" s="1955" t="s">
        <v>1757</v>
      </c>
      <c r="Q54" s="1956">
        <f ca="1">Q48+Q49</f>
        <v>1336</v>
      </c>
      <c r="R54" s="1959" t="s">
        <v>1741</v>
      </c>
    </row>
    <row r="55" spans="1:18" s="1669" customFormat="1" ht="18" customHeight="1" thickTop="1" thickBot="1">
      <c r="A55" s="732">
        <v>2</v>
      </c>
      <c r="B55" s="733" t="s">
        <v>592</v>
      </c>
      <c r="C55" s="734">
        <f ca="1">C13</f>
        <v>1046</v>
      </c>
      <c r="D55" s="730"/>
      <c r="E55" s="730"/>
      <c r="F55" s="735"/>
      <c r="I55" s="2377" t="s">
        <v>1704</v>
      </c>
      <c r="J55" s="2350" t="e">
        <f ca="1">ROUND(IF(J47="钢混",J57/J50,1-(1-2%)*(J50-J57)/J50),3)</f>
        <v>#VALUE!</v>
      </c>
      <c r="K55" s="2378" t="s">
        <v>1705</v>
      </c>
      <c r="L55" s="1943"/>
      <c r="M55" s="2759"/>
      <c r="O55" s="1960" t="s">
        <v>1760</v>
      </c>
      <c r="P55" s="1143"/>
      <c r="Q55" s="1328"/>
      <c r="R55" s="1143"/>
    </row>
    <row r="56" spans="1:18" s="1669" customFormat="1" ht="42.75" customHeight="1" thickBot="1">
      <c r="A56" s="1368"/>
      <c r="B56" s="1822" t="s">
        <v>1656</v>
      </c>
      <c r="C56" s="49">
        <f ca="1">C29</f>
        <v>1046</v>
      </c>
      <c r="D56" s="905"/>
      <c r="E56" s="719"/>
      <c r="F56" s="744"/>
      <c r="I56" s="2379" t="s">
        <v>1706</v>
      </c>
      <c r="J56" s="2389" t="s">
        <v>3321</v>
      </c>
      <c r="K56" s="2361" t="s">
        <v>1711</v>
      </c>
      <c r="L56" s="1564" t="str">
        <f ca="1">IF(L48&lt;J51,"——",L48-J51)</f>
        <v>——</v>
      </c>
      <c r="M56" s="2759"/>
      <c r="O56" s="1951" t="s">
        <v>1724</v>
      </c>
      <c r="P56" s="1952" t="s">
        <v>1725</v>
      </c>
      <c r="Q56" s="1953" t="s">
        <v>1726</v>
      </c>
      <c r="R56" s="1952" t="s">
        <v>1727</v>
      </c>
    </row>
    <row r="57" spans="1:18" s="1669" customFormat="1" ht="28.5" customHeight="1" thickBot="1">
      <c r="A57" s="732" t="s">
        <v>1277</v>
      </c>
      <c r="B57" s="733" t="s">
        <v>599</v>
      </c>
      <c r="C57" s="734">
        <f ca="1">ROUND(C58+C63+C64+C65,0)</f>
        <v>3</v>
      </c>
      <c r="D57" s="22" t="s">
        <v>1279</v>
      </c>
      <c r="E57" s="913"/>
      <c r="F57" s="52"/>
      <c r="I57" s="2380" t="s">
        <v>1707</v>
      </c>
      <c r="J57" s="2381" t="str">
        <f ca="1">IF(OR(M47="住宅",J51&lt;L48,J56="是"),"——",J51-L48)</f>
        <v>——</v>
      </c>
      <c r="K57" s="2361" t="s">
        <v>1712</v>
      </c>
      <c r="L57" s="1564" t="str">
        <f ca="1">IF(L48&lt;J51,"——",IF(L55="比较法",L49,IF(L55="基准地价",L50,L51)))</f>
        <v>——</v>
      </c>
      <c r="M57" s="2759"/>
      <c r="O57" s="1954" t="s">
        <v>1728</v>
      </c>
      <c r="P57" s="1955" t="s">
        <v>1758</v>
      </c>
      <c r="Q57" s="1956">
        <f ca="1">C40+J29</f>
        <v>1336</v>
      </c>
      <c r="R57" s="1955" t="s">
        <v>1729</v>
      </c>
    </row>
    <row r="58" spans="1:18" s="1669" customFormat="1" ht="28.5" customHeight="1" thickBot="1">
      <c r="A58" s="1367" t="s">
        <v>1353</v>
      </c>
      <c r="B58" s="719" t="s">
        <v>604</v>
      </c>
      <c r="C58" s="2552">
        <f ca="1">ROUND(IF(AND(项目基本情况!B11="自然人",项目基本情况!B10="北京市"),C48*F58/(1+'数据-取费表'!C42),C59+C60+C61),2)</f>
        <v>0.14000000000000001</v>
      </c>
      <c r="D58" s="904" t="s">
        <v>605</v>
      </c>
      <c r="E58" s="905" t="s">
        <v>637</v>
      </c>
      <c r="F58" s="2551" t="str">
        <f>IF(项目基本情况!B11="企业","——",IF('数据-取费表'!B10="住宅",IF(F48*F49*F50/12/(1+'数据-取费表'!F30)&gt;100000,4%,2.5%),IF(F48*F49*F50/12/(1+'数据-取费表'!F30)&gt;100000,12%,7%)))</f>
        <v>——</v>
      </c>
      <c r="I58" s="2380" t="s">
        <v>1708</v>
      </c>
      <c r="J58" s="2351" t="e">
        <f ca="1">IF(J55&lt;0.4,0.4,J55)</f>
        <v>#VALUE!</v>
      </c>
      <c r="K58" s="2361" t="s">
        <v>1713</v>
      </c>
      <c r="L58" s="1564" t="e">
        <f ca="1">ROUND(POWER(1+L52,L47-L48)*(POWER(1+L52,L48)-1)/(POWER(1+L52,L47)-1),4)</f>
        <v>#DIV/0!</v>
      </c>
      <c r="M58" s="2759"/>
      <c r="O58" s="1954" t="s">
        <v>1730</v>
      </c>
      <c r="P58" s="1955" t="s">
        <v>1761</v>
      </c>
      <c r="Q58" s="1956">
        <f ca="1">L60</f>
        <v>0</v>
      </c>
      <c r="R58" s="1959" t="s">
        <v>1763</v>
      </c>
    </row>
    <row r="59" spans="1:18" s="1669" customFormat="1" ht="28.5" customHeight="1" thickBot="1">
      <c r="A59" s="1366" t="s">
        <v>1360</v>
      </c>
      <c r="B59" s="719" t="s">
        <v>608</v>
      </c>
      <c r="C59" s="49">
        <f ca="1">ROUND(C47*F59/1.05,2)</f>
        <v>0</v>
      </c>
      <c r="D59" s="905" t="s">
        <v>1285</v>
      </c>
      <c r="E59" s="719" t="s">
        <v>1276</v>
      </c>
      <c r="F59" s="744">
        <f t="shared" ref="F59:F65" si="0">F32</f>
        <v>5.6000000000000001E-2</v>
      </c>
      <c r="I59" s="2380" t="s">
        <v>1709</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1732</v>
      </c>
      <c r="P59" s="1955" t="s">
        <v>1762</v>
      </c>
      <c r="Q59" s="1956">
        <f>IF(L55="比较法",L49,IF(L55="基准地价",L50,0))</f>
        <v>0</v>
      </c>
      <c r="R59" s="1955" t="s">
        <v>1729</v>
      </c>
    </row>
    <row r="60" spans="1:18" s="1669" customFormat="1" ht="18" customHeight="1" thickBot="1">
      <c r="A60" s="1366" t="s">
        <v>1361</v>
      </c>
      <c r="B60" s="719" t="s">
        <v>1287</v>
      </c>
      <c r="C60" s="49">
        <f ca="1">IF(D60="按租金收入计税",ROUND(C48*F60/(1+'数据-取费表'!C42),2),IF(D60="按房产原值计税",ROUND(C56*F60*0.7,2),INDIRECT("'数据-取费表'!Aj"&amp;$G$1)))</f>
        <v>0</v>
      </c>
      <c r="D60" s="905" t="str">
        <f>D33</f>
        <v>按租金收入计税</v>
      </c>
      <c r="E60" s="719" t="s">
        <v>1276</v>
      </c>
      <c r="F60" s="744">
        <f t="shared" si="0"/>
        <v>0.12</v>
      </c>
      <c r="I60" s="2382" t="s">
        <v>1710</v>
      </c>
      <c r="J60" s="2383" t="str">
        <f ca="1">IF(OR(M47="住宅",J51&lt;L48,J56="是"),"0",ROUND(J59/(1+J52)^J53,0))</f>
        <v>0</v>
      </c>
      <c r="K60" s="2384" t="s">
        <v>1715</v>
      </c>
      <c r="L60" s="2383">
        <f ca="1">IF(OR(M47="住宅",L48&lt;J51),0,ROUND(L57*(L58/L59-1),0))</f>
        <v>0</v>
      </c>
      <c r="M60" s="2759"/>
      <c r="O60" s="1957" t="s">
        <v>1733</v>
      </c>
      <c r="P60" s="1955" t="s">
        <v>1742</v>
      </c>
      <c r="Q60" s="1958">
        <f>L52</f>
        <v>0</v>
      </c>
      <c r="R60" s="1959"/>
    </row>
    <row r="61" spans="1:18" s="1669" customFormat="1" ht="18" customHeight="1" thickBot="1">
      <c r="A61" s="1369" t="s">
        <v>1362</v>
      </c>
      <c r="B61" s="315" t="s">
        <v>615</v>
      </c>
      <c r="C61" s="50">
        <f ca="1">ROUND(F61*F62/10000,2)</f>
        <v>0.14000000000000001</v>
      </c>
      <c r="D61" s="748" t="s">
        <v>616</v>
      </c>
      <c r="E61" s="719" t="s">
        <v>617</v>
      </c>
      <c r="F61" s="587">
        <f t="shared" si="0"/>
        <v>3</v>
      </c>
      <c r="K61" s="1693"/>
      <c r="O61" s="1957" t="s">
        <v>1735</v>
      </c>
      <c r="P61" s="1955" t="s">
        <v>1743</v>
      </c>
      <c r="Q61" s="1956" t="e">
        <f ca="1">L58</f>
        <v>#DIV/0!</v>
      </c>
      <c r="R61" s="1959" t="s">
        <v>1744</v>
      </c>
    </row>
    <row r="62" spans="1:18" s="1669" customFormat="1" ht="15.75" thickBot="1">
      <c r="A62" s="749"/>
      <c r="B62" s="728"/>
      <c r="C62" s="65"/>
      <c r="D62" s="750"/>
      <c r="E62" s="719" t="s">
        <v>621</v>
      </c>
      <c r="F62" s="720">
        <f t="shared" ca="1" si="0"/>
        <v>455.73</v>
      </c>
      <c r="I62" s="2385" t="s">
        <v>1716</v>
      </c>
      <c r="J62" s="2386" t="s">
        <v>1717</v>
      </c>
      <c r="K62" s="2386" t="s">
        <v>1718</v>
      </c>
      <c r="L62" s="2386" t="s">
        <v>1699</v>
      </c>
      <c r="M62" s="2387" t="s">
        <v>2187</v>
      </c>
      <c r="O62" s="1957" t="s">
        <v>1737</v>
      </c>
      <c r="P62" s="1955" t="str">
        <f>K59</f>
        <v>建设期及建筑物耐用年限下的土地年期修正系数Kn</v>
      </c>
      <c r="Q62" s="1956" t="e">
        <f ca="1">L59</f>
        <v>#DIV/0!</v>
      </c>
      <c r="R62" s="1959" t="s">
        <v>1746</v>
      </c>
    </row>
    <row r="63" spans="1:18" s="1669" customFormat="1" ht="15.75" thickBot="1">
      <c r="A63" s="1367" t="s">
        <v>1414</v>
      </c>
      <c r="B63" s="719" t="s">
        <v>623</v>
      </c>
      <c r="C63" s="49">
        <f ca="1">ROUND(C56*F63,2)</f>
        <v>2.09</v>
      </c>
      <c r="D63" s="905" t="s">
        <v>1332</v>
      </c>
      <c r="E63" s="719" t="s">
        <v>1276</v>
      </c>
      <c r="F63" s="751">
        <f t="shared" ca="1" si="0"/>
        <v>2E-3</v>
      </c>
      <c r="I63" s="2385" t="s">
        <v>1719</v>
      </c>
      <c r="J63" s="2386">
        <v>70</v>
      </c>
      <c r="K63" s="2386">
        <v>50</v>
      </c>
      <c r="L63" s="2386">
        <v>80</v>
      </c>
      <c r="M63" s="2388">
        <v>0.02</v>
      </c>
      <c r="O63" s="1954" t="s">
        <v>1740</v>
      </c>
      <c r="P63" s="1955" t="s">
        <v>1757</v>
      </c>
      <c r="Q63" s="1956">
        <f ca="1">Q57+Q58</f>
        <v>1336</v>
      </c>
      <c r="R63" s="1959" t="s">
        <v>1741</v>
      </c>
    </row>
    <row r="64" spans="1:18" s="1669" customFormat="1" ht="16.5" thickBot="1">
      <c r="A64" s="1367" t="s">
        <v>1415</v>
      </c>
      <c r="B64" s="719" t="s">
        <v>626</v>
      </c>
      <c r="C64" s="49">
        <f ca="1">ROUND(C55*F64,2)</f>
        <v>1.05</v>
      </c>
      <c r="D64" s="905" t="s">
        <v>627</v>
      </c>
      <c r="E64" s="719" t="s">
        <v>1276</v>
      </c>
      <c r="F64" s="752">
        <f t="shared" ca="1" si="0"/>
        <v>1E-3</v>
      </c>
      <c r="I64" s="2385" t="s">
        <v>1720</v>
      </c>
      <c r="J64" s="2386">
        <v>50</v>
      </c>
      <c r="K64" s="2386">
        <v>35</v>
      </c>
      <c r="L64" s="2386">
        <v>60</v>
      </c>
      <c r="M64" s="780">
        <v>0</v>
      </c>
      <c r="O64" s="1960" t="s">
        <v>1764</v>
      </c>
      <c r="P64" s="1143"/>
      <c r="Q64" s="1328"/>
      <c r="R64" s="1143"/>
    </row>
    <row r="65" spans="1:18" s="1669" customFormat="1" ht="15.75" thickBot="1">
      <c r="A65" s="1367" t="s">
        <v>1416</v>
      </c>
      <c r="B65" s="719" t="s">
        <v>613</v>
      </c>
      <c r="C65" s="49">
        <f ca="1">ROUND(C47*F65,2)</f>
        <v>0</v>
      </c>
      <c r="D65" s="905" t="s">
        <v>630</v>
      </c>
      <c r="E65" s="719" t="s">
        <v>1276</v>
      </c>
      <c r="F65" s="729">
        <f t="shared" ca="1" si="0"/>
        <v>5.0000000000000001E-3</v>
      </c>
      <c r="I65" s="2385" t="s">
        <v>1721</v>
      </c>
      <c r="J65" s="2386">
        <v>40</v>
      </c>
      <c r="K65" s="2386">
        <v>30</v>
      </c>
      <c r="L65" s="2386">
        <v>50</v>
      </c>
      <c r="M65" s="2388">
        <v>0.02</v>
      </c>
      <c r="O65" s="1951" t="s">
        <v>1724</v>
      </c>
      <c r="P65" s="1952" t="s">
        <v>1725</v>
      </c>
      <c r="Q65" s="1953" t="s">
        <v>1726</v>
      </c>
      <c r="R65" s="1952" t="s">
        <v>1727</v>
      </c>
    </row>
    <row r="66" spans="1:18" s="1669" customFormat="1" ht="24.75" thickBot="1">
      <c r="A66" s="732" t="s">
        <v>1305</v>
      </c>
      <c r="B66" s="2295" t="s">
        <v>2094</v>
      </c>
      <c r="C66" s="734">
        <f ca="1">C47-C57</f>
        <v>-3</v>
      </c>
      <c r="D66" s="904" t="s">
        <v>647</v>
      </c>
      <c r="E66" s="902"/>
      <c r="F66" s="754"/>
      <c r="K66" s="1693"/>
      <c r="O66" s="1954" t="s">
        <v>1728</v>
      </c>
      <c r="P66" s="1955" t="s">
        <v>1758</v>
      </c>
      <c r="Q66" s="1956">
        <f ca="1">C40+J29</f>
        <v>1336</v>
      </c>
      <c r="R66" s="1955" t="s">
        <v>1729</v>
      </c>
    </row>
    <row r="67" spans="1:18" s="1669" customFormat="1" ht="20.25" thickBot="1">
      <c r="A67" s="716" t="s">
        <v>1309</v>
      </c>
      <c r="B67" s="1823" t="s">
        <v>1655</v>
      </c>
      <c r="C67" s="718">
        <f ca="1">ROUND(C66*(1-((1+F69)/(1+F67))^F68)/(F67-F69),0)</f>
        <v>-54</v>
      </c>
      <c r="D67" s="748" t="s">
        <v>651</v>
      </c>
      <c r="E67" s="719" t="s">
        <v>652</v>
      </c>
      <c r="F67" s="729">
        <f ca="1">F40</f>
        <v>0.05</v>
      </c>
      <c r="K67" s="1693"/>
      <c r="O67" s="1954" t="s">
        <v>1730</v>
      </c>
      <c r="P67" s="1955" t="s">
        <v>1761</v>
      </c>
      <c r="Q67" s="1956">
        <f ca="1">L60</f>
        <v>0</v>
      </c>
      <c r="R67" s="1959" t="s">
        <v>1763</v>
      </c>
    </row>
    <row r="68" spans="1:18" ht="21.75" thickBot="1">
      <c r="A68" s="721"/>
      <c r="B68" s="722"/>
      <c r="C68" s="723"/>
      <c r="D68" s="755" t="s">
        <v>1337</v>
      </c>
      <c r="E68" s="719" t="s">
        <v>1313</v>
      </c>
      <c r="F68" s="756">
        <f ca="1">F41</f>
        <v>46.8</v>
      </c>
      <c r="O68" s="1957" t="s">
        <v>1732</v>
      </c>
      <c r="P68" s="1955" t="s">
        <v>1762</v>
      </c>
      <c r="Q68" s="1961">
        <f ca="1">L51</f>
        <v>-399</v>
      </c>
      <c r="R68" s="1962" t="s">
        <v>1765</v>
      </c>
    </row>
    <row r="69" spans="1:18" ht="20.25" thickBot="1">
      <c r="A69" s="725"/>
      <c r="B69" s="726"/>
      <c r="C69" s="727"/>
      <c r="D69" s="750"/>
      <c r="E69" s="719" t="s">
        <v>657</v>
      </c>
      <c r="F69" s="1931"/>
      <c r="O69" s="1957" t="s">
        <v>1733</v>
      </c>
      <c r="P69" s="1963" t="s">
        <v>1747</v>
      </c>
      <c r="Q69" s="1956">
        <f ca="1">ROUND(Q70-Q71*Q72,0)</f>
        <v>-19</v>
      </c>
      <c r="R69" s="1959"/>
    </row>
    <row r="70" spans="1:18" ht="15.75" thickBot="1">
      <c r="A70" s="757" t="s">
        <v>1316</v>
      </c>
      <c r="B70" s="758" t="s">
        <v>1339</v>
      </c>
      <c r="C70" s="759">
        <f ca="1">ROUND(C67*10000/F70,0)</f>
        <v>-384</v>
      </c>
      <c r="D70" s="760" t="s">
        <v>1340</v>
      </c>
      <c r="E70" s="761" t="s">
        <v>1341</v>
      </c>
      <c r="F70" s="762">
        <f ca="1">F43</f>
        <v>1406.86</v>
      </c>
      <c r="O70" s="1957" t="s">
        <v>1748</v>
      </c>
      <c r="P70" s="1963" t="s">
        <v>1749</v>
      </c>
      <c r="Q70" s="1956">
        <f ca="1">C39</f>
        <v>54</v>
      </c>
      <c r="R70" s="1955" t="s">
        <v>1729</v>
      </c>
    </row>
    <row r="71" spans="1:18" ht="15.75" thickBot="1">
      <c r="O71" s="1957" t="s">
        <v>1750</v>
      </c>
      <c r="P71" s="1963" t="s">
        <v>1751</v>
      </c>
      <c r="Q71" s="1956">
        <f ca="1">C13</f>
        <v>1046</v>
      </c>
      <c r="R71" s="1955" t="s">
        <v>1729</v>
      </c>
    </row>
    <row r="72" spans="1:18" ht="15.75" thickBot="1">
      <c r="O72" s="1957" t="s">
        <v>1752</v>
      </c>
      <c r="P72" s="1963" t="s">
        <v>1753</v>
      </c>
      <c r="Q72" s="1958">
        <f ca="1">J36</f>
        <v>7.0000000000000007E-2</v>
      </c>
      <c r="R72" s="1959"/>
    </row>
    <row r="73" spans="1:18" ht="15.75" thickBot="1">
      <c r="O73" s="1957" t="s">
        <v>1735</v>
      </c>
      <c r="P73" s="1955" t="s">
        <v>1742</v>
      </c>
      <c r="Q73" s="1958">
        <f>L52</f>
        <v>0</v>
      </c>
      <c r="R73" s="1959"/>
    </row>
    <row r="74" spans="1:18" ht="20.25" thickBot="1">
      <c r="O74" s="1957" t="s">
        <v>1737</v>
      </c>
      <c r="P74" s="1955" t="s">
        <v>1743</v>
      </c>
      <c r="Q74" s="1956" t="e">
        <f ca="1">L58</f>
        <v>#DIV/0!</v>
      </c>
      <c r="R74" s="1959" t="s">
        <v>1744</v>
      </c>
    </row>
    <row r="75" spans="1:18" ht="15.75" thickBot="1">
      <c r="O75" s="1957" t="s">
        <v>1766</v>
      </c>
      <c r="P75" s="1955" t="str">
        <f>K59</f>
        <v>建设期及建筑物耐用年限下的土地年期修正系数Kn</v>
      </c>
      <c r="Q75" s="1956" t="e">
        <f ca="1">L59</f>
        <v>#DIV/0!</v>
      </c>
      <c r="R75" s="1959" t="s">
        <v>1746</v>
      </c>
    </row>
    <row r="76" spans="1:18" ht="15.75" thickBot="1">
      <c r="O76" s="1954" t="s">
        <v>1740</v>
      </c>
      <c r="P76" s="1955" t="s">
        <v>1757</v>
      </c>
      <c r="Q76" s="1956">
        <f ca="1">Q66+Q67</f>
        <v>1336</v>
      </c>
      <c r="R76" s="1959"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1773</v>
      </c>
      <c r="D1" s="1265">
        <f>SUM(D33:D34,D37:D42)</f>
        <v>110377.89</v>
      </c>
      <c r="E1" s="1188" t="s">
        <v>1774</v>
      </c>
      <c r="F1" s="1250">
        <f>'数据-汇总表'!D3</f>
        <v>36842.300000000003</v>
      </c>
      <c r="G1" s="1183"/>
      <c r="H1" s="1183"/>
      <c r="I1" s="1183"/>
      <c r="J1" s="1183"/>
      <c r="K1" s="1786"/>
      <c r="L1" s="1538" t="s">
        <v>1594</v>
      </c>
      <c r="M1" s="1539">
        <f>SUMPRODUCT((区片价!B5:B9=I2)*(区片价!C3:G3=E2)*(区片价!C5:G9))</f>
        <v>0</v>
      </c>
      <c r="N1" s="1540">
        <f>SUMPRODUCT((因素修正幅度!B5:B9=I2)*(因素修正幅度!C3:G3=E2)*(因素修正幅度!C5:G9))</f>
        <v>0</v>
      </c>
      <c r="O1" s="1786"/>
      <c r="P1" s="1786"/>
      <c r="Q1" s="1786"/>
      <c r="R1" s="2229" t="s">
        <v>2038</v>
      </c>
      <c r="S1" s="2229" t="s">
        <v>2039</v>
      </c>
      <c r="T1" s="2229" t="s">
        <v>2056</v>
      </c>
      <c r="U1" s="2229" t="s">
        <v>2057</v>
      </c>
      <c r="V1" s="2229" t="s">
        <v>2058</v>
      </c>
      <c r="W1" s="1786"/>
      <c r="X1" s="1786"/>
      <c r="Y1" s="1786"/>
      <c r="Z1" s="1786"/>
      <c r="AA1" s="1786"/>
      <c r="AB1" s="1786"/>
      <c r="AC1" s="1787"/>
    </row>
    <row r="2" spans="1:39" ht="15.75">
      <c r="A2" s="1188" t="s">
        <v>848</v>
      </c>
      <c r="B2" s="939">
        <f>C30</f>
        <v>184198</v>
      </c>
      <c r="C2" s="1189" t="s">
        <v>849</v>
      </c>
      <c r="D2" s="1190" t="s">
        <v>850</v>
      </c>
      <c r="E2" s="1191" t="s">
        <v>851</v>
      </c>
      <c r="F2" s="1190" t="s">
        <v>852</v>
      </c>
      <c r="G2" s="1370" t="str">
        <f>IF(E2="商业",项目基本情况!B43,IF(E2="办公",项目基本情况!C43,IF(E2="住宅",项目基本情况!D43,IF(E2="工业",项目基本情况!E43,项目基本情况!F43))))</f>
        <v>五级</v>
      </c>
      <c r="H2" s="1190" t="s">
        <v>854</v>
      </c>
      <c r="I2" s="944" t="str">
        <f>IF(E2="商业",项目基本情况!B44,IF(E2="办公",项目基本情况!C44,IF(E2="住宅",项目基本情况!D44,IF(E2="工业",项目基本情况!E44,项目基本情况!F44))))</f>
        <v>Ⅴ-21</v>
      </c>
      <c r="J2" s="1183"/>
      <c r="K2" s="1786"/>
      <c r="L2" s="1541" t="s">
        <v>1595</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1.5019</v>
      </c>
      <c r="T2" s="2230">
        <f>ROUND($C$5*$C$22*$C$23*$C$24*S2*$C$28,0)</f>
        <v>29215</v>
      </c>
      <c r="U2" s="2220"/>
      <c r="V2" s="2230">
        <f>ROUND(T2*U2/10000,0)</f>
        <v>0</v>
      </c>
      <c r="W2" s="1786"/>
      <c r="X2" s="1786"/>
      <c r="Y2" s="1786"/>
      <c r="Z2" s="1786"/>
      <c r="AA2" s="1786"/>
      <c r="AB2" s="1786"/>
      <c r="AC2" s="1787"/>
    </row>
    <row r="3" spans="1:39" ht="15.75">
      <c r="A3" s="1192" t="s">
        <v>1220</v>
      </c>
      <c r="B3" s="939">
        <f>ROUND(B2*10000/D1,0)</f>
        <v>16688</v>
      </c>
      <c r="C3" s="1189" t="s">
        <v>855</v>
      </c>
      <c r="D3" s="1190" t="s">
        <v>856</v>
      </c>
      <c r="E3" s="1193" t="s">
        <v>3337</v>
      </c>
      <c r="F3" s="1194" t="s">
        <v>3338</v>
      </c>
      <c r="G3" s="940">
        <f>IF(F3="宗地容积率",'数据-汇总表'!I4,IF(F3="估价对象容积率",'数据-汇总表'!I6,'数据-汇总表'!I7))</f>
        <v>2.5099999999999998</v>
      </c>
      <c r="H3" s="1190" t="s">
        <v>857</v>
      </c>
      <c r="I3" s="941"/>
      <c r="J3" s="1183" t="s">
        <v>858</v>
      </c>
      <c r="K3" s="1786"/>
      <c r="L3" s="1541" t="s">
        <v>1596</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1.1838</v>
      </c>
      <c r="T3" s="2230">
        <f t="shared" ref="T3:T16" si="0">ROUND($C$5*$C$22*$C$23*$C$24*S3*$C$28,0)</f>
        <v>23027</v>
      </c>
      <c r="U3" s="2220"/>
      <c r="V3" s="2230">
        <f t="shared" ref="V3:V16" si="1">ROUND(T3*U3/10000,0)</f>
        <v>0</v>
      </c>
      <c r="W3" s="1786"/>
      <c r="X3" s="1786"/>
      <c r="Y3" s="1786"/>
      <c r="Z3" s="1786"/>
      <c r="AA3" s="1786"/>
      <c r="AB3" s="1786"/>
      <c r="AC3" s="1787"/>
    </row>
    <row r="4" spans="1:39" ht="28.5">
      <c r="A4" s="1547" t="s">
        <v>1635</v>
      </c>
      <c r="B4" s="1967">
        <f>ROUND(B2*10000/F1,0)</f>
        <v>49996</v>
      </c>
      <c r="C4" s="1550" t="s">
        <v>1610</v>
      </c>
      <c r="D4" s="1550">
        <f>ROUND(B2/(F1/666.67),0)</f>
        <v>3333</v>
      </c>
      <c r="E4" s="1550" t="s">
        <v>1611</v>
      </c>
      <c r="F4" s="1548"/>
      <c r="G4" s="1548"/>
      <c r="H4" s="1548"/>
      <c r="I4" s="1548"/>
      <c r="J4" s="1549"/>
      <c r="K4" s="2734"/>
      <c r="L4" s="1541" t="s">
        <v>1597</v>
      </c>
      <c r="M4" s="1542">
        <f>SUMPRODUCT((区片价!B55:B86=I2)*(区片价!C3:G3=E2)*(区片价!C55:G86))</f>
        <v>0</v>
      </c>
      <c r="N4" s="1543">
        <f>SUMPRODUCT((因素修正幅度!B55:B86=I2)*(因素修正幅度!C3:G3=E2)*(因素修正幅度!C55:G86))</f>
        <v>0</v>
      </c>
      <c r="O4" s="2734"/>
      <c r="P4" s="1786"/>
      <c r="Q4" s="1786"/>
      <c r="R4" s="2230">
        <v>3</v>
      </c>
      <c r="S4" s="2230">
        <f>ROUND(SUMPRODUCT((B107:B111=R4)*(C106:N106=G2)*(C107:N111)),4)</f>
        <v>1.0004999999999999</v>
      </c>
      <c r="T4" s="2230">
        <f t="shared" si="0"/>
        <v>19462</v>
      </c>
      <c r="U4" s="2220"/>
      <c r="V4" s="2230">
        <f t="shared" si="1"/>
        <v>0</v>
      </c>
      <c r="W4" s="1786"/>
      <c r="X4" s="1786"/>
      <c r="Y4" s="1786"/>
      <c r="Z4" s="1786"/>
      <c r="AA4" s="1786"/>
      <c r="AB4" s="1786"/>
      <c r="AC4" s="1787"/>
    </row>
    <row r="5" spans="1:39" s="1201" customFormat="1" ht="15.75" thickBot="1">
      <c r="A5" s="1357" t="s">
        <v>1352</v>
      </c>
      <c r="B5" s="1195" t="s">
        <v>859</v>
      </c>
      <c r="C5" s="942">
        <f>ROUND(IF(E2="商业",C6*C7*C17+C20,(IF(E2="住宅",C6*C13*C17+C20,IF(E2="办公",C6*C12*C17+C20,C6+C20)))),0)</f>
        <v>17483</v>
      </c>
      <c r="D5" s="2355">
        <f>ROUND(C6*C17+C20,0)</f>
        <v>15852</v>
      </c>
      <c r="E5" s="2355"/>
      <c r="F5" s="1196"/>
      <c r="G5" s="1197"/>
      <c r="H5" s="1197"/>
      <c r="I5" s="1197"/>
      <c r="J5" s="1198"/>
      <c r="K5" s="2735"/>
      <c r="L5" s="1541" t="s">
        <v>1598</v>
      </c>
      <c r="M5" s="1542">
        <f>SUMPRODUCT((区片价!B87:B126=I2)*(区片价!C3:G3=E2)*(区片价!C87:G126))</f>
        <v>15910</v>
      </c>
      <c r="N5" s="1543">
        <f>SUMPRODUCT((因素修正幅度!B87:B126=I2)*(因素修正幅度!C3:G3=E2)*(因素修正幅度!C87:G126))</f>
        <v>8.5999999999999993E-2</v>
      </c>
      <c r="O5" s="2735"/>
      <c r="P5" s="2737"/>
      <c r="Q5" s="1786"/>
      <c r="R5" s="2230">
        <v>4</v>
      </c>
      <c r="S5" s="2230">
        <f>ROUND(SUMPRODUCT((B107:B111=R5)*(C106:N106=G2)*(C107:N111)),4)</f>
        <v>0.88239999999999996</v>
      </c>
      <c r="T5" s="2230">
        <f t="shared" si="0"/>
        <v>17165</v>
      </c>
      <c r="U5" s="2220"/>
      <c r="V5" s="2230">
        <f t="shared" si="1"/>
        <v>0</v>
      </c>
      <c r="W5" s="1786"/>
      <c r="X5" s="1786"/>
      <c r="Y5" s="1786"/>
      <c r="Z5" s="1786"/>
      <c r="AA5" s="1786"/>
      <c r="AB5" s="1786"/>
      <c r="AC5" s="1788"/>
      <c r="AD5" s="1199"/>
      <c r="AE5" s="1199"/>
      <c r="AF5" s="1199"/>
      <c r="AG5" s="1199"/>
      <c r="AH5" s="1199"/>
      <c r="AI5" s="1199"/>
      <c r="AJ5" s="1200"/>
      <c r="AK5" s="1200"/>
      <c r="AL5" s="1200"/>
      <c r="AM5" s="1200"/>
    </row>
    <row r="6" spans="1:39" ht="15.75" thickBot="1">
      <c r="A6" s="3246" t="s">
        <v>1395</v>
      </c>
      <c r="B6" s="1202" t="s">
        <v>859</v>
      </c>
      <c r="C6" s="3247">
        <f>SUMIF(L1:L12,G2,M1:M12)</f>
        <v>15910</v>
      </c>
      <c r="D6" s="3248" t="s">
        <v>1228</v>
      </c>
      <c r="E6" s="1202"/>
      <c r="F6" s="1202"/>
      <c r="G6" s="3249"/>
      <c r="H6" s="3249"/>
      <c r="I6" s="3249"/>
      <c r="J6" s="3250"/>
      <c r="K6" s="1786"/>
      <c r="L6" s="1541" t="s">
        <v>1599</v>
      </c>
      <c r="M6" s="1542">
        <f>SUMPRODUCT((区片价!B127:B189=I2)*(区片价!C3:G3=E2)*(区片价!C127:G189))</f>
        <v>0</v>
      </c>
      <c r="N6" s="1543">
        <f>SUMPRODUCT((因素修正幅度!B127:B189=I2)*(因素修正幅度!C3:G3=E2)*(因素修正幅度!C127:G189))</f>
        <v>0</v>
      </c>
      <c r="O6" s="1786"/>
      <c r="P6" s="2738"/>
      <c r="Q6" s="1786"/>
      <c r="R6" s="2230">
        <v>5</v>
      </c>
      <c r="S6" s="2230">
        <f>ROUND(SUMPRODUCT((B107:B111=R6)*(C106:N106=G2)*(C107:N111)),4)</f>
        <v>0.84799999999999998</v>
      </c>
      <c r="T6" s="2230">
        <f t="shared" si="0"/>
        <v>16495</v>
      </c>
      <c r="U6" s="2220"/>
      <c r="V6" s="2230">
        <f t="shared" si="1"/>
        <v>0</v>
      </c>
      <c r="W6" s="1786"/>
      <c r="X6" s="1786"/>
      <c r="Y6" s="1786"/>
      <c r="Z6" s="1786"/>
      <c r="AA6" s="1786"/>
      <c r="AB6" s="1786"/>
      <c r="AC6" s="1788"/>
      <c r="AD6" s="1199"/>
      <c r="AE6" s="1199"/>
      <c r="AF6" s="1199"/>
      <c r="AG6" s="1199"/>
      <c r="AH6" s="1199"/>
      <c r="AI6" s="1199"/>
      <c r="AJ6" s="1200"/>
    </row>
    <row r="7" spans="1:39" ht="24.75" thickBot="1">
      <c r="A7" s="3251" t="s">
        <v>3173</v>
      </c>
      <c r="B7" s="1203" t="s">
        <v>860</v>
      </c>
      <c r="C7" s="3252">
        <f>IF(C8="不临65条商业街",1,ROUND(1+(1.6*E8+1.2*E9+0.8*E10+0.4*E11)*C9,4))</f>
        <v>1</v>
      </c>
      <c r="D7" s="3253" t="s">
        <v>861</v>
      </c>
      <c r="E7" s="3254"/>
      <c r="F7" s="3255"/>
      <c r="G7" s="3255"/>
      <c r="H7" s="3255"/>
      <c r="I7" s="3255"/>
      <c r="J7" s="3256"/>
      <c r="K7" s="1786"/>
      <c r="L7" s="1541" t="s">
        <v>1600</v>
      </c>
      <c r="M7" s="1542">
        <f>SUMPRODUCT((区片价!B190:B233=I2)*(区片价!C3:G3=E2)*(区片价!C190:G233))</f>
        <v>0</v>
      </c>
      <c r="N7" s="1543">
        <f>SUMPRODUCT((因素修正幅度!B190:B233=I2)*(因素修正幅度!C3:G3=E2)*(因素修正幅度!C190:G233))</f>
        <v>0</v>
      </c>
      <c r="O7" s="1786"/>
      <c r="P7" s="2738"/>
      <c r="Q7" s="1786"/>
      <c r="R7" s="2230">
        <v>6</v>
      </c>
      <c r="S7" s="2220"/>
      <c r="T7" s="2230">
        <f t="shared" si="0"/>
        <v>0</v>
      </c>
      <c r="U7" s="2220"/>
      <c r="V7" s="2230">
        <f t="shared" si="1"/>
        <v>0</v>
      </c>
      <c r="W7" s="2228" t="s">
        <v>2041</v>
      </c>
      <c r="X7" s="2221" t="str">
        <f>G2</f>
        <v>五级</v>
      </c>
      <c r="Y7" s="2221" t="s">
        <v>2042</v>
      </c>
      <c r="Z7" s="2222">
        <f>G3</f>
        <v>2.5099999999999998</v>
      </c>
      <c r="AA7" s="1789"/>
      <c r="AB7" s="1789"/>
      <c r="AC7" s="1790"/>
      <c r="AD7" s="2223"/>
      <c r="AE7" s="2223"/>
      <c r="AF7" s="2223"/>
      <c r="AG7" s="2223"/>
      <c r="AH7" s="2223"/>
      <c r="AI7" s="2223"/>
      <c r="AJ7" s="2224"/>
    </row>
    <row r="8" spans="1:39" ht="25.5">
      <c r="A8" s="3257"/>
      <c r="B8" s="1190" t="s">
        <v>862</v>
      </c>
      <c r="C8" s="3258" t="s">
        <v>3339</v>
      </c>
      <c r="D8" s="3259" t="s">
        <v>863</v>
      </c>
      <c r="E8" s="3260" t="e">
        <f>ROUND(C11/E7,4)</f>
        <v>#DIV/0!</v>
      </c>
      <c r="F8" s="3261" t="s">
        <v>864</v>
      </c>
      <c r="G8" s="3262"/>
      <c r="H8" s="3262"/>
      <c r="I8" s="3262"/>
      <c r="J8" s="3263"/>
      <c r="K8" s="1786"/>
      <c r="L8" s="1541" t="s">
        <v>1601</v>
      </c>
      <c r="M8" s="1542">
        <f>SUMPRODUCT((区片价!B234:B276=I2)*(区片价!C3:G3=E2)*(区片价!C234:G276))</f>
        <v>0</v>
      </c>
      <c r="N8" s="1543">
        <f>SUMPRODUCT((因素修正幅度!B234:B276=I2)*(因素修正幅度!C3:G3=E2)*(因素修正幅度!C234:G276))</f>
        <v>0</v>
      </c>
      <c r="O8" s="1786"/>
      <c r="P8" s="1786"/>
      <c r="Q8" s="1786"/>
      <c r="R8" s="2230">
        <v>7</v>
      </c>
      <c r="S8" s="2220"/>
      <c r="T8" s="2230">
        <f t="shared" si="0"/>
        <v>0</v>
      </c>
      <c r="U8" s="2220"/>
      <c r="V8" s="2230">
        <f t="shared" si="1"/>
        <v>0</v>
      </c>
      <c r="W8" s="3816" t="s">
        <v>2055</v>
      </c>
      <c r="X8" s="3817"/>
      <c r="Y8" s="1535" t="s">
        <v>2043</v>
      </c>
      <c r="Z8" s="1535" t="s">
        <v>2044</v>
      </c>
      <c r="AA8" s="1535" t="s">
        <v>2045</v>
      </c>
      <c r="AB8" s="1535" t="s">
        <v>2046</v>
      </c>
      <c r="AC8" s="1535" t="s">
        <v>2047</v>
      </c>
      <c r="AD8" s="1535" t="s">
        <v>2048</v>
      </c>
      <c r="AE8" s="1535" t="s">
        <v>2049</v>
      </c>
      <c r="AF8" s="1535" t="s">
        <v>2050</v>
      </c>
      <c r="AG8" s="1535" t="s">
        <v>2051</v>
      </c>
      <c r="AH8" s="1535" t="s">
        <v>2052</v>
      </c>
      <c r="AI8" s="1535" t="s">
        <v>2053</v>
      </c>
      <c r="AJ8" s="1535" t="s">
        <v>2054</v>
      </c>
    </row>
    <row r="9" spans="1:39" ht="15">
      <c r="A9" s="3257"/>
      <c r="B9" s="1190" t="s">
        <v>865</v>
      </c>
      <c r="C9" s="3264">
        <f>SUMIF(修正!C71:C139,C8,修正!E71:E139)</f>
        <v>0</v>
      </c>
      <c r="D9" s="3265" t="s">
        <v>866</v>
      </c>
      <c r="E9" s="3265" t="e">
        <f>ROUND(C11/E7,4)</f>
        <v>#DIV/0!</v>
      </c>
      <c r="F9" s="3261" t="s">
        <v>867</v>
      </c>
      <c r="G9" s="3262"/>
      <c r="H9" s="3262"/>
      <c r="I9" s="3262"/>
      <c r="J9" s="3263"/>
      <c r="K9" s="1786"/>
      <c r="L9" s="1541" t="s">
        <v>1602</v>
      </c>
      <c r="M9" s="1542">
        <f>SUMPRODUCT((区片价!B277:B326=I2)*(区片价!C3:G3=E2)*(区片价!C277:G326))</f>
        <v>0</v>
      </c>
      <c r="N9" s="1543">
        <f>SUMPRODUCT((因素修正幅度!B277:B326=I2)*(因素修正幅度!C3:G3=E2)*(因素修正幅度!C277:G326))</f>
        <v>0</v>
      </c>
      <c r="O9" s="1786"/>
      <c r="P9" s="1786"/>
      <c r="Q9" s="1786"/>
      <c r="R9" s="2230">
        <v>8</v>
      </c>
      <c r="S9" s="2220"/>
      <c r="T9" s="2230">
        <f t="shared" si="0"/>
        <v>0</v>
      </c>
      <c r="U9" s="2220"/>
      <c r="V9" s="2230">
        <f t="shared" si="1"/>
        <v>0</v>
      </c>
      <c r="W9" s="3815"/>
      <c r="X9" s="2225" t="s">
        <v>3196</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6"/>
      <c r="L10" s="1541" t="s">
        <v>1603</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f t="shared" si="0"/>
        <v>0</v>
      </c>
      <c r="U10" s="2220"/>
      <c r="V10" s="2230">
        <f t="shared" si="1"/>
        <v>0</v>
      </c>
      <c r="W10" s="3815"/>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6"/>
      <c r="L11" s="1541" t="s">
        <v>1604</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f t="shared" si="0"/>
        <v>0</v>
      </c>
      <c r="U11" s="2220"/>
      <c r="V11" s="2230">
        <f t="shared" si="1"/>
        <v>0</v>
      </c>
      <c r="W11" s="1786"/>
      <c r="X11" s="1786"/>
      <c r="Y11" s="1786"/>
      <c r="Z11" s="1786"/>
      <c r="AA11" s="1786"/>
      <c r="AB11" s="1786"/>
      <c r="AC11" s="1787"/>
    </row>
    <row r="12" spans="1:39" ht="25.5" thickBot="1">
      <c r="A12" s="3251" t="s">
        <v>3174</v>
      </c>
      <c r="B12" s="3233" t="s">
        <v>3175</v>
      </c>
      <c r="C12" s="3239">
        <v>1</v>
      </c>
      <c r="D12" s="3234" t="s">
        <v>3176</v>
      </c>
      <c r="E12" s="3235" t="s">
        <v>3177</v>
      </c>
      <c r="F12" s="3236"/>
      <c r="G12" s="3237"/>
      <c r="H12" s="3237"/>
      <c r="I12" s="3237"/>
      <c r="J12" s="3238"/>
      <c r="K12" s="1786"/>
      <c r="L12" s="1544" t="s">
        <v>1605</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f t="shared" si="0"/>
        <v>0</v>
      </c>
      <c r="U12" s="2220"/>
      <c r="V12" s="2230">
        <f t="shared" si="1"/>
        <v>0</v>
      </c>
      <c r="W12" s="1786"/>
      <c r="X12" s="1786"/>
      <c r="Y12" s="1786"/>
      <c r="Z12" s="1786"/>
      <c r="AA12" s="1786"/>
      <c r="AB12" s="1786"/>
      <c r="AC12" s="1787"/>
    </row>
    <row r="13" spans="1:39" ht="15.75" thickBot="1">
      <c r="A13" s="3251" t="s">
        <v>3178</v>
      </c>
      <c r="B13" s="1208" t="s">
        <v>874</v>
      </c>
      <c r="C13" s="3252">
        <f>ROUND(C16*D16*E16*F16*G16*H16*I16*J16,4)</f>
        <v>1.1025</v>
      </c>
      <c r="D13" s="3270" t="s">
        <v>3179</v>
      </c>
      <c r="E13" s="3271"/>
      <c r="F13" s="3271"/>
      <c r="G13" s="3271"/>
      <c r="H13" s="3271"/>
      <c r="I13" s="3271"/>
      <c r="J13" s="3272"/>
      <c r="K13" s="1787"/>
      <c r="L13" s="1787"/>
      <c r="M13" s="1787"/>
      <c r="N13" s="1787"/>
      <c r="O13" s="1787"/>
      <c r="P13" s="1786"/>
      <c r="Q13" s="1786"/>
      <c r="R13" s="2230">
        <v>12</v>
      </c>
      <c r="S13" s="2220"/>
      <c r="T13" s="2230">
        <f t="shared" si="0"/>
        <v>0</v>
      </c>
      <c r="U13" s="2220"/>
      <c r="V13" s="2230">
        <f t="shared" si="1"/>
        <v>0</v>
      </c>
      <c r="W13" s="1786"/>
      <c r="X13" s="1786"/>
      <c r="Y13" s="1786"/>
      <c r="Z13" s="1786"/>
      <c r="AA13" s="1786"/>
      <c r="AB13" s="1786"/>
      <c r="AC13" s="1787"/>
    </row>
    <row r="14" spans="1:39" ht="12.75" customHeight="1">
      <c r="A14" s="3273"/>
      <c r="B14" s="1212" t="s">
        <v>1229</v>
      </c>
      <c r="C14" s="3189" t="s">
        <v>1230</v>
      </c>
      <c r="D14" s="1214" t="s">
        <v>1231</v>
      </c>
      <c r="E14" s="750" t="s">
        <v>3180</v>
      </c>
      <c r="F14" s="3274" t="s">
        <v>1178</v>
      </c>
      <c r="G14" s="3274" t="s">
        <v>1178</v>
      </c>
      <c r="H14" s="3275" t="s">
        <v>1178</v>
      </c>
      <c r="I14" s="3275" t="s">
        <v>1178</v>
      </c>
      <c r="J14" s="3275" t="s">
        <v>1178</v>
      </c>
      <c r="K14" s="2736"/>
      <c r="L14" s="2736"/>
      <c r="M14" s="2736"/>
      <c r="N14" s="2736"/>
      <c r="O14" s="2736"/>
      <c r="P14" s="1786"/>
      <c r="Q14" s="1786"/>
      <c r="R14" s="2230">
        <v>13</v>
      </c>
      <c r="S14" s="2220"/>
      <c r="T14" s="2230">
        <f t="shared" si="0"/>
        <v>0</v>
      </c>
      <c r="U14" s="2220"/>
      <c r="V14" s="2230">
        <f t="shared" si="1"/>
        <v>0</v>
      </c>
      <c r="W14" s="1786"/>
      <c r="X14" s="1786"/>
      <c r="Y14" s="1786"/>
      <c r="Z14" s="1786"/>
      <c r="AA14" s="1786"/>
      <c r="AB14" s="1786"/>
      <c r="AC14" s="1787"/>
    </row>
    <row r="15" spans="1:39" ht="13.5" customHeight="1">
      <c r="A15" s="3273"/>
      <c r="B15" s="1214"/>
      <c r="C15" s="3276" t="s">
        <v>3319</v>
      </c>
      <c r="D15" s="3277" t="s">
        <v>3340</v>
      </c>
      <c r="E15" s="3278" t="s">
        <v>3341</v>
      </c>
      <c r="F15" s="3278"/>
      <c r="G15" s="1036" t="s">
        <v>3181</v>
      </c>
      <c r="H15" s="3242"/>
      <c r="I15" s="3243"/>
      <c r="J15" s="3244"/>
      <c r="K15" s="3245"/>
      <c r="L15" s="1790"/>
      <c r="M15" s="1790"/>
      <c r="N15" s="1790"/>
      <c r="O15" s="1790"/>
      <c r="P15" s="1786"/>
      <c r="Q15" s="1786"/>
      <c r="R15" s="2230">
        <v>14</v>
      </c>
      <c r="S15" s="2220"/>
      <c r="T15" s="2230">
        <f t="shared" si="0"/>
        <v>0</v>
      </c>
      <c r="U15" s="2220"/>
      <c r="V15" s="2230">
        <f t="shared" si="1"/>
        <v>0</v>
      </c>
      <c r="W15" s="1786"/>
      <c r="X15" s="1786"/>
      <c r="Y15" s="1786"/>
      <c r="Z15" s="1786"/>
      <c r="AA15" s="1786"/>
      <c r="AB15" s="1786"/>
      <c r="AC15" s="1787"/>
    </row>
    <row r="16" spans="1:39" ht="24.6" customHeight="1" thickBot="1">
      <c r="A16" s="3273"/>
      <c r="B16" s="2403" t="s">
        <v>1232</v>
      </c>
      <c r="C16" s="3240">
        <v>1</v>
      </c>
      <c r="D16" s="3240">
        <v>1.05</v>
      </c>
      <c r="E16" s="3240">
        <v>1.05</v>
      </c>
      <c r="F16" s="3240">
        <v>1</v>
      </c>
      <c r="G16" s="3240">
        <v>1</v>
      </c>
      <c r="H16" s="3240">
        <v>1</v>
      </c>
      <c r="I16" s="3240">
        <v>1</v>
      </c>
      <c r="J16" s="3241">
        <v>1</v>
      </c>
      <c r="K16" s="1790"/>
      <c r="L16" s="1790"/>
      <c r="M16" s="1790"/>
      <c r="N16" s="1790"/>
      <c r="O16" s="1790"/>
      <c r="P16" s="1786"/>
      <c r="Q16" s="1786"/>
      <c r="R16" s="2230">
        <v>15</v>
      </c>
      <c r="S16" s="2220"/>
      <c r="T16" s="2230">
        <f t="shared" si="0"/>
        <v>0</v>
      </c>
      <c r="U16" s="2220"/>
      <c r="V16" s="2230">
        <f t="shared" si="1"/>
        <v>0</v>
      </c>
      <c r="W16" s="1789"/>
      <c r="X16" s="1789"/>
      <c r="Y16" s="1789"/>
      <c r="Z16" s="1789"/>
      <c r="AA16" s="1789"/>
      <c r="AB16" s="1789"/>
      <c r="AC16" s="1790"/>
    </row>
    <row r="17" spans="1:40" ht="24">
      <c r="A17" s="3280" t="s">
        <v>3182</v>
      </c>
      <c r="B17" s="3281" t="s">
        <v>3183</v>
      </c>
      <c r="C17" s="3289">
        <f>ROUND(IF(OR(E2="工业",E2="公共服务"),1,IF(AND(E18=0,E19=0),1,IF(AND(E18=J24,E19=G19),0.8,IF(E19=0,1+E17*(-0.2),1+E17*G17*(-0.2))))),4)</f>
        <v>1</v>
      </c>
      <c r="D17" s="3282" t="s">
        <v>3184</v>
      </c>
      <c r="E17" s="3289">
        <f>ROUND(G18/I18,2)</f>
        <v>0</v>
      </c>
      <c r="F17" s="3282" t="s">
        <v>3187</v>
      </c>
      <c r="G17" s="3289" t="e">
        <f>ROUND(E19/G19,2)</f>
        <v>#DIV/0!</v>
      </c>
      <c r="H17" s="3289"/>
      <c r="I17" s="3289"/>
      <c r="J17" s="3368"/>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25">
      <c r="A18" s="3273"/>
      <c r="B18" s="3153"/>
      <c r="C18" s="3287"/>
      <c r="D18" s="3283" t="s">
        <v>3185</v>
      </c>
      <c r="E18" s="3288"/>
      <c r="F18" s="3285" t="s">
        <v>3188</v>
      </c>
      <c r="G18" s="3287">
        <f>ROUND(1-(1/(POWER(1+G24,E18))),4)</f>
        <v>0</v>
      </c>
      <c r="H18" s="3285" t="s">
        <v>3190</v>
      </c>
      <c r="I18" s="3287">
        <f>ROUND(1-(1/(POWER(1+G24,J24))),4)</f>
        <v>0.96709999999999996</v>
      </c>
      <c r="J18" s="3369"/>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5" thickBot="1">
      <c r="A19" s="3279"/>
      <c r="B19" s="3156"/>
      <c r="C19" s="3284"/>
      <c r="D19" s="3284" t="s">
        <v>3186</v>
      </c>
      <c r="E19" s="3290"/>
      <c r="F19" s="3286" t="s">
        <v>3189</v>
      </c>
      <c r="G19" s="3290"/>
      <c r="H19" s="3284"/>
      <c r="I19" s="3284"/>
      <c r="J19" s="3370"/>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25">
      <c r="A20" s="3809" t="s">
        <v>1370</v>
      </c>
      <c r="B20" s="1203" t="s">
        <v>875</v>
      </c>
      <c r="C20" s="946">
        <f>ROUND(IF(F21="与级别开发程度一致",0,(G21-E21)/C21),0)</f>
        <v>-58</v>
      </c>
      <c r="D20" s="3821" t="s">
        <v>879</v>
      </c>
      <c r="E20" s="3822"/>
      <c r="F20" s="3821" t="s">
        <v>876</v>
      </c>
      <c r="G20" s="3822"/>
      <c r="H20" s="1215" t="s">
        <v>2747</v>
      </c>
      <c r="I20" s="1215" t="s">
        <v>2748</v>
      </c>
      <c r="J20" s="1215" t="s">
        <v>2750</v>
      </c>
      <c r="K20" s="1215" t="s">
        <v>2754</v>
      </c>
      <c r="L20" s="1215"/>
      <c r="M20" s="1215"/>
      <c r="N20" s="1215"/>
      <c r="O20" s="2408"/>
      <c r="P20" s="1786"/>
      <c r="Q20" s="1789"/>
      <c r="R20" s="1792"/>
      <c r="S20" s="1792"/>
      <c r="T20" s="1792"/>
      <c r="U20" s="1792"/>
      <c r="V20" s="1792"/>
      <c r="W20" s="1792"/>
      <c r="X20" s="1792"/>
      <c r="Y20" s="1219"/>
      <c r="Z20" s="1219"/>
      <c r="AA20" s="1219"/>
      <c r="AB20" s="1219"/>
      <c r="AC20" s="1219"/>
      <c r="AD20" s="1219"/>
    </row>
    <row r="21" spans="1:40" s="1201" customFormat="1" ht="24.75" thickBot="1">
      <c r="A21" s="3810"/>
      <c r="B21" s="2409" t="s">
        <v>878</v>
      </c>
      <c r="C21" s="2410">
        <f>IF(E3="M4科研用地",SUMPRODUCT((修正!A2:A7=E3)*(修正!B1:M1=G2)*(修正!B2:M7)),SUMPRODUCT((修正!A2:A7=E2)*(修正!B1:M1=G2)*(修正!B2:M7)))</f>
        <v>2.5</v>
      </c>
      <c r="D21" s="2411" t="str">
        <f>IF(OR(G2="八级",G2="九级",G2="十级",G2="十一级",G2="十二级"),"五通一平","七通一平")</f>
        <v>七通一平</v>
      </c>
      <c r="E21" s="2401">
        <f>SUMPRODUCT((修正!B1:M1=G2)*(修正!B17:M17))</f>
        <v>315</v>
      </c>
      <c r="F21" s="2402" t="s">
        <v>3342</v>
      </c>
      <c r="G21" s="2401">
        <f>SUM(H21:O21)</f>
        <v>170</v>
      </c>
      <c r="H21" s="945">
        <f>SUMPRODUCT((七通一平=H20)*(修正!B1:M1=G2)*(修正!B8:M16))</f>
        <v>70</v>
      </c>
      <c r="I21" s="945">
        <f>SUMPRODUCT((七通一平=I20)*(修正!B1:M1=G2)*(修正!B8:M16))</f>
        <v>60</v>
      </c>
      <c r="J21" s="945">
        <f>SUMPRODUCT((七通一平=J20)*(修正!B1:M1=G2)*(修正!B8:M16))</f>
        <v>25</v>
      </c>
      <c r="K21" s="945">
        <f>SUMPRODUCT((七通一平=K20)*(修正!B1:M1=G2)*(修正!B8:M16))</f>
        <v>15</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5.75" thickBot="1">
      <c r="A22" s="2092" t="s">
        <v>1358</v>
      </c>
      <c r="B22" s="2404" t="s">
        <v>880</v>
      </c>
      <c r="C22" s="2405">
        <f>SUMIF(修正!C20:C51,E3,修正!E20:E51)</f>
        <v>1</v>
      </c>
      <c r="D22" s="2406"/>
      <c r="E22" s="2407"/>
      <c r="F22" s="2394"/>
      <c r="G22" s="1228"/>
      <c r="H22" s="1228"/>
      <c r="I22" s="1228"/>
      <c r="J22" s="2399"/>
      <c r="K22" s="2735"/>
      <c r="L22" s="1228"/>
      <c r="M22" s="1228"/>
      <c r="N22" s="1228"/>
      <c r="O22" s="1228"/>
      <c r="P22" s="2735"/>
      <c r="Q22" s="1791"/>
      <c r="R22" s="1792"/>
      <c r="S22" s="1792"/>
      <c r="T22" s="1792"/>
      <c r="U22" s="1792"/>
      <c r="V22" s="1792"/>
      <c r="W22" s="1792"/>
      <c r="X22" s="1792"/>
      <c r="Y22" s="1219"/>
      <c r="Z22" s="1219"/>
      <c r="AA22" s="1219"/>
      <c r="AB22" s="1219"/>
      <c r="AC22" s="1219"/>
      <c r="AD22" s="1219"/>
    </row>
    <row r="23" spans="1:40" ht="27.75" thickBot="1">
      <c r="A23" s="1358" t="s">
        <v>1364</v>
      </c>
      <c r="B23" s="1218"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1" t="s">
        <v>882</v>
      </c>
      <c r="E23" s="948">
        <v>44197</v>
      </c>
      <c r="F23" s="1221" t="s">
        <v>883</v>
      </c>
      <c r="G23" s="949">
        <f>'数据-取费表'!B2</f>
        <v>45789</v>
      </c>
      <c r="H23" s="1222" t="s">
        <v>2229</v>
      </c>
      <c r="I23" s="2098" t="str">
        <f>IF(H23="季度增幅（自定义）",SUMIF(N25:N28,E2,O25:O28),"")</f>
        <v/>
      </c>
      <c r="J23" s="3291" t="s">
        <v>3240</v>
      </c>
      <c r="K23" s="2735"/>
      <c r="L23" s="2320" t="s">
        <v>2111</v>
      </c>
      <c r="M23" s="2321">
        <f>ROUND(SUMIF(地价!B2:F2,E2,地价!B41:F41),0)</f>
        <v>423</v>
      </c>
      <c r="N23" s="2100" t="s">
        <v>1211</v>
      </c>
      <c r="O23" s="2099">
        <f>ROUNDDOWN(DATEDIF(E23,G23,"M")/3,0)</f>
        <v>17</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4.75" thickBot="1">
      <c r="A24" s="2092" t="s">
        <v>1365</v>
      </c>
      <c r="B24" s="2093" t="s">
        <v>896</v>
      </c>
      <c r="C24" s="2094">
        <f>ROUND(POWER(1+G24,J24-I24)*(POWER(1+G24,I24)-1)/(POWER(1+G24,J24)-1),4)</f>
        <v>0.99970000000000003</v>
      </c>
      <c r="D24" s="2095" t="s">
        <v>897</v>
      </c>
      <c r="E24" s="2347">
        <f>存贷款利率!E27/100</f>
        <v>4.3499999999999997E-2</v>
      </c>
      <c r="F24" s="2095" t="s">
        <v>898</v>
      </c>
      <c r="G24" s="2096">
        <f>SUMIF(M30:Q30,E2,M33:Q33)</f>
        <v>0.05</v>
      </c>
      <c r="H24" s="2095" t="s">
        <v>899</v>
      </c>
      <c r="I24" s="2091">
        <f>SUMIF('数据-取费表'!C6:C15,E2,'数据-取费表'!F6:F15)/COUNTIF('数据-取费表'!C6:C15,E2)</f>
        <v>69.81</v>
      </c>
      <c r="J24" s="2097">
        <f>IF(E2="住宅",70,IF(E2="商业",40,50))</f>
        <v>70</v>
      </c>
      <c r="K24" s="1790"/>
      <c r="L24" s="2322" t="s">
        <v>2112</v>
      </c>
      <c r="M24" s="2396">
        <f>ROUND(SUMPRODUCT((地价!A4:A41=YEAR(G23)&amp;"-"&amp;ROUNDUP(MONTH(G23)/3,0))*(地价!B2:F2=E2)*(地价!B4:F41)),0)</f>
        <v>0</v>
      </c>
      <c r="N24" s="2103" t="s">
        <v>1922</v>
      </c>
      <c r="O24" s="2101" t="s">
        <v>1921</v>
      </c>
      <c r="P24" s="2102" t="s">
        <v>1927</v>
      </c>
      <c r="Q24" s="2219"/>
      <c r="R24" s="1792"/>
      <c r="S24" s="1792"/>
      <c r="T24" s="1792"/>
      <c r="U24" s="1792"/>
      <c r="V24" s="1792"/>
      <c r="W24" s="1792"/>
      <c r="X24" s="1792"/>
      <c r="Y24" s="1219"/>
      <c r="Z24" s="1219"/>
      <c r="AA24" s="1219"/>
      <c r="AB24" s="1219"/>
      <c r="AC24" s="1219"/>
      <c r="AD24" s="1219"/>
    </row>
    <row r="25" spans="1:40" ht="14.25">
      <c r="A25" s="1360" t="s">
        <v>1366</v>
      </c>
      <c r="B25" s="1227" t="s">
        <v>2257</v>
      </c>
      <c r="C25" s="1002">
        <f>IF(B25="容积率修正",IF(G3&lt;10,D26,J26),C27)</f>
        <v>0.99909999999999999</v>
      </c>
      <c r="D25" s="1228"/>
      <c r="E25" s="1228"/>
      <c r="F25" s="1228"/>
      <c r="G25" s="1228"/>
      <c r="H25" s="1228"/>
      <c r="I25" s="1228"/>
      <c r="J25" s="1229"/>
      <c r="K25" s="2735"/>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3191</v>
      </c>
      <c r="D26" s="950">
        <f>IF(E26=G26,F26,IF(G3&lt;10,ROUND(F26+(H26-F26)*(G3-E26)/(G26-E26),4),"——"))</f>
        <v>0.99909999999999999</v>
      </c>
      <c r="E26" s="940">
        <f>ROUNDDOWN(G3,1)</f>
        <v>2.5</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0">
        <f>ROUNDUP(G3,1)</f>
        <v>2.6</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2" t="s">
        <v>3192</v>
      </c>
      <c r="J26" s="950"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1">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75" thickBot="1">
      <c r="A28" s="1359" t="s">
        <v>1397</v>
      </c>
      <c r="B28" s="1195" t="s">
        <v>904</v>
      </c>
      <c r="C28" s="952">
        <f>SUMIF(A47:A101,E2,B47:B101)</f>
        <v>1.0422</v>
      </c>
      <c r="D28" s="1278"/>
      <c r="E28" s="1279"/>
      <c r="F28" s="1279"/>
      <c r="G28" s="1279"/>
      <c r="H28" s="1279"/>
      <c r="I28" s="1279"/>
      <c r="J28" s="1279"/>
      <c r="K28" s="1792"/>
      <c r="L28" s="1228"/>
      <c r="M28" s="1228"/>
      <c r="N28" s="1225" t="s">
        <v>905</v>
      </c>
      <c r="O28" s="2395"/>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5" thickBot="1">
      <c r="A29" s="1359" t="s">
        <v>1398</v>
      </c>
      <c r="B29" s="1232" t="s">
        <v>906</v>
      </c>
      <c r="C29" s="1233"/>
      <c r="D29" s="1205"/>
      <c r="E29" s="1205"/>
      <c r="F29" s="1234"/>
      <c r="G29" s="1205"/>
      <c r="H29" s="1205"/>
      <c r="I29" s="1205"/>
      <c r="J29" s="1206"/>
      <c r="K29" s="1786"/>
      <c r="L29" s="1792"/>
      <c r="M29" s="1792"/>
      <c r="N29" s="2397" t="s">
        <v>1925</v>
      </c>
      <c r="O29" s="2398"/>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3.5">
      <c r="A30" s="1235"/>
      <c r="B30" s="1230" t="s">
        <v>910</v>
      </c>
      <c r="C30" s="2550">
        <f>IF(B25="容积率修正",E33+SUM(E37:E42),SUM(V2:V16)+SUM(E37:E42))</f>
        <v>184198</v>
      </c>
      <c r="D30" s="1236"/>
      <c r="E30" s="1183"/>
      <c r="F30" s="1237"/>
      <c r="G30" s="1183"/>
      <c r="H30" s="1183"/>
      <c r="I30" s="1183"/>
      <c r="J30" s="1238"/>
      <c r="K30" s="1786"/>
      <c r="L30" s="1324" t="s">
        <v>833</v>
      </c>
      <c r="M30" s="1204" t="s">
        <v>907</v>
      </c>
      <c r="N30" s="1204" t="s">
        <v>908</v>
      </c>
      <c r="O30" s="1204" t="s">
        <v>835</v>
      </c>
      <c r="P30" s="1223" t="s">
        <v>909</v>
      </c>
      <c r="Q30" s="1223" t="s">
        <v>3218</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4.25" thickBot="1">
      <c r="A31" s="1235"/>
      <c r="B31" s="1239" t="s">
        <v>912</v>
      </c>
      <c r="C31" s="954">
        <f>E34+SUM(I37:I42)</f>
        <v>1194</v>
      </c>
      <c r="D31" s="1240"/>
      <c r="E31" s="1241"/>
      <c r="F31" s="1242"/>
      <c r="G31" s="1241"/>
      <c r="H31" s="1241"/>
      <c r="I31" s="1241"/>
      <c r="J31" s="1243"/>
      <c r="K31" s="1786"/>
      <c r="L31" s="1216" t="s">
        <v>911</v>
      </c>
      <c r="M31" s="943">
        <v>0.25</v>
      </c>
      <c r="N31" s="943">
        <v>0.2</v>
      </c>
      <c r="O31" s="943">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ht="12.75">
      <c r="A33" s="1248"/>
      <c r="B33" s="1249" t="s">
        <v>917</v>
      </c>
      <c r="C33" s="953">
        <f>ROUND(C5*C22*C23*C24*C25*C28,0)</f>
        <v>19435</v>
      </c>
      <c r="D33" s="1250">
        <f>'数据-汇总表'!F31</f>
        <v>92319.75</v>
      </c>
      <c r="E33" s="1535">
        <f>ROUND(C33*D33/10000,0)</f>
        <v>179423</v>
      </c>
      <c r="F33" s="3293" t="s">
        <v>3193</v>
      </c>
      <c r="G33" s="1251"/>
      <c r="H33" s="1251"/>
      <c r="I33" s="1251"/>
      <c r="J33" s="1252"/>
      <c r="K33" s="2739"/>
      <c r="L33" s="3361" t="s">
        <v>3219</v>
      </c>
      <c r="M33" s="3362">
        <v>5.5E-2</v>
      </c>
      <c r="N33" s="3362">
        <v>5.5E-2</v>
      </c>
      <c r="O33" s="3362">
        <v>0.05</v>
      </c>
      <c r="P33" s="3362">
        <v>0.05</v>
      </c>
      <c r="Q33" s="3362">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4.75" thickBot="1">
      <c r="A34" s="1253"/>
      <c r="B34" s="1254" t="s">
        <v>918</v>
      </c>
      <c r="C34" s="945">
        <f>ROUND(IF(E2="工业",C33*M42,IF(B25="楼层修正",SUM(V2:V16)*M41*10000/D34,C33*M41)),0)</f>
        <v>4859</v>
      </c>
      <c r="D34" s="1255"/>
      <c r="E34" s="1535">
        <f>ROUND(IF(B25="楼层修正",SUM(V2:V16)*#REF!,C34*D34/10000),0)</f>
        <v>0</v>
      </c>
      <c r="F34" s="3294" t="s">
        <v>3194</v>
      </c>
      <c r="G34" s="1256"/>
      <c r="H34" s="1256"/>
      <c r="I34" s="1256"/>
      <c r="J34" s="1257"/>
      <c r="K34" s="1786"/>
      <c r="L34" s="3361" t="s">
        <v>3220</v>
      </c>
      <c r="M34" s="3362">
        <v>6.5000000000000002E-2</v>
      </c>
      <c r="N34" s="3362">
        <v>6.5000000000000002E-2</v>
      </c>
      <c r="O34" s="3362">
        <v>0.06</v>
      </c>
      <c r="P34" s="3362">
        <v>0.06</v>
      </c>
      <c r="Q34" s="3362">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3221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13.5" thickBot="1">
      <c r="A37" s="3813"/>
      <c r="B37" s="1268" t="s">
        <v>923</v>
      </c>
      <c r="C37" s="953">
        <f>ROUND(D5*C22*C23*C24*C28*F37,0)</f>
        <v>10582</v>
      </c>
      <c r="D37" s="1280"/>
      <c r="E37" s="944">
        <f>ROUND(C37*D37/10000,0)</f>
        <v>0</v>
      </c>
      <c r="F37" s="944">
        <f>SUMIF(修正!A57:A68,G2,修正!B57:B68)</f>
        <v>0.6</v>
      </c>
      <c r="G37" s="944">
        <f>ROUND(IF(E2="工业",C37*$M$42,C37*$M$41),0)</f>
        <v>2646</v>
      </c>
      <c r="H37" s="944">
        <f>D37</f>
        <v>0</v>
      </c>
      <c r="I37" s="944">
        <f>ROUND(G37*H37/10000,0)</f>
        <v>0</v>
      </c>
      <c r="J37" s="3813"/>
      <c r="K37" s="3364" t="s">
        <v>3222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7"/>
      <c r="S37" s="1787"/>
      <c r="T37" s="1787"/>
      <c r="U37" s="1787"/>
      <c r="V37" s="1787"/>
      <c r="W37" s="1786"/>
      <c r="X37" s="1786"/>
      <c r="Y37" s="1786"/>
      <c r="Z37" s="1786"/>
      <c r="AA37" s="1786"/>
      <c r="AB37" s="1786"/>
      <c r="AC37" s="1787"/>
    </row>
    <row r="38" spans="1:44" ht="12.75">
      <c r="A38" s="3814"/>
      <c r="B38" s="1213" t="s">
        <v>924</v>
      </c>
      <c r="C38" s="953">
        <f>ROUND(D5*C22*C23*C24*C28*F38,0)</f>
        <v>5291</v>
      </c>
      <c r="D38" s="1280"/>
      <c r="E38" s="944">
        <f t="shared" ref="E38:E42" si="4">ROUND(C38*D38/10000,0)</f>
        <v>0</v>
      </c>
      <c r="F38" s="944">
        <f>SUMIF(修正!A57:A68,G2,修正!C57:C68)</f>
        <v>0.3</v>
      </c>
      <c r="G38" s="944">
        <f>ROUND(IF(E2="工业",C38*$M$42,C38*$M$41),0)</f>
        <v>1323</v>
      </c>
      <c r="H38" s="944">
        <f t="shared" ref="H38:H42" si="5">D38</f>
        <v>0</v>
      </c>
      <c r="I38" s="944">
        <f t="shared" ref="I38:I42" si="6">ROUND(G38*H38/10000,0)</f>
        <v>0</v>
      </c>
      <c r="J38" s="3814"/>
      <c r="K38" s="3363">
        <v>5.0000000000000001E-3</v>
      </c>
      <c r="L38" s="3363"/>
      <c r="M38" s="3363"/>
      <c r="N38" s="3363"/>
      <c r="O38" s="3363"/>
      <c r="P38" s="3363"/>
      <c r="Q38" s="3363"/>
      <c r="R38" s="1787"/>
      <c r="S38" s="1787"/>
      <c r="T38" s="1787"/>
      <c r="U38" s="1787"/>
      <c r="V38" s="1787"/>
      <c r="W38" s="1786"/>
      <c r="X38" s="1786"/>
      <c r="Y38" s="1786"/>
      <c r="Z38" s="1786"/>
      <c r="AA38" s="1786"/>
      <c r="AB38" s="1786"/>
      <c r="AC38" s="1787"/>
    </row>
    <row r="39" spans="1:44" ht="13.5" thickBot="1">
      <c r="A39" s="3814"/>
      <c r="B39" s="3295" t="s">
        <v>3195</v>
      </c>
      <c r="C39" s="953">
        <f>ROUND(D5*C22*C23*C24*C28*F39,0)</f>
        <v>4409</v>
      </c>
      <c r="D39" s="1280"/>
      <c r="E39" s="944">
        <f t="shared" si="4"/>
        <v>0</v>
      </c>
      <c r="F39" s="944">
        <f>SUMIF(修正!A57:A68,G2,修正!D57:D68)</f>
        <v>0.25</v>
      </c>
      <c r="G39" s="944">
        <f>ROUND(IF(E2="工业",C39*$M$42,C39*$M$41),0)</f>
        <v>1102</v>
      </c>
      <c r="H39" s="944">
        <f t="shared" si="5"/>
        <v>0</v>
      </c>
      <c r="I39" s="944">
        <f t="shared" si="6"/>
        <v>0</v>
      </c>
      <c r="J39" s="3814"/>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ht="12.75">
      <c r="A40" s="1267"/>
      <c r="B40" s="1213" t="s">
        <v>925</v>
      </c>
      <c r="C40" s="944">
        <f>ROUND(D5*C22*C23*C24*C28*F40,0)</f>
        <v>4409</v>
      </c>
      <c r="D40" s="1280"/>
      <c r="E40" s="944">
        <f t="shared" si="4"/>
        <v>0</v>
      </c>
      <c r="F40" s="953">
        <f>SUMIF(修正!A57:A68,G2,修正!E57:E68)</f>
        <v>0.25</v>
      </c>
      <c r="G40" s="944">
        <f>ROUND(IF(E2="工业",C40*$M$42,C40*$M$41),0)</f>
        <v>1102</v>
      </c>
      <c r="H40" s="944">
        <f t="shared" si="5"/>
        <v>0</v>
      </c>
      <c r="I40" s="944">
        <f t="shared" si="6"/>
        <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ht="12.75">
      <c r="A41" s="1267"/>
      <c r="B41" s="1213" t="s">
        <v>926</v>
      </c>
      <c r="C41" s="944">
        <f>ROUND(D5*C22*C23*C44*C28*F41,0)</f>
        <v>4407</v>
      </c>
      <c r="D41" s="1280"/>
      <c r="E41" s="944">
        <f t="shared" si="4"/>
        <v>0</v>
      </c>
      <c r="F41" s="953">
        <f>SUMIF(修正!A57:A68,G2,修正!F57:F68)</f>
        <v>0.25</v>
      </c>
      <c r="G41" s="944">
        <f>ROUND(IF(E2="工业",C41*$M$42,C41*$M$41),0)</f>
        <v>1102</v>
      </c>
      <c r="H41" s="944">
        <f t="shared" si="5"/>
        <v>0</v>
      </c>
      <c r="I41" s="944">
        <f t="shared" si="6"/>
        <v>0</v>
      </c>
      <c r="J41" s="1269"/>
      <c r="K41" s="1786"/>
      <c r="L41" s="3367" t="s">
        <v>3223</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5" thickBot="1">
      <c r="A42" s="1253"/>
      <c r="B42" s="1270" t="s">
        <v>927</v>
      </c>
      <c r="C42" s="945">
        <f>ROUND(D5*C22*C23*C44*C28*F42,0)</f>
        <v>2644</v>
      </c>
      <c r="D42" s="1281">
        <f>'数据-汇总表'!G20</f>
        <v>18058.14</v>
      </c>
      <c r="E42" s="945">
        <f t="shared" si="4"/>
        <v>4775</v>
      </c>
      <c r="F42" s="955">
        <f>SUMIF(修正!A57:A68,G2,修正!G57:G68)</f>
        <v>0.15</v>
      </c>
      <c r="G42" s="945">
        <f>ROUND(IF(E2="工业",C42*$M$42,C42*$M$41),0)</f>
        <v>661</v>
      </c>
      <c r="H42" s="945">
        <f t="shared" si="5"/>
        <v>18058.14</v>
      </c>
      <c r="I42" s="945">
        <f t="shared" si="6"/>
        <v>1194</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ht="12.75">
      <c r="A44" s="1185"/>
      <c r="B44" s="2393" t="s">
        <v>2225</v>
      </c>
      <c r="C44" s="773">
        <f>ROUND(POWER(1+E44,H44-G44)*(POWER(1+E44,G44)-1)/(POWER(1+E44,H44)-1),4)</f>
        <v>0.99909999999999999</v>
      </c>
      <c r="D44" s="348" t="s">
        <v>2223</v>
      </c>
      <c r="E44" s="2392">
        <f>G24</f>
        <v>0.05</v>
      </c>
      <c r="F44" s="348" t="s">
        <v>2224</v>
      </c>
      <c r="G44" s="366">
        <f>'数据-取费表'!F7</f>
        <v>49.8</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5"/>
      <c r="P47" s="1795"/>
      <c r="Q47" s="1795"/>
      <c r="R47" s="1795"/>
      <c r="S47" s="1795"/>
      <c r="T47" s="1795"/>
      <c r="U47" s="1795"/>
      <c r="V47" s="1795"/>
      <c r="W47" s="1795"/>
      <c r="X47" s="1795"/>
      <c r="Y47" s="1795"/>
      <c r="Z47" s="1795"/>
      <c r="AA47" s="1795"/>
      <c r="AB47" s="1795"/>
      <c r="AC47" s="1795"/>
      <c r="AD47" s="1795"/>
    </row>
    <row r="48" spans="1:44" s="3308" customFormat="1" ht="15" hidden="1">
      <c r="A48" s="3309" t="s">
        <v>929</v>
      </c>
      <c r="B48" s="3371">
        <f>1+E50</f>
        <v>1</v>
      </c>
      <c r="C48" s="3310"/>
      <c r="D48" s="3311"/>
      <c r="E48" s="3312"/>
      <c r="F48" s="3304"/>
      <c r="G48" s="3307"/>
      <c r="H48" s="3307"/>
      <c r="I48" s="3163"/>
      <c r="J48" s="3163"/>
      <c r="K48" s="3163"/>
      <c r="L48" s="3163"/>
      <c r="M48" s="3163"/>
      <c r="O48" s="1795"/>
      <c r="P48" s="1795"/>
      <c r="Q48" s="1795"/>
      <c r="R48" s="1795"/>
      <c r="S48" s="1795"/>
      <c r="T48" s="1795"/>
      <c r="U48" s="1795"/>
      <c r="V48" s="1795"/>
      <c r="W48" s="1795"/>
      <c r="X48" s="1795"/>
      <c r="Y48" s="1795"/>
      <c r="Z48" s="1795"/>
      <c r="AA48" s="1795"/>
      <c r="AB48" s="1795"/>
      <c r="AC48" s="1795"/>
      <c r="AD48" s="1795"/>
    </row>
    <row r="49" spans="1:30" s="3308" customFormat="1" ht="24" hidden="1">
      <c r="A49" s="3313" t="s">
        <v>930</v>
      </c>
      <c r="B49" s="3314" t="s">
        <v>931</v>
      </c>
      <c r="C49" s="3315" t="s">
        <v>932</v>
      </c>
      <c r="D49" s="3316" t="s">
        <v>933</v>
      </c>
      <c r="E49" s="3317" t="s">
        <v>935</v>
      </c>
      <c r="F49" s="3191" t="s">
        <v>1606</v>
      </c>
      <c r="G49" s="3316" t="s">
        <v>936</v>
      </c>
      <c r="H49" s="3318" t="s">
        <v>1767</v>
      </c>
      <c r="I49" s="3316" t="s">
        <v>934</v>
      </c>
      <c r="J49" s="3319" t="s">
        <v>937</v>
      </c>
      <c r="K49" s="3319" t="s">
        <v>938</v>
      </c>
      <c r="L49" s="3319" t="s">
        <v>939</v>
      </c>
      <c r="M49" s="3319" t="s">
        <v>940</v>
      </c>
      <c r="N49" s="3319" t="s">
        <v>941</v>
      </c>
      <c r="P49" s="1795"/>
      <c r="Q49" s="1795"/>
      <c r="R49" s="1795"/>
      <c r="S49" s="1795"/>
      <c r="T49" s="1795"/>
      <c r="U49" s="1795"/>
      <c r="V49" s="1795"/>
      <c r="W49" s="1795"/>
      <c r="X49" s="1795"/>
      <c r="Y49" s="1795"/>
      <c r="Z49" s="1795"/>
      <c r="AA49" s="1795"/>
      <c r="AB49" s="1795"/>
      <c r="AC49" s="1795"/>
      <c r="AD49" s="1795"/>
    </row>
    <row r="50" spans="1:30" s="3308" customFormat="1" ht="24" hidden="1">
      <c r="A50" s="3313" t="s">
        <v>942</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5"/>
      <c r="Q50" s="1795"/>
      <c r="R50" s="1795"/>
      <c r="S50" s="1795"/>
      <c r="T50" s="1795"/>
      <c r="U50" s="1795"/>
      <c r="V50" s="1795"/>
      <c r="W50" s="1795"/>
      <c r="X50" s="1795"/>
      <c r="Y50" s="1795"/>
      <c r="Z50" s="1795"/>
      <c r="AA50" s="1795"/>
      <c r="AB50" s="1795"/>
      <c r="AC50" s="1795"/>
      <c r="AD50" s="1795"/>
    </row>
    <row r="51" spans="1:30" s="3308" customFormat="1" ht="24" hidden="1">
      <c r="A51" s="3313" t="s">
        <v>943</v>
      </c>
      <c r="B51" s="3314" t="str">
        <f>估价对象房地状况!C18</f>
        <v>451、488、615等，地铁6、八通线等</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5"/>
      <c r="Q51" s="1795"/>
      <c r="R51" s="1795"/>
      <c r="S51" s="1795"/>
      <c r="T51" s="1795"/>
      <c r="U51" s="1795"/>
      <c r="V51" s="1795"/>
      <c r="W51" s="1795"/>
      <c r="X51" s="1795"/>
      <c r="Y51" s="1795"/>
      <c r="Z51" s="1795"/>
      <c r="AA51" s="1795"/>
      <c r="AB51" s="1795"/>
      <c r="AC51" s="1795"/>
      <c r="AD51" s="1795"/>
    </row>
    <row r="52" spans="1:30" s="3308" customFormat="1" ht="36" hidden="1">
      <c r="A52" s="3296" t="s">
        <v>3197</v>
      </c>
      <c r="B52" s="3314" t="str">
        <f>估价对象房地状况!C19</f>
        <v>较好</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5"/>
      <c r="Q52" s="1795"/>
      <c r="R52" s="1795"/>
      <c r="S52" s="1795"/>
      <c r="T52" s="1795"/>
      <c r="U52" s="1795"/>
      <c r="V52" s="1795"/>
      <c r="W52" s="1795"/>
      <c r="X52" s="1795"/>
      <c r="Y52" s="1795"/>
      <c r="Z52" s="1795"/>
      <c r="AA52" s="1795"/>
      <c r="AB52" s="1795"/>
      <c r="AC52" s="1795"/>
      <c r="AD52" s="1795"/>
    </row>
    <row r="53" spans="1:30" s="3308" customFormat="1" ht="36" hidden="1">
      <c r="A53" s="3313" t="s">
        <v>945</v>
      </c>
      <c r="B53" s="3329" t="s">
        <v>2182</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5"/>
      <c r="Q53" s="1795"/>
      <c r="R53" s="1795"/>
      <c r="S53" s="1795"/>
      <c r="T53" s="1795"/>
      <c r="U53" s="1795"/>
      <c r="V53" s="1795"/>
      <c r="W53" s="1795"/>
      <c r="X53" s="1795"/>
      <c r="Y53" s="1795"/>
      <c r="Z53" s="1795"/>
      <c r="AA53" s="1795"/>
      <c r="AB53" s="1795"/>
      <c r="AC53" s="1795"/>
      <c r="AD53" s="1795"/>
    </row>
    <row r="54" spans="1:30" s="3308" customFormat="1" ht="24" hidden="1">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5"/>
      <c r="Q54" s="1795"/>
      <c r="R54" s="1795"/>
      <c r="S54" s="1795"/>
      <c r="T54" s="1795"/>
      <c r="U54" s="1795"/>
      <c r="V54" s="1795"/>
      <c r="W54" s="1795"/>
      <c r="X54" s="1795"/>
      <c r="Y54" s="1795"/>
      <c r="Z54" s="1795"/>
      <c r="AA54" s="1795"/>
      <c r="AB54" s="1795"/>
      <c r="AC54" s="1795"/>
      <c r="AD54" s="1795"/>
    </row>
    <row r="55" spans="1:30" s="3308" customFormat="1" ht="24" hidden="1">
      <c r="A55" s="3313" t="s">
        <v>947</v>
      </c>
      <c r="B55" s="3330" t="s">
        <v>2181</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5"/>
      <c r="Q55" s="1795"/>
      <c r="R55" s="1795"/>
      <c r="S55" s="1795"/>
      <c r="T55" s="1795"/>
      <c r="U55" s="1795"/>
      <c r="V55" s="1795"/>
      <c r="W55" s="1795"/>
      <c r="X55" s="1795"/>
      <c r="Y55" s="1795"/>
      <c r="Z55" s="1795"/>
      <c r="AA55" s="1795"/>
      <c r="AB55" s="1795"/>
      <c r="AC55" s="1795"/>
      <c r="AD55" s="1795"/>
    </row>
    <row r="56" spans="1:30" s="3308" customFormat="1" ht="24" hidden="1">
      <c r="A56" s="3331" t="s">
        <v>948</v>
      </c>
      <c r="B56" s="3332" t="str">
        <f>估价对象房地状况!C21</f>
        <v>较好</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5"/>
      <c r="Q56" s="1795"/>
      <c r="R56" s="1795"/>
      <c r="S56" s="1795"/>
      <c r="T56" s="1795"/>
      <c r="U56" s="1795"/>
      <c r="V56" s="1795"/>
      <c r="W56" s="1795"/>
      <c r="X56" s="1795"/>
      <c r="Y56" s="1795"/>
      <c r="Z56" s="1795"/>
      <c r="AA56" s="1795"/>
      <c r="AB56" s="1795"/>
      <c r="AC56" s="1795"/>
      <c r="AD56" s="1795"/>
    </row>
    <row r="57" spans="1:30" s="3308" customFormat="1" ht="24" hidden="1">
      <c r="A57" s="3331" t="s">
        <v>949</v>
      </c>
      <c r="B57" s="3314" t="str">
        <f>估价对象房地状况!C22</f>
        <v>七通</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5"/>
      <c r="Q57" s="1795"/>
      <c r="R57" s="1795"/>
      <c r="S57" s="1795"/>
      <c r="T57" s="1795"/>
      <c r="U57" s="1795"/>
      <c r="V57" s="1795"/>
      <c r="W57" s="1795"/>
      <c r="X57" s="1795"/>
      <c r="Y57" s="1795"/>
      <c r="Z57" s="1795"/>
      <c r="AA57" s="1795"/>
      <c r="AB57" s="1795"/>
      <c r="AC57" s="1795"/>
      <c r="AD57" s="1795"/>
    </row>
    <row r="58" spans="1:30" s="3308" customFormat="1" ht="24.75" hidden="1" thickBot="1">
      <c r="A58" s="3333" t="s">
        <v>950</v>
      </c>
      <c r="B58" s="3334" t="str">
        <f>估价对象房地状况!C20</f>
        <v>黄渠公园、二外，较好</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5"/>
      <c r="Q58" s="1795"/>
      <c r="R58" s="1795"/>
      <c r="S58" s="1795"/>
      <c r="T58" s="1795"/>
      <c r="U58" s="1795"/>
      <c r="V58" s="1795"/>
      <c r="W58" s="1795"/>
      <c r="X58" s="1795"/>
      <c r="Y58" s="1795"/>
      <c r="Z58" s="1795"/>
      <c r="AA58" s="1795"/>
      <c r="AB58" s="1795"/>
      <c r="AC58" s="1795"/>
      <c r="AD58" s="1795"/>
    </row>
    <row r="59" spans="1:30" s="3308" customFormat="1" ht="15" hidden="1">
      <c r="A59" s="3309" t="s">
        <v>951</v>
      </c>
      <c r="B59" s="3371">
        <f>1+E61</f>
        <v>1</v>
      </c>
      <c r="C59" s="3336"/>
      <c r="D59" s="3311"/>
      <c r="E59" s="3312"/>
      <c r="F59" s="3304"/>
      <c r="G59" s="3307"/>
      <c r="H59" s="3307"/>
      <c r="I59" s="3307"/>
      <c r="J59" s="3163"/>
      <c r="K59" s="3163"/>
      <c r="L59" s="3163"/>
      <c r="M59" s="3163"/>
      <c r="N59" s="3163"/>
      <c r="P59" s="1795"/>
      <c r="Q59" s="1795"/>
      <c r="R59" s="1795"/>
      <c r="S59" s="1795"/>
      <c r="T59" s="1795"/>
      <c r="U59" s="1795"/>
      <c r="V59" s="1795"/>
      <c r="W59" s="1795"/>
      <c r="X59" s="1795"/>
      <c r="Y59" s="1795"/>
      <c r="Z59" s="1795"/>
      <c r="AA59" s="1795"/>
      <c r="AB59" s="1795"/>
      <c r="AC59" s="1795"/>
      <c r="AD59" s="1795"/>
    </row>
    <row r="60" spans="1:30" s="3308" customFormat="1" ht="24" hidden="1">
      <c r="A60" s="3313" t="s">
        <v>930</v>
      </c>
      <c r="B60" s="3314"/>
      <c r="C60" s="3315" t="s">
        <v>932</v>
      </c>
      <c r="D60" s="3316" t="s">
        <v>933</v>
      </c>
      <c r="E60" s="3317" t="s">
        <v>935</v>
      </c>
      <c r="F60" s="3191" t="s">
        <v>1607</v>
      </c>
      <c r="G60" s="3316" t="s">
        <v>936</v>
      </c>
      <c r="H60" s="3318" t="s">
        <v>1767</v>
      </c>
      <c r="I60" s="3316" t="s">
        <v>934</v>
      </c>
      <c r="J60" s="3319" t="s">
        <v>937</v>
      </c>
      <c r="K60" s="3319" t="s">
        <v>938</v>
      </c>
      <c r="L60" s="3319" t="s">
        <v>939</v>
      </c>
      <c r="M60" s="3319" t="s">
        <v>940</v>
      </c>
      <c r="N60" s="3319" t="s">
        <v>941</v>
      </c>
      <c r="P60" s="1795"/>
      <c r="Q60" s="1795"/>
      <c r="R60" s="1795"/>
      <c r="S60" s="1795"/>
      <c r="T60" s="1795"/>
      <c r="U60" s="1795"/>
      <c r="V60" s="1795"/>
      <c r="W60" s="1795"/>
      <c r="X60" s="1795"/>
      <c r="Y60" s="1795"/>
      <c r="Z60" s="1795"/>
      <c r="AA60" s="1795"/>
      <c r="AB60" s="1795"/>
      <c r="AC60" s="1795"/>
      <c r="AD60" s="1795"/>
    </row>
    <row r="61" spans="1:30" s="3308" customFormat="1" ht="24" hidden="1">
      <c r="A61" s="3313" t="s">
        <v>952</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5"/>
      <c r="Q61" s="1795"/>
      <c r="R61" s="1795"/>
      <c r="S61" s="1795"/>
      <c r="T61" s="1795"/>
      <c r="U61" s="1795"/>
      <c r="V61" s="1795"/>
      <c r="W61" s="1795"/>
      <c r="X61" s="1795"/>
      <c r="Y61" s="1795"/>
      <c r="Z61" s="1795"/>
      <c r="AA61" s="1795"/>
      <c r="AB61" s="1795"/>
      <c r="AC61" s="1795"/>
      <c r="AD61" s="1795"/>
    </row>
    <row r="62" spans="1:30" s="3308" customFormat="1" ht="24" hidden="1">
      <c r="A62" s="3313" t="s">
        <v>943</v>
      </c>
      <c r="B62" s="3314" t="str">
        <f>估价对象房地状况!C18</f>
        <v>451、488、615等，地铁6、八通线等</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5"/>
      <c r="Q62" s="1795"/>
      <c r="R62" s="1795"/>
      <c r="S62" s="1795"/>
      <c r="T62" s="1795"/>
      <c r="U62" s="1795"/>
      <c r="V62" s="1795"/>
      <c r="W62" s="1795"/>
      <c r="X62" s="1795"/>
      <c r="Y62" s="1795"/>
      <c r="Z62" s="1795"/>
      <c r="AA62" s="1795"/>
      <c r="AB62" s="1795"/>
      <c r="AC62" s="1795"/>
      <c r="AD62" s="1795"/>
    </row>
    <row r="63" spans="1:30" s="3308" customFormat="1" ht="36" hidden="1">
      <c r="A63" s="3296" t="s">
        <v>3197</v>
      </c>
      <c r="B63" s="3314" t="str">
        <f>估价对象房地状况!C19</f>
        <v>较好</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5"/>
      <c r="Q63" s="1795"/>
      <c r="R63" s="1795"/>
      <c r="S63" s="1795"/>
      <c r="T63" s="1795"/>
      <c r="U63" s="1795"/>
      <c r="V63" s="1795"/>
      <c r="W63" s="1795"/>
      <c r="X63" s="1795"/>
      <c r="Y63" s="1795"/>
      <c r="Z63" s="1795"/>
      <c r="AA63" s="1795"/>
      <c r="AB63" s="1795"/>
      <c r="AC63" s="1795"/>
      <c r="AD63" s="1795"/>
    </row>
    <row r="64" spans="1:30" s="3308" customFormat="1" ht="36" hidden="1">
      <c r="A64" s="3313" t="s">
        <v>945</v>
      </c>
      <c r="B64" s="3329" t="s">
        <v>2183</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5"/>
      <c r="Q64" s="1795"/>
      <c r="R64" s="1795"/>
      <c r="S64" s="1795"/>
      <c r="T64" s="1795"/>
      <c r="U64" s="1795"/>
      <c r="V64" s="1795"/>
      <c r="W64" s="1795"/>
      <c r="X64" s="1795"/>
      <c r="Y64" s="1795"/>
      <c r="Z64" s="1795"/>
      <c r="AA64" s="1795"/>
      <c r="AB64" s="1795"/>
      <c r="AC64" s="1795"/>
      <c r="AD64" s="1795"/>
    </row>
    <row r="65" spans="1:36" s="3308" customFormat="1" ht="24" hidden="1">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5"/>
      <c r="Q65" s="1795"/>
      <c r="R65" s="1795"/>
      <c r="S65" s="1795"/>
      <c r="T65" s="1795"/>
      <c r="U65" s="1795"/>
      <c r="V65" s="1795"/>
      <c r="W65" s="1795"/>
      <c r="X65" s="1795"/>
      <c r="Y65" s="1795"/>
      <c r="Z65" s="1795"/>
      <c r="AA65" s="1795"/>
      <c r="AB65" s="1795"/>
      <c r="AC65" s="1795"/>
      <c r="AD65" s="1795"/>
    </row>
    <row r="66" spans="1:36" s="3308" customFormat="1" ht="24" hidden="1">
      <c r="A66" s="3313" t="s">
        <v>947</v>
      </c>
      <c r="B66" s="3330" t="s">
        <v>2181</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5"/>
      <c r="Q66" s="1795"/>
      <c r="R66" s="1795"/>
      <c r="S66" s="1795"/>
      <c r="T66" s="1795"/>
      <c r="U66" s="1795"/>
      <c r="V66" s="1795"/>
      <c r="W66" s="1795"/>
      <c r="X66" s="1795"/>
      <c r="Y66" s="1795"/>
      <c r="Z66" s="1795"/>
      <c r="AA66" s="1795"/>
      <c r="AB66" s="1795"/>
      <c r="AC66" s="1795"/>
      <c r="AD66" s="1795"/>
    </row>
    <row r="67" spans="1:36" s="3308" customFormat="1" ht="24" hidden="1">
      <c r="A67" s="3313" t="s">
        <v>948</v>
      </c>
      <c r="B67" s="3332" t="str">
        <f>估价对象房地状况!C21</f>
        <v>较好</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5"/>
      <c r="Q67" s="1795"/>
      <c r="R67" s="1795"/>
      <c r="S67" s="1795"/>
      <c r="T67" s="1795"/>
      <c r="U67" s="1795"/>
      <c r="V67" s="1795"/>
      <c r="W67" s="1795"/>
      <c r="X67" s="1795"/>
      <c r="Y67" s="1795"/>
      <c r="Z67" s="1795"/>
      <c r="AA67" s="1795"/>
      <c r="AB67" s="1795"/>
      <c r="AC67" s="1795"/>
      <c r="AD67" s="1795"/>
    </row>
    <row r="68" spans="1:36" s="3308" customFormat="1" ht="24" hidden="1">
      <c r="A68" s="3313" t="s">
        <v>949</v>
      </c>
      <c r="B68" s="3332" t="str">
        <f>估价对象房地状况!C22</f>
        <v>七通</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5"/>
      <c r="Q68" s="1795"/>
      <c r="R68" s="1795"/>
      <c r="S68" s="1795"/>
      <c r="T68" s="1795"/>
      <c r="U68" s="1795"/>
      <c r="V68" s="1795"/>
      <c r="W68" s="1795"/>
      <c r="X68" s="1795"/>
      <c r="Y68" s="1795"/>
      <c r="Z68" s="1795"/>
      <c r="AA68" s="1795"/>
      <c r="AB68" s="1795"/>
      <c r="AC68" s="1795"/>
      <c r="AD68" s="1795"/>
    </row>
    <row r="69" spans="1:36" s="3308" customFormat="1" ht="24.75" hidden="1" thickBot="1">
      <c r="A69" s="3333" t="s">
        <v>950</v>
      </c>
      <c r="B69" s="3337" t="str">
        <f>估价对象房地状况!C20</f>
        <v>黄渠公园、二外，较好</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5"/>
      <c r="Q69" s="1795"/>
      <c r="R69" s="1795"/>
      <c r="S69" s="1795"/>
      <c r="T69" s="1795"/>
      <c r="U69" s="1795"/>
      <c r="V69" s="1795"/>
      <c r="W69" s="1795"/>
      <c r="X69" s="1795"/>
      <c r="Y69" s="1795"/>
      <c r="Z69" s="1795"/>
      <c r="AA69" s="1795"/>
      <c r="AB69" s="1795"/>
      <c r="AC69" s="1795"/>
      <c r="AD69" s="1795"/>
    </row>
    <row r="70" spans="1:36" s="3308" customFormat="1" ht="15">
      <c r="A70" s="3309" t="s">
        <v>953</v>
      </c>
      <c r="B70" s="3371">
        <f>1+E72</f>
        <v>1.0422</v>
      </c>
      <c r="C70" s="3336"/>
      <c r="D70" s="3311"/>
      <c r="E70" s="3312"/>
      <c r="F70" s="3304"/>
      <c r="G70" s="3307"/>
      <c r="H70" s="3307"/>
      <c r="I70" s="3307"/>
      <c r="J70" s="3163"/>
      <c r="K70" s="3163"/>
      <c r="L70" s="3163"/>
      <c r="M70" s="3163"/>
      <c r="N70" s="3163"/>
      <c r="P70" s="1795"/>
      <c r="Q70" s="1795"/>
      <c r="R70" s="1795"/>
      <c r="S70" s="1795"/>
      <c r="T70" s="1795"/>
      <c r="U70" s="1795"/>
      <c r="V70" s="1795"/>
      <c r="W70" s="1795"/>
      <c r="X70" s="1795"/>
      <c r="Y70" s="1795"/>
      <c r="Z70" s="1795"/>
      <c r="AA70" s="1795"/>
      <c r="AB70" s="1795"/>
      <c r="AC70" s="1795"/>
      <c r="AD70" s="1795"/>
    </row>
    <row r="71" spans="1:36" s="3308" customFormat="1" ht="24">
      <c r="A71" s="3313" t="s">
        <v>930</v>
      </c>
      <c r="B71" s="3314"/>
      <c r="C71" s="3315" t="s">
        <v>932</v>
      </c>
      <c r="D71" s="3316" t="s">
        <v>933</v>
      </c>
      <c r="E71" s="3317" t="s">
        <v>935</v>
      </c>
      <c r="F71" s="3191" t="s">
        <v>1608</v>
      </c>
      <c r="G71" s="3316" t="s">
        <v>936</v>
      </c>
      <c r="H71" s="3318" t="s">
        <v>1767</v>
      </c>
      <c r="I71" s="3316" t="s">
        <v>934</v>
      </c>
      <c r="J71" s="3319" t="s">
        <v>937</v>
      </c>
      <c r="K71" s="3319" t="s">
        <v>938</v>
      </c>
      <c r="L71" s="3319" t="s">
        <v>939</v>
      </c>
      <c r="M71" s="3319" t="s">
        <v>940</v>
      </c>
      <c r="N71" s="3319" t="s">
        <v>941</v>
      </c>
      <c r="P71" s="1795"/>
      <c r="Q71" s="1795"/>
      <c r="R71" s="1795"/>
      <c r="S71" s="1795"/>
      <c r="T71" s="1795"/>
      <c r="U71" s="1795"/>
      <c r="V71" s="1795"/>
      <c r="W71" s="1795"/>
      <c r="X71" s="1795"/>
      <c r="Y71" s="1795"/>
      <c r="Z71" s="1795"/>
      <c r="AA71" s="1795"/>
      <c r="AB71" s="1795"/>
      <c r="AC71" s="1795"/>
      <c r="AD71" s="1795"/>
    </row>
    <row r="72" spans="1:36" s="3308" customFormat="1" ht="24">
      <c r="A72" s="3313" t="s">
        <v>954</v>
      </c>
      <c r="B72" s="3314" t="str">
        <f>估价对象房地状况!C15</f>
        <v>泰福苑、三间房西里、万方家园等，较好</v>
      </c>
      <c r="C72" s="3338" t="s">
        <v>3329</v>
      </c>
      <c r="D72" s="3322">
        <f t="shared" ref="D72:D80" si="17">SUMIF($J$71:$N$71,C72,J72:N72)</f>
        <v>8.6E-3</v>
      </c>
      <c r="E72" s="3323">
        <f>ROUND(SUM(D72:D80),4)</f>
        <v>4.2200000000000001E-2</v>
      </c>
      <c r="F72" s="3324">
        <f>IF(E2="住宅",SUMIF(L1:L12,G2,N1:N12),"——")</f>
        <v>8.5999999999999993E-2</v>
      </c>
      <c r="G72" s="3339">
        <v>8.6E-3</v>
      </c>
      <c r="H72" s="3340">
        <f t="shared" ref="H72:H80" si="18">IFERROR(ROUNDDOWN($F$72*I72/2,4),"——")</f>
        <v>8.6E-3</v>
      </c>
      <c r="I72" s="3301">
        <v>0.2</v>
      </c>
      <c r="J72" s="3327">
        <f t="shared" ref="J72:J80" si="19">K72+$G72</f>
        <v>1.72E-2</v>
      </c>
      <c r="K72" s="3327">
        <f t="shared" ref="K72:K80" si="20">$L72+$G72</f>
        <v>8.6E-3</v>
      </c>
      <c r="L72" s="3327">
        <v>0</v>
      </c>
      <c r="M72" s="3327">
        <f t="shared" ref="M72:N80" si="21">L72-$G72</f>
        <v>-8.6E-3</v>
      </c>
      <c r="N72" s="3327">
        <f t="shared" si="21"/>
        <v>-1.72E-2</v>
      </c>
      <c r="P72" s="1795"/>
      <c r="Q72" s="1795"/>
      <c r="R72" s="1795"/>
      <c r="S72" s="1795"/>
      <c r="T72" s="1795"/>
      <c r="U72" s="1795"/>
      <c r="V72" s="1795"/>
      <c r="W72" s="1795"/>
      <c r="X72" s="1795"/>
      <c r="Y72" s="1795"/>
      <c r="Z72" s="1795"/>
      <c r="AA72" s="1795"/>
      <c r="AB72" s="1795"/>
      <c r="AC72" s="1795"/>
      <c r="AD72" s="1795"/>
    </row>
    <row r="73" spans="1:36" s="3308" customFormat="1" ht="24">
      <c r="A73" s="3313" t="s">
        <v>955</v>
      </c>
      <c r="B73" s="3314" t="str">
        <f>估价对象房地状况!C18</f>
        <v>451、488、615等，地铁6、八通线等</v>
      </c>
      <c r="C73" s="3338" t="s">
        <v>3329</v>
      </c>
      <c r="D73" s="3322">
        <f t="shared" si="17"/>
        <v>1.11E-2</v>
      </c>
      <c r="E73" s="3328"/>
      <c r="F73" s="3324"/>
      <c r="G73" s="3339">
        <v>1.11E-2</v>
      </c>
      <c r="H73" s="3340">
        <f t="shared" si="18"/>
        <v>1.11E-2</v>
      </c>
      <c r="I73" s="3301">
        <v>0.26</v>
      </c>
      <c r="J73" s="3327">
        <f t="shared" si="19"/>
        <v>2.2200000000000001E-2</v>
      </c>
      <c r="K73" s="3327">
        <f t="shared" si="20"/>
        <v>1.11E-2</v>
      </c>
      <c r="L73" s="3327">
        <v>0</v>
      </c>
      <c r="M73" s="3327">
        <f t="shared" si="21"/>
        <v>-1.11E-2</v>
      </c>
      <c r="N73" s="3327">
        <f t="shared" si="21"/>
        <v>-2.2200000000000001E-2</v>
      </c>
      <c r="P73" s="1795"/>
      <c r="Q73" s="1795"/>
      <c r="R73" s="1795"/>
      <c r="S73" s="1795"/>
      <c r="T73" s="1795"/>
      <c r="U73" s="1795"/>
      <c r="V73" s="1795"/>
      <c r="W73" s="1795"/>
      <c r="X73" s="1795"/>
      <c r="Y73" s="1795"/>
      <c r="Z73" s="1795"/>
      <c r="AA73" s="1795"/>
      <c r="AB73" s="1795"/>
      <c r="AC73" s="1795"/>
      <c r="AD73" s="1795"/>
    </row>
    <row r="74" spans="1:36" s="3308" customFormat="1" ht="36">
      <c r="A74" s="3296" t="s">
        <v>3197</v>
      </c>
      <c r="B74" s="3314" t="str">
        <f>估价对象房地状况!C19</f>
        <v>较好</v>
      </c>
      <c r="C74" s="3338" t="s">
        <v>3329</v>
      </c>
      <c r="D74" s="3322">
        <f t="shared" si="17"/>
        <v>4.3E-3</v>
      </c>
      <c r="E74" s="3328"/>
      <c r="F74" s="3324"/>
      <c r="G74" s="3339">
        <v>4.3E-3</v>
      </c>
      <c r="H74" s="3340">
        <f t="shared" si="18"/>
        <v>4.3E-3</v>
      </c>
      <c r="I74" s="3301">
        <v>0.1</v>
      </c>
      <c r="J74" s="3327">
        <f t="shared" si="19"/>
        <v>8.6E-3</v>
      </c>
      <c r="K74" s="3327">
        <f t="shared" si="20"/>
        <v>4.3E-3</v>
      </c>
      <c r="L74" s="3327">
        <v>0</v>
      </c>
      <c r="M74" s="3327">
        <f t="shared" si="21"/>
        <v>-4.3E-3</v>
      </c>
      <c r="N74" s="3327">
        <f t="shared" si="21"/>
        <v>-8.6E-3</v>
      </c>
      <c r="P74" s="1795"/>
      <c r="Q74" s="1795"/>
      <c r="R74" s="1795"/>
      <c r="S74" s="1795"/>
      <c r="T74" s="1795"/>
      <c r="U74" s="1795"/>
      <c r="V74" s="1795"/>
      <c r="W74" s="1795"/>
      <c r="X74" s="1795"/>
      <c r="Y74" s="1795"/>
      <c r="Z74" s="1795"/>
      <c r="AA74" s="1795"/>
      <c r="AB74" s="1795"/>
      <c r="AC74" s="1795"/>
      <c r="AD74" s="1795"/>
    </row>
    <row r="75" spans="1:36" s="1272" customFormat="1" ht="14.25">
      <c r="A75" s="3313" t="s">
        <v>956</v>
      </c>
      <c r="B75" s="3314">
        <f>估价对象房地状况!C24</f>
        <v>0</v>
      </c>
      <c r="C75" s="3338" t="s">
        <v>3330</v>
      </c>
      <c r="D75" s="3322">
        <f t="shared" si="17"/>
        <v>0</v>
      </c>
      <c r="E75" s="3328"/>
      <c r="F75" s="3324"/>
      <c r="G75" s="3339">
        <v>2.0999999999999999E-3</v>
      </c>
      <c r="H75" s="3340">
        <f t="shared" si="18"/>
        <v>2.0999999999999999E-3</v>
      </c>
      <c r="I75" s="3301">
        <v>0.05</v>
      </c>
      <c r="J75" s="3327">
        <f t="shared" si="19"/>
        <v>4.1999999999999997E-3</v>
      </c>
      <c r="K75" s="3327">
        <f t="shared" si="20"/>
        <v>2.0999999999999999E-3</v>
      </c>
      <c r="L75" s="3327">
        <v>0</v>
      </c>
      <c r="M75" s="3327">
        <f t="shared" si="21"/>
        <v>-2.0999999999999999E-3</v>
      </c>
      <c r="N75" s="3327">
        <f t="shared" si="21"/>
        <v>-4.1999999999999997E-3</v>
      </c>
      <c r="O75" s="3308"/>
      <c r="P75" s="1795"/>
      <c r="Q75" s="1795"/>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较好</v>
      </c>
      <c r="C76" s="3338" t="s">
        <v>3329</v>
      </c>
      <c r="D76" s="3322">
        <f t="shared" si="17"/>
        <v>3.3999999999999998E-3</v>
      </c>
      <c r="E76" s="3328"/>
      <c r="F76" s="3324"/>
      <c r="G76" s="3339">
        <v>3.3999999999999998E-3</v>
      </c>
      <c r="H76" s="3340">
        <f t="shared" si="18"/>
        <v>3.3999999999999998E-3</v>
      </c>
      <c r="I76" s="3301">
        <v>0.08</v>
      </c>
      <c r="J76" s="3327">
        <f t="shared" si="19"/>
        <v>6.7999999999999996E-3</v>
      </c>
      <c r="K76" s="3327">
        <f t="shared" si="20"/>
        <v>3.3999999999999998E-3</v>
      </c>
      <c r="L76" s="3327">
        <v>0</v>
      </c>
      <c r="M76" s="3327">
        <f t="shared" si="21"/>
        <v>-3.3999999999999998E-3</v>
      </c>
      <c r="N76" s="3327">
        <f t="shared" si="21"/>
        <v>-6.7999999999999996E-3</v>
      </c>
      <c r="O76" s="3308"/>
      <c r="P76" s="1795"/>
      <c r="Q76" s="1795"/>
      <c r="AE76" s="3308"/>
      <c r="AF76" s="3308"/>
      <c r="AG76" s="3308"/>
      <c r="AH76" s="3308"/>
      <c r="AI76" s="3308"/>
      <c r="AJ76" s="3308"/>
    </row>
    <row r="77" spans="1:36" s="1272" customFormat="1" ht="24">
      <c r="A77" s="3313" t="s">
        <v>949</v>
      </c>
      <c r="B77" s="3332" t="str">
        <f>估价对象房地状况!C22</f>
        <v>七通</v>
      </c>
      <c r="C77" s="3338" t="s">
        <v>3343</v>
      </c>
      <c r="D77" s="3322">
        <f t="shared" si="17"/>
        <v>7.6E-3</v>
      </c>
      <c r="E77" s="3328"/>
      <c r="F77" s="3324"/>
      <c r="G77" s="3339">
        <v>3.8E-3</v>
      </c>
      <c r="H77" s="3340">
        <f t="shared" si="18"/>
        <v>3.8E-3</v>
      </c>
      <c r="I77" s="3301">
        <v>0.09</v>
      </c>
      <c r="J77" s="3327">
        <f t="shared" si="19"/>
        <v>7.6E-3</v>
      </c>
      <c r="K77" s="3327">
        <f t="shared" si="20"/>
        <v>3.8E-3</v>
      </c>
      <c r="L77" s="3327">
        <v>0</v>
      </c>
      <c r="M77" s="3327">
        <f t="shared" si="21"/>
        <v>-3.8E-3</v>
      </c>
      <c r="N77" s="3327">
        <f t="shared" si="21"/>
        <v>-7.6E-3</v>
      </c>
      <c r="O77" s="3308"/>
      <c r="P77" s="1795"/>
      <c r="Q77" s="1795"/>
      <c r="AE77" s="3308"/>
      <c r="AF77" s="3308"/>
      <c r="AG77" s="3308"/>
      <c r="AH77" s="3308"/>
      <c r="AI77" s="3308"/>
      <c r="AJ77" s="3308"/>
    </row>
    <row r="78" spans="1:36" s="1272" customFormat="1" ht="24">
      <c r="A78" s="3313" t="s">
        <v>947</v>
      </c>
      <c r="B78" s="3330" t="s">
        <v>2181</v>
      </c>
      <c r="C78" s="3338" t="s">
        <v>3329</v>
      </c>
      <c r="D78" s="3322">
        <f t="shared" si="17"/>
        <v>2.0999999999999999E-3</v>
      </c>
      <c r="E78" s="3328"/>
      <c r="F78" s="3324"/>
      <c r="G78" s="3339">
        <v>2.0999999999999999E-3</v>
      </c>
      <c r="H78" s="3340">
        <f t="shared" si="18"/>
        <v>2.0999999999999999E-3</v>
      </c>
      <c r="I78" s="3301">
        <v>0.05</v>
      </c>
      <c r="J78" s="3327">
        <f t="shared" si="19"/>
        <v>4.1999999999999997E-3</v>
      </c>
      <c r="K78" s="3327">
        <f t="shared" si="20"/>
        <v>2.0999999999999999E-3</v>
      </c>
      <c r="L78" s="3327">
        <v>0</v>
      </c>
      <c r="M78" s="3327">
        <f t="shared" si="21"/>
        <v>-2.0999999999999999E-3</v>
      </c>
      <c r="N78" s="3327">
        <f t="shared" si="21"/>
        <v>-4.1999999999999997E-3</v>
      </c>
      <c r="O78" s="3308"/>
      <c r="P78" s="1795"/>
      <c r="Q78" s="1795"/>
      <c r="AE78" s="3308"/>
      <c r="AF78" s="3308"/>
      <c r="AG78" s="3308"/>
      <c r="AH78" s="3308"/>
      <c r="AI78" s="3308"/>
      <c r="AJ78" s="3308"/>
    </row>
    <row r="79" spans="1:36" s="1272" customFormat="1" ht="24">
      <c r="A79" s="3313" t="s">
        <v>950</v>
      </c>
      <c r="B79" s="3320" t="str">
        <f>估价对象房地状况!C20</f>
        <v>黄渠公园、二外，较好</v>
      </c>
      <c r="C79" s="3338" t="s">
        <v>3329</v>
      </c>
      <c r="D79" s="3322">
        <f t="shared" si="17"/>
        <v>5.1000000000000004E-3</v>
      </c>
      <c r="E79" s="3328"/>
      <c r="F79" s="3324"/>
      <c r="G79" s="3339">
        <v>5.1000000000000004E-3</v>
      </c>
      <c r="H79" s="3340">
        <f t="shared" si="18"/>
        <v>5.1000000000000004E-3</v>
      </c>
      <c r="I79" s="3301">
        <v>0.12</v>
      </c>
      <c r="J79" s="3327">
        <f t="shared" si="19"/>
        <v>1.0200000000000001E-2</v>
      </c>
      <c r="K79" s="3327">
        <f t="shared" si="20"/>
        <v>5.1000000000000004E-3</v>
      </c>
      <c r="L79" s="3327">
        <v>0</v>
      </c>
      <c r="M79" s="3327">
        <f t="shared" si="21"/>
        <v>-5.1000000000000004E-3</v>
      </c>
      <c r="N79" s="3327">
        <f t="shared" si="21"/>
        <v>-1.0200000000000001E-2</v>
      </c>
      <c r="P79" s="3341"/>
      <c r="Q79" s="3341"/>
      <c r="AE79" s="3308"/>
      <c r="AF79" s="3308"/>
      <c r="AG79" s="3308"/>
      <c r="AH79" s="3308"/>
      <c r="AI79" s="3308"/>
      <c r="AJ79" s="3308"/>
    </row>
    <row r="80" spans="1:36" s="1272" customFormat="1" ht="24.75" thickBot="1">
      <c r="A80" s="3333" t="s">
        <v>957</v>
      </c>
      <c r="B80" s="3342"/>
      <c r="C80" s="3338" t="s">
        <v>3330</v>
      </c>
      <c r="D80" s="3322">
        <f t="shared" si="17"/>
        <v>0</v>
      </c>
      <c r="E80" s="3335"/>
      <c r="F80" s="3324"/>
      <c r="G80" s="3339">
        <v>2.0999999999999999E-3</v>
      </c>
      <c r="H80" s="3340">
        <f t="shared" si="18"/>
        <v>2.0999999999999999E-3</v>
      </c>
      <c r="I80" s="3303">
        <v>0.05</v>
      </c>
      <c r="J80" s="3327">
        <f t="shared" si="19"/>
        <v>4.1999999999999997E-3</v>
      </c>
      <c r="K80" s="3327">
        <f t="shared" si="20"/>
        <v>2.0999999999999999E-3</v>
      </c>
      <c r="L80" s="3327">
        <v>0</v>
      </c>
      <c r="M80" s="3327">
        <f t="shared" si="21"/>
        <v>-2.0999999999999999E-3</v>
      </c>
      <c r="N80" s="3327">
        <f t="shared" si="21"/>
        <v>-4.1999999999999997E-3</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1609</v>
      </c>
      <c r="G82" s="3316" t="s">
        <v>936</v>
      </c>
      <c r="H82" s="3318" t="s">
        <v>1767</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14.25">
      <c r="A84" s="3313" t="s">
        <v>955</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2181</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15" thickBot="1">
      <c r="A90" s="3333" t="s">
        <v>960</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3206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3207</v>
      </c>
      <c r="B92" s="3298"/>
      <c r="C92" s="3298" t="s">
        <v>3212</v>
      </c>
      <c r="D92" s="3298" t="s">
        <v>3199</v>
      </c>
      <c r="E92" s="346" t="s">
        <v>3200</v>
      </c>
      <c r="F92" s="3353" t="s">
        <v>1606</v>
      </c>
      <c r="G92" s="3316" t="s">
        <v>936</v>
      </c>
      <c r="H92" s="3318" t="s">
        <v>1767</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3208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14.25">
      <c r="A94" s="3298" t="s">
        <v>3209</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3197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3201</v>
      </c>
      <c r="B96" s="3302" t="s">
        <v>3202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3203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3210</v>
      </c>
      <c r="B98" s="3329" t="s">
        <v>2181</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3211</v>
      </c>
      <c r="B99" s="3314" t="str">
        <f>估价对象房地状况!C21</f>
        <v>较好</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3204</v>
      </c>
      <c r="B100" s="3314" t="str">
        <f>估价对象房地状况!C22</f>
        <v>七通</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3205</v>
      </c>
      <c r="B101" s="3320" t="str">
        <f>估价对象房地状况!C20</f>
        <v>黄渠公园、二外，较好</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811" t="s">
        <v>1172</v>
      </c>
      <c r="B104" s="3811"/>
      <c r="C104" s="3811"/>
      <c r="D104" s="3811"/>
      <c r="E104" s="3811"/>
      <c r="F104" s="3811"/>
      <c r="G104" s="3811"/>
      <c r="H104" s="3811"/>
      <c r="I104" s="3811"/>
      <c r="J104" s="3811"/>
      <c r="K104" s="999"/>
      <c r="L104" s="999"/>
      <c r="M104" s="999"/>
      <c r="N104" s="999"/>
    </row>
    <row r="105" spans="1:36">
      <c r="A105" s="3812" t="s">
        <v>1161</v>
      </c>
      <c r="B105" s="3812" t="s">
        <v>1173</v>
      </c>
      <c r="C105" s="987" t="s">
        <v>1174</v>
      </c>
      <c r="D105" s="988"/>
      <c r="E105" s="988"/>
      <c r="F105" s="988"/>
      <c r="G105" s="988"/>
      <c r="H105" s="988"/>
      <c r="I105" s="988"/>
      <c r="J105" s="989"/>
      <c r="K105" s="982"/>
      <c r="L105" s="982"/>
      <c r="M105" s="982"/>
      <c r="N105" s="982"/>
    </row>
    <row r="106" spans="1:36">
      <c r="A106" s="3812"/>
      <c r="B106" s="3812"/>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818" t="s">
        <v>2040</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819"/>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819"/>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819"/>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819"/>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819"/>
      <c r="B112" s="990" t="s">
        <v>3213</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820"/>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808" t="s">
        <v>1175</v>
      </c>
      <c r="B114" s="3808"/>
      <c r="C114" s="3808"/>
      <c r="D114" s="3808"/>
      <c r="E114" s="3808"/>
      <c r="F114" s="3808"/>
      <c r="G114" s="3808"/>
      <c r="H114" s="3808"/>
      <c r="I114" s="3808"/>
      <c r="J114" s="3808"/>
      <c r="K114" s="1965"/>
      <c r="L114" s="1965"/>
      <c r="M114" s="1965"/>
      <c r="N114" s="1965"/>
    </row>
    <row r="116" spans="1:14" ht="12.75" thickBot="1"/>
    <row r="117" spans="1:14" ht="25.5" thickBot="1">
      <c r="A117" s="925" t="s">
        <v>831</v>
      </c>
      <c r="B117" s="1966">
        <f>G3</f>
        <v>2.5099999999999998</v>
      </c>
      <c r="C117" s="926" t="s">
        <v>832</v>
      </c>
      <c r="D117" s="927" t="e">
        <f>SUMPRODUCT((A118:A122=F116)*(B117:M117=H116)*B118:M122)</f>
        <v>#VALUE!</v>
      </c>
      <c r="E117" s="928" t="s">
        <v>833</v>
      </c>
      <c r="F117" s="929" t="str">
        <f>E2</f>
        <v>住宅</v>
      </c>
      <c r="G117" s="928" t="s">
        <v>834</v>
      </c>
      <c r="H117" s="929" t="str">
        <f>G2</f>
        <v>五级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5" t="s">
        <v>3214</v>
      </c>
      <c r="B119" s="3299">
        <f>ROUND(0.9968-0.011*B117,4)</f>
        <v>0.96919999999999995</v>
      </c>
      <c r="C119" s="3299">
        <f>B119</f>
        <v>0.96919999999999995</v>
      </c>
      <c r="D119" s="3299">
        <f>ROUND(0.949-0.014*B117,4)</f>
        <v>0.91390000000000005</v>
      </c>
      <c r="E119" s="3299">
        <f>D119</f>
        <v>0.91390000000000005</v>
      </c>
      <c r="F119" s="3299">
        <f>E119</f>
        <v>0.91390000000000005</v>
      </c>
      <c r="G119" s="3299">
        <f>F119</f>
        <v>0.91390000000000005</v>
      </c>
      <c r="H119" s="3299">
        <f>G119</f>
        <v>0.91390000000000005</v>
      </c>
      <c r="I119" s="3299">
        <f>ROUND(0.8486-0.018*B117,4)</f>
        <v>0.8034</v>
      </c>
      <c r="J119" s="3299">
        <f t="shared" ref="J119:M123" si="35">I119</f>
        <v>0.8034</v>
      </c>
      <c r="K119" s="3299">
        <f t="shared" si="35"/>
        <v>0.8034</v>
      </c>
      <c r="L119" s="3299">
        <f t="shared" si="35"/>
        <v>0.8034</v>
      </c>
      <c r="M119" s="3358">
        <f t="shared" si="35"/>
        <v>0.8034</v>
      </c>
    </row>
    <row r="120" spans="1:14" ht="12.75">
      <c r="A120" s="3355" t="s">
        <v>3215</v>
      </c>
      <c r="B120" s="3299">
        <f>ROUND(0.993-0.0112*B117,4)</f>
        <v>0.96489999999999998</v>
      </c>
      <c r="C120" s="3299">
        <f>B120</f>
        <v>0.96489999999999998</v>
      </c>
      <c r="D120" s="3299">
        <f>ROUND(0.9415-0.0142*B117,4)</f>
        <v>0.90590000000000004</v>
      </c>
      <c r="E120" s="3299">
        <f t="shared" ref="E120:H121" si="36">D120</f>
        <v>0.90590000000000004</v>
      </c>
      <c r="F120" s="3299">
        <f t="shared" si="36"/>
        <v>0.90590000000000004</v>
      </c>
      <c r="G120" s="3299">
        <f t="shared" si="36"/>
        <v>0.90590000000000004</v>
      </c>
      <c r="H120" s="3299">
        <f t="shared" si="36"/>
        <v>0.90590000000000004</v>
      </c>
      <c r="I120" s="3299">
        <f>ROUND(0.838-0.0182*B117,4)</f>
        <v>0.7923</v>
      </c>
      <c r="J120" s="3299">
        <f t="shared" si="35"/>
        <v>0.7923</v>
      </c>
      <c r="K120" s="3299">
        <f t="shared" si="35"/>
        <v>0.7923</v>
      </c>
      <c r="L120" s="3299">
        <f t="shared" si="35"/>
        <v>0.7923</v>
      </c>
      <c r="M120" s="3358">
        <f t="shared" si="35"/>
        <v>0.7923</v>
      </c>
    </row>
    <row r="121" spans="1:14" ht="12.75">
      <c r="A121" s="3355" t="s">
        <v>3216</v>
      </c>
      <c r="B121" s="3299">
        <f>ROUND(0.9448-0.0115*B117,4)</f>
        <v>0.91590000000000005</v>
      </c>
      <c r="C121" s="3299">
        <f>B121</f>
        <v>0.91590000000000005</v>
      </c>
      <c r="D121" s="3299">
        <f>ROUND(0.937-0.0145*B117,4)</f>
        <v>0.90059999999999996</v>
      </c>
      <c r="E121" s="3299">
        <f t="shared" si="36"/>
        <v>0.90059999999999996</v>
      </c>
      <c r="F121" s="3299">
        <f t="shared" si="36"/>
        <v>0.90059999999999996</v>
      </c>
      <c r="G121" s="3299">
        <f t="shared" si="36"/>
        <v>0.90059999999999996</v>
      </c>
      <c r="H121" s="3299">
        <f t="shared" si="36"/>
        <v>0.90059999999999996</v>
      </c>
      <c r="I121" s="3299">
        <f>ROUND(0.7965-0.0185*B117,4)</f>
        <v>0.75009999999999999</v>
      </c>
      <c r="J121" s="3299">
        <f t="shared" si="35"/>
        <v>0.75009999999999999</v>
      </c>
      <c r="K121" s="3299">
        <f t="shared" si="35"/>
        <v>0.75009999999999999</v>
      </c>
      <c r="L121" s="3299">
        <f t="shared" si="35"/>
        <v>0.75009999999999999</v>
      </c>
      <c r="M121" s="3358">
        <f t="shared" si="35"/>
        <v>0.75009999999999999</v>
      </c>
    </row>
    <row r="122" spans="1:14" ht="13.5" thickBot="1">
      <c r="A122" s="3356" t="s">
        <v>3217</v>
      </c>
      <c r="B122" s="3359">
        <f>ROUND(0.7836-0.012*B117,4)</f>
        <v>0.75349999999999995</v>
      </c>
      <c r="C122" s="3359">
        <f>B122</f>
        <v>0.75349999999999995</v>
      </c>
      <c r="D122" s="3359">
        <f>ROUND(0.753-0.015*B117,4)</f>
        <v>0.71540000000000004</v>
      </c>
      <c r="E122" s="3359">
        <f>D122</f>
        <v>0.71540000000000004</v>
      </c>
      <c r="F122" s="3359">
        <f>E122</f>
        <v>0.71540000000000004</v>
      </c>
      <c r="G122" s="3359">
        <f>ROUND(0.6612-0.018*B117,4)</f>
        <v>0.61599999999999999</v>
      </c>
      <c r="H122" s="3359">
        <f>G122</f>
        <v>0.61599999999999999</v>
      </c>
      <c r="I122" s="3359">
        <f>ROUND(0.5905-0.019*B117,4)</f>
        <v>0.54279999999999995</v>
      </c>
      <c r="J122" s="3359">
        <f t="shared" si="35"/>
        <v>0.54279999999999995</v>
      </c>
      <c r="K122" s="3359">
        <f t="shared" si="35"/>
        <v>0.54279999999999995</v>
      </c>
      <c r="L122" s="3359">
        <f t="shared" si="35"/>
        <v>0.54279999999999995</v>
      </c>
      <c r="M122" s="3360">
        <f t="shared" si="35"/>
        <v>0.54279999999999995</v>
      </c>
    </row>
    <row r="123" spans="1:14" ht="12.75">
      <c r="A123" s="3357" t="s">
        <v>3198</v>
      </c>
      <c r="B123" s="3299">
        <f>ROUND(0.9404-0.0106*B117,4)</f>
        <v>0.91379999999999995</v>
      </c>
      <c r="C123" s="3299">
        <f>B123</f>
        <v>0.91379999999999995</v>
      </c>
      <c r="D123" s="3299">
        <f>ROUND(0.8955-0.0135*B117,4)</f>
        <v>0.86160000000000003</v>
      </c>
      <c r="E123" s="3299">
        <f t="shared" ref="E123:H123" si="37">D123</f>
        <v>0.86160000000000003</v>
      </c>
      <c r="F123" s="3299">
        <f t="shared" si="37"/>
        <v>0.86160000000000003</v>
      </c>
      <c r="G123" s="3299">
        <f t="shared" si="37"/>
        <v>0.86160000000000003</v>
      </c>
      <c r="H123" s="3299">
        <f t="shared" si="37"/>
        <v>0.86160000000000003</v>
      </c>
      <c r="I123" s="3299">
        <f>ROUND(0.7632-0.0166*B117,4)</f>
        <v>0.72150000000000003</v>
      </c>
      <c r="J123" s="3299">
        <f t="shared" si="35"/>
        <v>0.72150000000000003</v>
      </c>
      <c r="K123" s="3299">
        <f t="shared" si="35"/>
        <v>0.72150000000000003</v>
      </c>
      <c r="L123" s="3299">
        <f t="shared" si="35"/>
        <v>0.72150000000000003</v>
      </c>
      <c r="M123" s="3358">
        <f t="shared" si="35"/>
        <v>0.72150000000000003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5" t="s">
        <v>1657</v>
      </c>
      <c r="C1" s="3826" t="s">
        <v>1658</v>
      </c>
      <c r="D1" s="3827"/>
      <c r="E1" s="3827"/>
      <c r="F1" s="3827"/>
      <c r="G1" s="3827"/>
      <c r="H1" s="3827"/>
      <c r="I1" s="3827"/>
      <c r="J1" s="3827"/>
      <c r="K1" s="3827"/>
      <c r="L1" s="3827"/>
      <c r="M1" s="3827"/>
      <c r="N1" s="3827"/>
      <c r="O1" s="3827"/>
      <c r="P1" s="3827"/>
      <c r="Q1" s="3827"/>
      <c r="R1" s="3827"/>
      <c r="S1" s="3828"/>
      <c r="T1" s="1825" t="s">
        <v>1659</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5"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7" t="str">
        <f>S3&amp;"(含)"&amp;"-"</f>
        <v>(含)-</v>
      </c>
      <c r="T2" s="86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9"/>
      <c r="C3" s="870"/>
      <c r="D3" s="10"/>
      <c r="E3" s="10"/>
      <c r="F3" s="10"/>
      <c r="G3" s="10"/>
      <c r="H3" s="10"/>
      <c r="I3" s="10"/>
      <c r="J3" s="871"/>
      <c r="K3" s="871"/>
      <c r="L3" s="872"/>
      <c r="M3" s="1830"/>
      <c r="N3" s="1831"/>
      <c r="O3" s="10"/>
      <c r="P3" s="10"/>
      <c r="Q3" s="10"/>
      <c r="R3" s="10"/>
      <c r="S3" s="1832"/>
      <c r="T3" s="87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5"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2" t="s">
        <v>2173</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5"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4" t="s">
        <v>2172</v>
      </c>
      <c r="C7" s="1616"/>
      <c r="D7" s="1617"/>
      <c r="E7" s="1617"/>
      <c r="F7" s="1617"/>
      <c r="G7" s="1617"/>
      <c r="H7" s="1617"/>
      <c r="I7" s="1617"/>
      <c r="J7" s="1617"/>
      <c r="K7" s="1617"/>
      <c r="L7" s="1617"/>
      <c r="M7" s="1850"/>
      <c r="N7" s="1851"/>
      <c r="O7" s="1852"/>
      <c r="P7" s="1852"/>
      <c r="Q7" s="1853"/>
      <c r="R7" s="1854"/>
      <c r="S7" s="1855"/>
      <c r="T7" s="87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5"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4" t="s">
        <v>2171</v>
      </c>
      <c r="C9" s="1616"/>
      <c r="D9" s="1617"/>
      <c r="E9" s="1617"/>
      <c r="F9" s="1617"/>
      <c r="G9" s="1617"/>
      <c r="H9" s="1617"/>
      <c r="I9" s="1617"/>
      <c r="J9" s="1617"/>
      <c r="K9" s="1617"/>
      <c r="L9" s="1618"/>
      <c r="M9" s="1850"/>
      <c r="N9" s="1851"/>
      <c r="O9" s="1852"/>
      <c r="P9" s="1852"/>
      <c r="Q9" s="1853"/>
      <c r="R9" s="1854"/>
      <c r="S9" s="1855"/>
      <c r="T9" s="87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5" thickBot="1">
      <c r="A10" s="1842"/>
      <c r="B10" s="2343"/>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2" t="s">
        <v>2184</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5"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2" t="s">
        <v>2170</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5"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2" t="s">
        <v>2169</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5"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1661</v>
      </c>
      <c r="B17" s="1867" t="s">
        <v>1662</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5"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6"/>
      <c r="C19" s="1635"/>
      <c r="D19" s="1635"/>
      <c r="E19" s="1635"/>
      <c r="F19" s="1635"/>
      <c r="G19" s="1635"/>
      <c r="H19" s="1635"/>
      <c r="I19" s="1635"/>
      <c r="J19" s="1635"/>
      <c r="K19" s="1635"/>
      <c r="L19" s="1635"/>
      <c r="M19" s="1635"/>
      <c r="N19" s="1635"/>
      <c r="O19" s="1635"/>
      <c r="P19" s="1635"/>
      <c r="Q19" s="1635"/>
      <c r="R19" s="1635"/>
      <c r="S19" s="1633"/>
    </row>
    <row r="20" spans="1:45" ht="15.75">
      <c r="A20" s="875" t="s">
        <v>768</v>
      </c>
      <c r="B20" s="710">
        <f>S22</f>
        <v>0</v>
      </c>
      <c r="C20" s="1635"/>
      <c r="D20" s="1635"/>
      <c r="E20" s="1635"/>
      <c r="F20" s="1635"/>
      <c r="G20" s="1635"/>
      <c r="H20" s="1635"/>
      <c r="I20" s="1635"/>
      <c r="J20" s="1635"/>
      <c r="K20" s="1635"/>
      <c r="L20" s="1635"/>
      <c r="M20" s="1635"/>
      <c r="N20" s="1635"/>
      <c r="O20" s="1635"/>
      <c r="P20" s="1635"/>
      <c r="Q20" s="1635"/>
      <c r="R20" s="1635"/>
      <c r="S20" s="1633"/>
    </row>
    <row r="21" spans="1:45" ht="15.75">
      <c r="A21" s="875" t="str">
        <f>IF(B23="土地面积","地面单价","楼面单价")</f>
        <v>楼面单价</v>
      </c>
      <c r="B21" s="710" t="e">
        <f>R22</f>
        <v>#DIV/0!</v>
      </c>
      <c r="C21" s="1635"/>
      <c r="D21" s="1635"/>
      <c r="E21" s="1635"/>
      <c r="F21" s="1635"/>
      <c r="G21" s="1635"/>
      <c r="H21" s="1635"/>
      <c r="I21" s="1635"/>
      <c r="J21" s="1635"/>
      <c r="K21" s="1635"/>
      <c r="L21" s="1635"/>
      <c r="M21" s="1635"/>
      <c r="N21" s="1635"/>
      <c r="O21" s="1635"/>
      <c r="P21" s="1635"/>
      <c r="Q21" s="1635"/>
      <c r="R21" s="1635"/>
      <c r="S21" s="1633"/>
    </row>
    <row r="22" spans="1:45">
      <c r="A22" s="734" t="s">
        <v>769</v>
      </c>
      <c r="B22" s="49">
        <f>SUM(B24:B10000)</f>
        <v>0</v>
      </c>
      <c r="C22" s="3823" t="s">
        <v>14</v>
      </c>
      <c r="D22" s="3824"/>
      <c r="E22" s="3824"/>
      <c r="F22" s="3824"/>
      <c r="G22" s="3824"/>
      <c r="H22" s="3824"/>
      <c r="I22" s="3824"/>
      <c r="J22" s="3824"/>
      <c r="K22" s="3824"/>
      <c r="L22" s="3824"/>
      <c r="M22" s="3824"/>
      <c r="N22" s="3824"/>
      <c r="O22" s="3824"/>
      <c r="P22" s="3824"/>
      <c r="Q22" s="3825"/>
      <c r="R22" s="49" t="e">
        <f>ROUND(S22*10000/B22,0)</f>
        <v>#DIV/0!</v>
      </c>
      <c r="S22" s="49">
        <f>SUM(S24:S10000)</f>
        <v>0</v>
      </c>
    </row>
    <row r="23" spans="1:45" s="1335" customFormat="1" ht="24">
      <c r="A23" s="14" t="s">
        <v>770</v>
      </c>
      <c r="B23" s="2416"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2060</v>
      </c>
      <c r="C1" s="2292">
        <f>项目基本情况!D3</f>
        <v>45789</v>
      </c>
      <c r="H1" s="2231">
        <f>IF(C1&gt;C13,0,MATCH(C1,C$13:C$114,-1))+IF(SUMIF(C13:C114,C1,D13:D114)=0,13,12)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2091</v>
      </c>
      <c r="C2" s="2293">
        <f>'数据-取费表'!B22</f>
        <v>3</v>
      </c>
      <c r="D2" s="2288" t="s">
        <v>2061</v>
      </c>
      <c r="E2" s="2291">
        <f ca="1">INDIRECT("I"&amp;$I$1)/100</f>
        <v>3.1E-2</v>
      </c>
      <c r="G2" s="2233"/>
      <c r="H2" s="2233"/>
      <c r="I2" s="2233" t="s">
        <v>2062</v>
      </c>
      <c r="K2" s="2233"/>
      <c r="L2" s="2233"/>
      <c r="M2" s="2233"/>
      <c r="N2" s="2233" t="s">
        <v>2063</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2093</v>
      </c>
      <c r="C3" s="2290">
        <f>'数据-取费表'!B19</f>
        <v>0</v>
      </c>
      <c r="D3" s="2288" t="s">
        <v>2061</v>
      </c>
      <c r="E3" s="2291">
        <f ca="1">INDIRECT("J"&amp;$J$1)/100</f>
        <v>0</v>
      </c>
      <c r="G3" s="2235" t="s">
        <v>2064</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2092</v>
      </c>
      <c r="C4" s="2291">
        <f ca="1">N4/100</f>
        <v>1.4999999999999999E-2</v>
      </c>
      <c r="G4" s="2241" t="s">
        <v>2065</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2066</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2067</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2068</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2069</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2070</v>
      </c>
      <c r="C10" s="2260"/>
      <c r="D10" s="2260"/>
      <c r="E10" s="2260"/>
      <c r="F10" s="2260"/>
      <c r="G10" s="2260"/>
      <c r="H10" s="2260"/>
      <c r="I10" s="2234"/>
      <c r="J10" s="2234"/>
      <c r="K10" s="2260"/>
      <c r="L10" s="2261" t="s">
        <v>2071</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2072</v>
      </c>
      <c r="C11" s="2265" t="s">
        <v>2073</v>
      </c>
      <c r="D11" s="2266" t="s">
        <v>2074</v>
      </c>
      <c r="E11" s="2267"/>
      <c r="F11" s="2266" t="s">
        <v>2075</v>
      </c>
      <c r="G11" s="2268"/>
      <c r="H11" s="2267"/>
      <c r="I11" s="2266" t="s">
        <v>2076</v>
      </c>
      <c r="J11" s="2267"/>
      <c r="K11" s="2263"/>
      <c r="L11" s="2264" t="s">
        <v>2072</v>
      </c>
      <c r="M11" s="2265" t="s">
        <v>2073</v>
      </c>
      <c r="N11" s="2264" t="s">
        <v>2077</v>
      </c>
      <c r="O11" s="2266" t="s">
        <v>2078</v>
      </c>
      <c r="P11" s="2268"/>
      <c r="Q11" s="2268"/>
      <c r="R11" s="2268"/>
      <c r="S11" s="2268"/>
      <c r="T11" s="2267"/>
      <c r="U11" s="2266" t="s">
        <v>2079</v>
      </c>
      <c r="V11" s="2268"/>
      <c r="W11" s="2267"/>
      <c r="X11" s="2264" t="s">
        <v>2080</v>
      </c>
      <c r="Y11" s="2264" t="s">
        <v>2081</v>
      </c>
      <c r="Z11" s="2264" t="s">
        <v>2082</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2083</v>
      </c>
      <c r="E12" s="2272" t="s">
        <v>2084</v>
      </c>
      <c r="F12" s="2272" t="s">
        <v>2085</v>
      </c>
      <c r="G12" s="2272" t="s">
        <v>2086</v>
      </c>
      <c r="H12" s="2272" t="s">
        <v>2068</v>
      </c>
      <c r="I12" s="2273" t="s">
        <v>2087</v>
      </c>
      <c r="J12" s="2273" t="s">
        <v>2087</v>
      </c>
      <c r="K12" s="2263"/>
      <c r="L12" s="2270"/>
      <c r="M12" s="2271"/>
      <c r="N12" s="2270"/>
      <c r="O12" s="2273" t="s">
        <v>2088</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2089</v>
      </c>
      <c r="C13" s="2276">
        <v>45586</v>
      </c>
      <c r="D13" s="2277">
        <v>3.1</v>
      </c>
      <c r="E13" s="2277">
        <f>D13</f>
        <v>3.1</v>
      </c>
      <c r="F13" s="2277">
        <f>D13</f>
        <v>3.1</v>
      </c>
      <c r="G13" s="2277">
        <f>D13</f>
        <v>3.1</v>
      </c>
      <c r="H13" s="2277">
        <v>3.6</v>
      </c>
      <c r="I13" s="2277"/>
      <c r="J13" s="2277"/>
      <c r="K13" s="2274"/>
      <c r="L13" s="2275" t="s">
        <v>2089</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4.25">
      <c r="B26" s="2275" t="s">
        <v>2268</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4.25">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2090</v>
      </c>
      <c r="Y42" s="2281" t="s">
        <v>2090</v>
      </c>
      <c r="Z42" s="2281" t="s">
        <v>2090</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2090</v>
      </c>
      <c r="Y43" s="2281" t="s">
        <v>2090</v>
      </c>
      <c r="Z43" s="2281" t="s">
        <v>2090</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2090</v>
      </c>
      <c r="Y44" s="2281" t="s">
        <v>2090</v>
      </c>
      <c r="Z44" s="2281" t="s">
        <v>2090</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2090</v>
      </c>
      <c r="Y45" s="2281" t="s">
        <v>2090</v>
      </c>
      <c r="Z45" s="2281" t="s">
        <v>2090</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2090</v>
      </c>
      <c r="Y46" s="2281" t="s">
        <v>2090</v>
      </c>
      <c r="Z46" s="2281" t="s">
        <v>2090</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2090</v>
      </c>
      <c r="Y47" s="2281" t="s">
        <v>2090</v>
      </c>
      <c r="Z47" s="2281" t="s">
        <v>2090</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2090</v>
      </c>
      <c r="Y48" s="2281" t="s">
        <v>2090</v>
      </c>
      <c r="Z48" s="2281" t="s">
        <v>2090</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2090</v>
      </c>
      <c r="Y49" s="2281" t="s">
        <v>2090</v>
      </c>
      <c r="Z49" s="2281" t="s">
        <v>2090</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2090</v>
      </c>
      <c r="Y50" s="2281" t="s">
        <v>2090</v>
      </c>
      <c r="Z50" s="2281" t="s">
        <v>2090</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2090</v>
      </c>
      <c r="V51" s="2281" t="s">
        <v>2090</v>
      </c>
      <c r="W51" s="2281" t="s">
        <v>2090</v>
      </c>
      <c r="X51" s="2281" t="s">
        <v>2090</v>
      </c>
      <c r="Y51" s="2281" t="s">
        <v>2090</v>
      </c>
      <c r="Z51" s="2281" t="s">
        <v>2090</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2090</v>
      </c>
      <c r="J69" s="2281" t="s">
        <v>2090</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0" t="s">
        <v>1553</v>
      </c>
      <c r="B1" s="3510"/>
      <c r="C1" s="3510"/>
      <c r="D1" s="3510"/>
      <c r="E1" s="3510"/>
      <c r="F1" s="3510"/>
      <c r="G1" s="3510"/>
      <c r="H1" s="3510"/>
      <c r="I1" s="3510"/>
      <c r="J1" s="3510"/>
      <c r="K1" s="3510"/>
      <c r="L1" s="3510"/>
      <c r="M1" s="3510"/>
      <c r="N1" s="3510"/>
      <c r="O1" s="3510"/>
      <c r="P1" s="3510"/>
      <c r="Q1" s="3510"/>
      <c r="R1" s="3510"/>
    </row>
    <row r="2" spans="1:18">
      <c r="A2" s="1499" t="s">
        <v>1555</v>
      </c>
      <c r="B2" s="1499"/>
      <c r="C2" s="1499"/>
      <c r="D2" s="1499"/>
      <c r="E2" s="1499"/>
      <c r="F2" s="1499"/>
      <c r="G2" s="1499"/>
      <c r="H2" s="1499"/>
      <c r="I2" s="1500"/>
      <c r="J2" s="1500"/>
      <c r="K2" s="1501" t="str">
        <f>"估价期日："&amp;TEXT(项目基本情况!D3,"yyyy年m月d日;;")</f>
        <v>估价期日：2025年5月12日</v>
      </c>
      <c r="L2" s="1499"/>
      <c r="M2" s="1499"/>
      <c r="N2" s="1499"/>
      <c r="O2" s="1499"/>
      <c r="P2" s="1499"/>
      <c r="Q2" s="1499"/>
      <c r="R2" s="1501" t="str">
        <f>"估价期日的国有建设用地使用权性质："&amp;项目基本情况!A17</f>
        <v>估价期日的国有建设用地使用权性质：出让</v>
      </c>
    </row>
    <row r="3" spans="1:18" ht="23.25" customHeight="1">
      <c r="A3" s="3511" t="s">
        <v>1544</v>
      </c>
      <c r="B3" s="3511" t="s">
        <v>2008</v>
      </c>
      <c r="C3" s="3512" t="s">
        <v>1545</v>
      </c>
      <c r="D3" s="3511" t="s">
        <v>2012</v>
      </c>
      <c r="E3" s="3513" t="s">
        <v>1546</v>
      </c>
      <c r="F3" s="3513"/>
      <c r="G3" s="3513"/>
      <c r="H3" s="3513" t="s">
        <v>1547</v>
      </c>
      <c r="I3" s="3513"/>
      <c r="J3" s="3513"/>
      <c r="K3" s="3512" t="s">
        <v>1548</v>
      </c>
      <c r="L3" s="3512" t="s">
        <v>1549</v>
      </c>
      <c r="M3" s="3511" t="s">
        <v>2009</v>
      </c>
      <c r="N3" s="3511" t="str">
        <f>"（分摊）"&amp;项目基本情况!A17&amp;"国有建设用地使用权面积/㎡"</f>
        <v>（分摊）出让国有建设用地使用权面积/㎡</v>
      </c>
      <c r="O3" s="3511" t="s">
        <v>1578</v>
      </c>
      <c r="P3" s="3512" t="s">
        <v>1558</v>
      </c>
      <c r="Q3" s="3512" t="s">
        <v>1579</v>
      </c>
      <c r="R3" s="3512" t="s">
        <v>1550</v>
      </c>
    </row>
    <row r="4" spans="1:18" ht="36.75" customHeight="1">
      <c r="A4" s="3511"/>
      <c r="B4" s="3511"/>
      <c r="C4" s="3512"/>
      <c r="D4" s="3511"/>
      <c r="E4" s="1502" t="s">
        <v>1557</v>
      </c>
      <c r="F4" s="1502" t="s">
        <v>2021</v>
      </c>
      <c r="G4" s="1502" t="s">
        <v>1551</v>
      </c>
      <c r="H4" s="1502" t="s">
        <v>1552</v>
      </c>
      <c r="I4" s="1502" t="s">
        <v>2022</v>
      </c>
      <c r="J4" s="1502" t="s">
        <v>1551</v>
      </c>
      <c r="K4" s="3512"/>
      <c r="L4" s="3512"/>
      <c r="M4" s="3511"/>
      <c r="N4" s="3511"/>
      <c r="O4" s="3511"/>
      <c r="P4" s="3512"/>
      <c r="Q4" s="3512"/>
      <c r="R4" s="3512"/>
    </row>
    <row r="5" spans="1:18" ht="135" customHeight="1">
      <c r="A5" s="1599" t="s">
        <v>1932</v>
      </c>
      <c r="B5" s="2169" t="s">
        <v>1930</v>
      </c>
      <c r="C5" s="2086">
        <v>22</v>
      </c>
      <c r="D5" s="2085" t="s">
        <v>1931</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36842.300000000003</v>
      </c>
      <c r="O5" s="1502">
        <f>项目基本情况!C21</f>
        <v>122231.91</v>
      </c>
      <c r="P5" s="1502">
        <f ca="1">结果表!E42</f>
        <v>122318</v>
      </c>
      <c r="Q5" s="1502">
        <f ca="1">结果表!D42</f>
        <v>36868</v>
      </c>
      <c r="R5" s="1503">
        <f ca="1">结果表!C42</f>
        <v>450648</v>
      </c>
    </row>
    <row r="6" spans="1:18">
      <c r="A6" s="3507" t="str">
        <f>IF(项目基本情况!B9="市场价格","——","抵押价格")</f>
        <v>抵押价格</v>
      </c>
      <c r="B6" s="3508"/>
      <c r="C6" s="3508"/>
      <c r="D6" s="3508"/>
      <c r="E6" s="3508"/>
      <c r="F6" s="3508"/>
      <c r="G6" s="3508"/>
      <c r="H6" s="3508"/>
      <c r="I6" s="3508"/>
      <c r="J6" s="3508"/>
      <c r="K6" s="3508"/>
      <c r="L6" s="3508"/>
      <c r="M6" s="3508"/>
      <c r="N6" s="3508"/>
      <c r="O6" s="3508"/>
      <c r="P6" s="3508"/>
      <c r="Q6" s="3509"/>
      <c r="R6" s="1504">
        <f ca="1">结果表!O39</f>
        <v>446078</v>
      </c>
    </row>
    <row r="7" spans="1:18">
      <c r="A7" s="3507" t="str">
        <f>IF(项目基本情况!B9="市场价格","——",IF(项目基本情况!E8="已注销及未注销","抵押担保权已注销时的抵押价格","——"))</f>
        <v>——</v>
      </c>
      <c r="B7" s="3508"/>
      <c r="C7" s="3508"/>
      <c r="D7" s="3508"/>
      <c r="E7" s="3508"/>
      <c r="F7" s="3508"/>
      <c r="G7" s="3508"/>
      <c r="H7" s="3508"/>
      <c r="I7" s="3508"/>
      <c r="J7" s="3508"/>
      <c r="K7" s="3508"/>
      <c r="L7" s="3508"/>
      <c r="M7" s="3508"/>
      <c r="N7" s="3508"/>
      <c r="O7" s="3508"/>
      <c r="P7" s="3508"/>
      <c r="Q7" s="3509"/>
      <c r="R7" s="1504" t="str">
        <f>结果表!O40</f>
        <v>——</v>
      </c>
    </row>
    <row r="8" spans="1:18">
      <c r="A8" s="3507" t="str">
        <f>IF(项目基本情况!B9="市场价格","——",项目基本情况!E9)</f>
        <v>——</v>
      </c>
      <c r="B8" s="3508"/>
      <c r="C8" s="3508"/>
      <c r="D8" s="3508"/>
      <c r="E8" s="3508"/>
      <c r="F8" s="3508"/>
      <c r="G8" s="3508"/>
      <c r="H8" s="3508"/>
      <c r="I8" s="3508"/>
      <c r="J8" s="3508"/>
      <c r="K8" s="3508"/>
      <c r="L8" s="3508"/>
      <c r="M8" s="3508"/>
      <c r="N8" s="3508"/>
      <c r="O8" s="3508"/>
      <c r="P8" s="3508"/>
      <c r="Q8" s="3509"/>
      <c r="R8" s="1504" t="str">
        <f>结果表!O41</f>
        <v>——</v>
      </c>
    </row>
    <row r="9" spans="1:18">
      <c r="A9" s="1505" t="s">
        <v>1556</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1543</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4" customWidth="1"/>
    <col min="2" max="3" width="21.375" style="1494" customWidth="1"/>
    <col min="4" max="4" width="19.875" style="1494" customWidth="1"/>
    <col min="5" max="16384" width="9" style="1494"/>
  </cols>
  <sheetData>
    <row r="1" spans="1:4">
      <c r="A1" s="3514" t="s">
        <v>1580</v>
      </c>
      <c r="B1" s="3514"/>
      <c r="C1" s="3514"/>
      <c r="D1" s="3514"/>
    </row>
    <row r="2" spans="1:4" ht="47.25" customHeight="1">
      <c r="A2" s="3517" t="str">
        <f>"1.权利限制："&amp;项目基本情况!L24&amp;"未设定租赁等其他他项权利。"</f>
        <v>1.权利限制：根据估价对象、，截至估价期日，估价对象抵押权未见登记。未设定租赁等其他他项权利。</v>
      </c>
      <c r="B2" s="3517"/>
      <c r="C2" s="3517"/>
      <c r="D2" s="3517"/>
    </row>
    <row r="3" spans="1:4" ht="48" customHeight="1">
      <c r="A3" s="35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4"/>
      <c r="C3" s="3514"/>
      <c r="D3" s="3514"/>
    </row>
    <row r="4" spans="1:4" ht="36.75" customHeight="1">
      <c r="A4" s="3514" t="str">
        <f>"3.估价规划限制条件：详见"&amp;项目基本情况!E21&amp;"。"</f>
        <v>3.估价规划限制条件：详见指标。</v>
      </c>
      <c r="B4" s="3514"/>
      <c r="C4" s="3514"/>
      <c r="D4" s="3514"/>
    </row>
    <row r="5" spans="1:4">
      <c r="A5" s="3516" t="s">
        <v>1581</v>
      </c>
      <c r="B5" s="3516"/>
      <c r="C5" s="3516"/>
      <c r="D5" s="3516"/>
    </row>
    <row r="6" spans="1:4">
      <c r="A6" s="3514" t="s">
        <v>1559</v>
      </c>
      <c r="B6" s="3514"/>
      <c r="C6" s="3514"/>
      <c r="D6" s="3514"/>
    </row>
    <row r="7" spans="1:4" ht="33" customHeight="1">
      <c r="A7" s="3514" t="s">
        <v>1852</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4"/>
      <c r="C8" s="3514"/>
      <c r="D8" s="3514"/>
    </row>
    <row r="9" spans="1:4" ht="33.75" customHeight="1">
      <c r="A9" s="35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4"/>
      <c r="C9" s="3514"/>
      <c r="D9" s="3514"/>
    </row>
    <row r="10" spans="1:4">
      <c r="A10" s="3514" t="str">
        <f>IF(项目基本情况!B8="抵押","4.估价师所知悉的法定优先受偿款情况为：","——")</f>
        <v>4.估价师所知悉的法定优先受偿款情况为：</v>
      </c>
      <c r="B10" s="3514"/>
      <c r="C10" s="3514"/>
      <c r="D10" s="3514"/>
    </row>
    <row r="11" spans="1:4" ht="37.5" customHeight="1">
      <c r="A11" s="3514" t="str">
        <f>IF(项目基本情况!B8="抵押","（1）"&amp;CONCATENATE(项目基本情况!L24,项目基本情况!L25,项目基本情况!L26),"——")</f>
        <v>（1）根据估价对象、，截至估价期日，估价对象抵押权未见登记。</v>
      </c>
      <c r="B11" s="3514"/>
      <c r="C11" s="3514"/>
      <c r="D11" s="3514"/>
    </row>
    <row r="12" spans="1:4" ht="168" customHeight="1">
      <c r="A12" s="3516" t="s">
        <v>1583</v>
      </c>
      <c r="B12" s="3516"/>
      <c r="C12" s="3516"/>
      <c r="D12" s="3516"/>
    </row>
    <row r="13" spans="1:4">
      <c r="A13" s="3515" t="s">
        <v>2023</v>
      </c>
      <c r="B13" s="3515"/>
      <c r="C13" s="3515"/>
      <c r="D13" s="3515"/>
    </row>
    <row r="14" spans="1:4">
      <c r="A14" s="3514" t="str">
        <f>IF(项目基本情况!B8="抵押","综上，"&amp;结果表!K47,"——")</f>
        <v>综上，本次评估估价师知悉的法定优先受偿款为人民币4570万元整。</v>
      </c>
      <c r="B14" s="3514"/>
      <c r="C14" s="3514"/>
      <c r="D14" s="3514"/>
    </row>
    <row r="15" spans="1:4" ht="58.5" customHeight="1">
      <c r="A15" s="35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1979</v>
      </c>
      <c r="B17" s="3514"/>
      <c r="C17" s="3514"/>
      <c r="D17" s="3514"/>
    </row>
    <row r="18" spans="1:4">
      <c r="A18" s="3514" t="s">
        <v>1971</v>
      </c>
      <c r="B18" s="3514"/>
      <c r="C18" s="3514"/>
      <c r="D18" s="3514"/>
    </row>
    <row r="19" spans="1:4">
      <c r="A19" s="2170" t="s">
        <v>1972</v>
      </c>
      <c r="B19" s="2170" t="s">
        <v>1973</v>
      </c>
      <c r="C19" s="2170" t="s">
        <v>1974</v>
      </c>
      <c r="D19" s="2170" t="s">
        <v>1975</v>
      </c>
    </row>
    <row r="20" spans="1:4">
      <c r="A20" s="2170" t="str">
        <f>项目基本情况!B4</f>
        <v>赵雯</v>
      </c>
      <c r="B20" s="2170">
        <f ca="1">项目基本情况!C4</f>
        <v>2011110090</v>
      </c>
      <c r="C20" s="2172"/>
      <c r="D20" s="1493" t="s">
        <v>1980</v>
      </c>
    </row>
    <row r="21" spans="1:4">
      <c r="A21" s="2170" t="str">
        <f>项目基本情况!D4</f>
        <v>郑燚</v>
      </c>
      <c r="B21" s="2170">
        <f ca="1">项目基本情况!E4</f>
        <v>2014110011</v>
      </c>
      <c r="C21" s="2172"/>
      <c r="D21" s="1493" t="s">
        <v>1981</v>
      </c>
    </row>
    <row r="23" spans="1:4">
      <c r="A23" s="3514" t="s">
        <v>1976</v>
      </c>
      <c r="B23" s="3514"/>
      <c r="C23" s="3514"/>
      <c r="D23" s="3514"/>
    </row>
    <row r="24" spans="1:4">
      <c r="A24" s="2170" t="s">
        <v>1972</v>
      </c>
      <c r="B24" s="2170" t="s">
        <v>1977</v>
      </c>
      <c r="C24" s="2170" t="s">
        <v>1974</v>
      </c>
      <c r="D24" s="2170" t="s">
        <v>1975</v>
      </c>
    </row>
    <row r="25" spans="1:4">
      <c r="A25" s="2173" t="s">
        <v>1978</v>
      </c>
      <c r="B25" s="2170" t="s">
        <v>877</v>
      </c>
      <c r="C25" s="2172"/>
      <c r="D25" s="1493" t="s">
        <v>1981</v>
      </c>
    </row>
    <row r="29" spans="1:4">
      <c r="D29" s="2171" t="s">
        <v>1554</v>
      </c>
    </row>
    <row r="30" spans="1:4">
      <c r="D30" s="217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25" t="s">
        <v>27</v>
      </c>
      <c r="B15" s="3526" t="s">
        <v>784</v>
      </c>
      <c r="C15" s="3522"/>
    </row>
    <row r="16" spans="1:7" ht="14.25">
      <c r="A16" s="3525"/>
      <c r="B16" s="3523" t="s">
        <v>28</v>
      </c>
      <c r="C16" s="1015" t="s">
        <v>27</v>
      </c>
    </row>
    <row r="17" spans="1:3" ht="14.25">
      <c r="A17" s="3525"/>
      <c r="B17" s="3523"/>
      <c r="C17" s="1015" t="s">
        <v>29</v>
      </c>
    </row>
    <row r="18" spans="1:3" ht="14.25">
      <c r="A18" s="3525"/>
      <c r="B18" s="3523"/>
      <c r="C18" s="1015" t="s">
        <v>30</v>
      </c>
    </row>
    <row r="19" spans="1:3" ht="14.25">
      <c r="A19" s="3525"/>
      <c r="B19" s="3521" t="s">
        <v>31</v>
      </c>
      <c r="C19" s="3522"/>
    </row>
    <row r="20" spans="1:3" ht="14.25">
      <c r="A20" s="1016" t="s">
        <v>32</v>
      </c>
      <c r="B20" s="1017"/>
      <c r="C20" s="1018"/>
    </row>
    <row r="21" spans="1:3" ht="14.25">
      <c r="A21" s="3524" t="s">
        <v>33</v>
      </c>
      <c r="B21" s="3521" t="s">
        <v>34</v>
      </c>
      <c r="C21" s="3522"/>
    </row>
    <row r="22" spans="1:3" ht="14.25">
      <c r="A22" s="3524"/>
      <c r="B22" s="3521" t="s">
        <v>35</v>
      </c>
      <c r="C22" s="3522"/>
    </row>
    <row r="23" spans="1:3" ht="14.25">
      <c r="A23" s="3524"/>
      <c r="B23" s="3521" t="s">
        <v>36</v>
      </c>
      <c r="C23" s="3522"/>
    </row>
    <row r="24" spans="1:3" ht="14.25">
      <c r="A24" s="3524"/>
      <c r="B24" s="3527" t="s">
        <v>37</v>
      </c>
      <c r="C24" s="1019" t="s">
        <v>775</v>
      </c>
    </row>
    <row r="25" spans="1:3" ht="14.25">
      <c r="A25" s="3524"/>
      <c r="B25" s="3528"/>
      <c r="C25" s="1019" t="s">
        <v>776</v>
      </c>
    </row>
    <row r="26" spans="1:3" ht="14.25">
      <c r="A26" s="3524"/>
      <c r="B26" s="3528"/>
      <c r="C26" s="1019" t="s">
        <v>777</v>
      </c>
    </row>
    <row r="27" spans="1:3" ht="14.25">
      <c r="A27" s="3524"/>
      <c r="B27" s="3528"/>
      <c r="C27" s="1019" t="s">
        <v>778</v>
      </c>
    </row>
    <row r="28" spans="1:3" ht="14.25">
      <c r="A28" s="3524"/>
      <c r="B28" s="3528"/>
      <c r="C28" s="1019" t="s">
        <v>779</v>
      </c>
    </row>
    <row r="29" spans="1:3" ht="14.25">
      <c r="A29" s="3524"/>
      <c r="B29" s="3528"/>
      <c r="C29" s="1019" t="s">
        <v>780</v>
      </c>
    </row>
    <row r="30" spans="1:3" ht="14.25">
      <c r="A30" s="3524"/>
      <c r="B30" s="3528"/>
      <c r="C30" s="1019" t="s">
        <v>781</v>
      </c>
    </row>
    <row r="31" spans="1:3" ht="14.25">
      <c r="A31" s="3524"/>
      <c r="B31" s="3528"/>
      <c r="C31" s="1019" t="s">
        <v>782</v>
      </c>
    </row>
    <row r="32" spans="1:3" ht="14.25">
      <c r="A32" s="3524"/>
      <c r="B32" s="3528"/>
      <c r="C32" s="1019" t="s">
        <v>1181</v>
      </c>
    </row>
    <row r="33" spans="1:3" ht="14.25">
      <c r="A33" s="3524"/>
      <c r="B33" s="3518" t="s">
        <v>1187</v>
      </c>
      <c r="C33" s="1019" t="s">
        <v>1182</v>
      </c>
    </row>
    <row r="34" spans="1:3" ht="14.25">
      <c r="A34" s="3524"/>
      <c r="B34" s="3519"/>
      <c r="C34" s="1024" t="s">
        <v>1183</v>
      </c>
    </row>
    <row r="35" spans="1:3" ht="14.25">
      <c r="A35" s="3524"/>
      <c r="B35" s="3519"/>
      <c r="C35" s="1025" t="s">
        <v>1184</v>
      </c>
    </row>
    <row r="36" spans="1:3" ht="14.25">
      <c r="A36" s="3524"/>
      <c r="B36" s="3519"/>
      <c r="C36" s="1025" t="s">
        <v>1185</v>
      </c>
    </row>
    <row r="37" spans="1:3" ht="14.25">
      <c r="A37" s="3524"/>
      <c r="B37" s="3520"/>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1431</v>
      </c>
      <c r="B2" s="2559">
        <f ca="1">TODAY()</f>
        <v>45790</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2221</v>
      </c>
      <c r="B12" s="2562">
        <f ca="1">IF(C12&lt;B2,"已过期",1120040230)</f>
        <v>1120040230</v>
      </c>
      <c r="C12" s="2565">
        <v>45937</v>
      </c>
      <c r="D12" s="2571" t="s">
        <v>2222</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2232</v>
      </c>
      <c r="B15" s="2562" t="str">
        <f ca="1">IF(C15&lt;B2,"已过期",1119980106)</f>
        <v>已过期</v>
      </c>
      <c r="C15" s="2565">
        <v>44969</v>
      </c>
      <c r="D15" s="2571"/>
      <c r="E15" s="2562"/>
      <c r="F15" s="2562"/>
      <c r="G15" s="2557"/>
    </row>
    <row r="16" spans="1:7" ht="20.25" customHeight="1">
      <c r="A16" s="2561" t="s">
        <v>2429</v>
      </c>
      <c r="B16" s="2561">
        <v>1120210056</v>
      </c>
      <c r="C16" s="2565">
        <v>45410</v>
      </c>
      <c r="D16" s="2571"/>
      <c r="E16" s="2562"/>
      <c r="F16" s="2562"/>
      <c r="G16" s="2557"/>
    </row>
    <row r="17" spans="1:7" ht="20.25" customHeight="1">
      <c r="A17" s="2561" t="s">
        <v>1568</v>
      </c>
      <c r="B17" s="2561" t="s">
        <v>1568</v>
      </c>
      <c r="C17" s="2565"/>
      <c r="D17" s="2572" t="s">
        <v>1568</v>
      </c>
      <c r="E17" s="2562" t="s">
        <v>1568</v>
      </c>
      <c r="F17" s="2564"/>
      <c r="G17" s="2557"/>
    </row>
    <row r="18" spans="1:7" ht="20.25" customHeight="1">
      <c r="A18" s="3532" t="s">
        <v>1448</v>
      </c>
      <c r="B18" s="3533"/>
      <c r="C18" s="3533"/>
      <c r="D18" s="3533"/>
      <c r="E18" s="3533"/>
      <c r="F18" s="3533"/>
      <c r="G18" s="2557"/>
    </row>
    <row r="19" spans="1:7" ht="20.25" customHeight="1">
      <c r="A19" s="3529" t="s">
        <v>1449</v>
      </c>
      <c r="B19" s="3529"/>
      <c r="C19" s="3530"/>
      <c r="D19" s="3531" t="s">
        <v>1450</v>
      </c>
      <c r="E19" s="3529"/>
      <c r="F19" s="3529"/>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2430</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1" t="s">
        <v>794</v>
      </c>
      <c r="B1" s="3" t="s">
        <v>99</v>
      </c>
      <c r="C1" s="1291" t="s">
        <v>1237</v>
      </c>
      <c r="D1" s="2045" t="s">
        <v>2742</v>
      </c>
      <c r="E1" s="4" t="s">
        <v>100</v>
      </c>
      <c r="F1" s="4" t="s">
        <v>101</v>
      </c>
      <c r="G1" s="4" t="s">
        <v>102</v>
      </c>
      <c r="H1" s="4" t="s">
        <v>103</v>
      </c>
      <c r="I1" s="4" t="s">
        <v>104</v>
      </c>
      <c r="J1" s="4" t="s">
        <v>105</v>
      </c>
      <c r="K1" s="4" t="s">
        <v>106</v>
      </c>
      <c r="L1" s="4" t="s">
        <v>107</v>
      </c>
      <c r="M1" s="4" t="s">
        <v>108</v>
      </c>
      <c r="N1" s="4" t="s">
        <v>109</v>
      </c>
      <c r="O1" s="4" t="s">
        <v>110</v>
      </c>
      <c r="P1" s="4" t="s">
        <v>111</v>
      </c>
      <c r="Q1" s="2045" t="s">
        <v>1823</v>
      </c>
      <c r="R1" s="2044" t="s">
        <v>1817</v>
      </c>
      <c r="S1" s="4" t="s">
        <v>112</v>
      </c>
      <c r="T1" s="5" t="s">
        <v>113</v>
      </c>
      <c r="U1" s="4" t="s">
        <v>114</v>
      </c>
      <c r="V1" s="4" t="s">
        <v>115</v>
      </c>
      <c r="W1" s="915" t="s">
        <v>811</v>
      </c>
    </row>
    <row r="2" spans="1:23">
      <c r="A2" s="6" t="s">
        <v>47</v>
      </c>
      <c r="B2" s="6" t="s">
        <v>116</v>
      </c>
      <c r="C2" s="1292" t="s">
        <v>1238</v>
      </c>
      <c r="D2" s="7" t="s">
        <v>48</v>
      </c>
      <c r="E2" s="7" t="s">
        <v>95</v>
      </c>
      <c r="F2" s="7" t="s">
        <v>96</v>
      </c>
      <c r="G2" s="4">
        <v>20</v>
      </c>
      <c r="H2" s="7" t="s">
        <v>97</v>
      </c>
      <c r="I2" s="7" t="s">
        <v>2728</v>
      </c>
      <c r="J2" s="7" t="s">
        <v>98</v>
      </c>
      <c r="K2" s="7" t="s">
        <v>49</v>
      </c>
      <c r="L2" s="7" t="s">
        <v>49</v>
      </c>
      <c r="M2" s="7" t="s">
        <v>49</v>
      </c>
      <c r="N2" s="7" t="s">
        <v>49</v>
      </c>
      <c r="O2" s="7" t="s">
        <v>49</v>
      </c>
      <c r="P2" s="916" t="s">
        <v>817</v>
      </c>
      <c r="Q2" s="7" t="s">
        <v>49</v>
      </c>
      <c r="R2" s="916" t="s">
        <v>1818</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2729</v>
      </c>
      <c r="J3" s="7" t="s">
        <v>56</v>
      </c>
      <c r="K3" s="7" t="s">
        <v>57</v>
      </c>
      <c r="L3" s="7" t="s">
        <v>57</v>
      </c>
      <c r="M3" s="7" t="s">
        <v>57</v>
      </c>
      <c r="N3" s="7" t="s">
        <v>57</v>
      </c>
      <c r="O3" s="7" t="s">
        <v>57</v>
      </c>
      <c r="P3" s="916" t="s">
        <v>548</v>
      </c>
      <c r="Q3" s="7" t="s">
        <v>57</v>
      </c>
      <c r="R3" s="916" t="s">
        <v>1819</v>
      </c>
      <c r="S3" s="7" t="s">
        <v>57</v>
      </c>
      <c r="T3" s="7" t="s">
        <v>58</v>
      </c>
      <c r="U3" s="7" t="s">
        <v>57</v>
      </c>
      <c r="V3" s="7" t="s">
        <v>59</v>
      </c>
      <c r="W3" s="7" t="s">
        <v>813</v>
      </c>
    </row>
    <row r="4" spans="1:23">
      <c r="A4" s="6" t="s">
        <v>60</v>
      </c>
      <c r="B4" s="6" t="s">
        <v>118</v>
      </c>
      <c r="C4" s="1292" t="s">
        <v>1240</v>
      </c>
      <c r="D4" s="7" t="s">
        <v>1510</v>
      </c>
      <c r="E4" s="7" t="s">
        <v>61</v>
      </c>
      <c r="F4" s="7" t="s">
        <v>62</v>
      </c>
      <c r="G4" s="7">
        <v>50</v>
      </c>
      <c r="H4" s="7" t="s">
        <v>63</v>
      </c>
      <c r="I4" s="7" t="s">
        <v>2730</v>
      </c>
      <c r="K4" s="7" t="s">
        <v>64</v>
      </c>
      <c r="L4" s="7" t="s">
        <v>64</v>
      </c>
      <c r="M4" s="7" t="s">
        <v>64</v>
      </c>
      <c r="N4" s="7" t="s">
        <v>64</v>
      </c>
      <c r="O4" s="7" t="s">
        <v>64</v>
      </c>
      <c r="P4" s="916" t="s">
        <v>700</v>
      </c>
      <c r="Q4" s="7" t="s">
        <v>64</v>
      </c>
      <c r="R4" s="916" t="s">
        <v>1820</v>
      </c>
      <c r="S4" s="7" t="s">
        <v>64</v>
      </c>
      <c r="T4" s="7" t="s">
        <v>65</v>
      </c>
      <c r="U4" s="7" t="s">
        <v>64</v>
      </c>
      <c r="W4" s="7" t="s">
        <v>814</v>
      </c>
    </row>
    <row r="5" spans="1:23">
      <c r="A5" s="6" t="s">
        <v>66</v>
      </c>
      <c r="B5" s="6" t="s">
        <v>119</v>
      </c>
      <c r="C5" s="1292" t="s">
        <v>1241</v>
      </c>
      <c r="F5" s="7" t="s">
        <v>67</v>
      </c>
      <c r="G5" s="7">
        <v>70</v>
      </c>
      <c r="H5" s="7" t="s">
        <v>44</v>
      </c>
      <c r="I5" s="7" t="s">
        <v>2731</v>
      </c>
      <c r="K5" s="7" t="s">
        <v>68</v>
      </c>
      <c r="L5" s="7" t="s">
        <v>68</v>
      </c>
      <c r="M5" s="7" t="s">
        <v>68</v>
      </c>
      <c r="N5" s="7" t="s">
        <v>68</v>
      </c>
      <c r="O5" s="7" t="s">
        <v>68</v>
      </c>
      <c r="P5" s="916" t="s">
        <v>495</v>
      </c>
      <c r="Q5" s="7" t="s">
        <v>68</v>
      </c>
      <c r="R5" s="916" t="s">
        <v>1821</v>
      </c>
      <c r="S5" s="7" t="s">
        <v>68</v>
      </c>
      <c r="T5" s="7" t="s">
        <v>69</v>
      </c>
      <c r="U5" s="7" t="s">
        <v>68</v>
      </c>
      <c r="W5" s="7" t="s">
        <v>815</v>
      </c>
    </row>
    <row r="6" spans="1:23">
      <c r="A6" s="6" t="s">
        <v>70</v>
      </c>
      <c r="B6" s="994" t="s">
        <v>1176</v>
      </c>
      <c r="C6" s="1293" t="s">
        <v>1242</v>
      </c>
      <c r="F6" s="7" t="s">
        <v>45</v>
      </c>
      <c r="H6" s="7" t="s">
        <v>46</v>
      </c>
      <c r="I6" s="7" t="s">
        <v>2732</v>
      </c>
      <c r="K6" s="7" t="s">
        <v>71</v>
      </c>
      <c r="L6" s="7" t="s">
        <v>71</v>
      </c>
      <c r="M6" s="7" t="s">
        <v>71</v>
      </c>
      <c r="N6" s="7" t="s">
        <v>71</v>
      </c>
      <c r="O6" s="7" t="s">
        <v>71</v>
      </c>
      <c r="P6" s="916" t="s">
        <v>818</v>
      </c>
      <c r="Q6" s="7" t="s">
        <v>71</v>
      </c>
      <c r="R6" s="916" t="s">
        <v>1822</v>
      </c>
      <c r="S6" s="7" t="s">
        <v>71</v>
      </c>
      <c r="T6" s="7"/>
      <c r="U6" s="7" t="s">
        <v>71</v>
      </c>
      <c r="W6" s="7" t="s">
        <v>816</v>
      </c>
    </row>
    <row r="7" spans="1:23">
      <c r="A7" s="6" t="s">
        <v>72</v>
      </c>
      <c r="B7" s="6" t="s">
        <v>73</v>
      </c>
      <c r="C7" s="1292" t="s">
        <v>1243</v>
      </c>
      <c r="F7" s="7" t="s">
        <v>120</v>
      </c>
      <c r="H7" s="7" t="s">
        <v>74</v>
      </c>
      <c r="I7" s="7" t="s">
        <v>2733</v>
      </c>
    </row>
    <row r="8" spans="1:23">
      <c r="A8" s="6" t="s">
        <v>75</v>
      </c>
      <c r="B8" s="6" t="s">
        <v>76</v>
      </c>
      <c r="C8" s="1292" t="s">
        <v>1244</v>
      </c>
      <c r="F8" s="7" t="s">
        <v>121</v>
      </c>
      <c r="H8" s="3078" t="s">
        <v>2727</v>
      </c>
      <c r="I8" s="7" t="s">
        <v>2734</v>
      </c>
    </row>
    <row r="9" spans="1:23">
      <c r="A9" s="6" t="s">
        <v>77</v>
      </c>
      <c r="B9" s="6" t="s">
        <v>122</v>
      </c>
      <c r="C9" s="1292" t="s">
        <v>1245</v>
      </c>
      <c r="F9" s="7" t="s">
        <v>78</v>
      </c>
      <c r="H9" s="7"/>
      <c r="I9" s="7" t="s">
        <v>2735</v>
      </c>
    </row>
    <row r="10" spans="1:23">
      <c r="A10" s="6" t="s">
        <v>79</v>
      </c>
      <c r="B10" s="6" t="s">
        <v>123</v>
      </c>
      <c r="C10" s="1292" t="s">
        <v>1246</v>
      </c>
      <c r="F10" s="3078" t="s">
        <v>2726</v>
      </c>
      <c r="I10" s="7" t="s">
        <v>2736</v>
      </c>
    </row>
    <row r="11" spans="1:23">
      <c r="A11" s="6" t="s">
        <v>80</v>
      </c>
      <c r="B11" s="6" t="s">
        <v>124</v>
      </c>
      <c r="C11" s="1292" t="s">
        <v>1247</v>
      </c>
      <c r="I11" s="7" t="s">
        <v>2737</v>
      </c>
    </row>
    <row r="12" spans="1:23">
      <c r="A12" s="6" t="s">
        <v>81</v>
      </c>
      <c r="B12" s="6" t="s">
        <v>125</v>
      </c>
      <c r="C12" s="1292" t="s">
        <v>1248</v>
      </c>
      <c r="I12" s="7" t="s">
        <v>2738</v>
      </c>
    </row>
    <row r="13" spans="1:23">
      <c r="A13" s="6" t="s">
        <v>82</v>
      </c>
      <c r="B13" s="6" t="s">
        <v>126</v>
      </c>
      <c r="C13" s="1292" t="s">
        <v>1249</v>
      </c>
      <c r="I13" s="7" t="s">
        <v>2739</v>
      </c>
    </row>
    <row r="14" spans="1:23">
      <c r="A14" s="6" t="s">
        <v>83</v>
      </c>
      <c r="B14" s="6" t="s">
        <v>127</v>
      </c>
      <c r="C14" s="1294" t="s">
        <v>1421</v>
      </c>
      <c r="I14" s="7" t="s">
        <v>2740</v>
      </c>
    </row>
    <row r="15" spans="1:23">
      <c r="A15" s="6" t="s">
        <v>84</v>
      </c>
      <c r="B15" s="6" t="s">
        <v>1214</v>
      </c>
      <c r="C15" s="1294"/>
      <c r="I15" s="7" t="s">
        <v>2741</v>
      </c>
    </row>
    <row r="16" spans="1:23">
      <c r="A16" s="6" t="s">
        <v>85</v>
      </c>
      <c r="B16" s="6" t="s">
        <v>1215</v>
      </c>
      <c r="C16" s="1294"/>
    </row>
    <row r="17" spans="1:3">
      <c r="A17" s="6" t="s">
        <v>86</v>
      </c>
      <c r="B17" s="6" t="s">
        <v>1216</v>
      </c>
      <c r="C17" s="1294"/>
    </row>
    <row r="18" spans="1:3">
      <c r="A18" s="6" t="s">
        <v>87</v>
      </c>
      <c r="B18" s="2354" t="s">
        <v>2198</v>
      </c>
      <c r="C18" s="1294"/>
    </row>
    <row r="19" spans="1:3">
      <c r="A19" s="6" t="s">
        <v>88</v>
      </c>
      <c r="B19" s="2354" t="s">
        <v>2205</v>
      </c>
      <c r="C19" s="1294"/>
    </row>
    <row r="20" spans="1:3">
      <c r="A20" s="6" t="s">
        <v>89</v>
      </c>
      <c r="B20" s="2354" t="s">
        <v>2245</v>
      </c>
      <c r="C20" s="1294"/>
    </row>
    <row r="21" spans="1:3">
      <c r="A21" s="6" t="s">
        <v>90</v>
      </c>
      <c r="B21" s="6" t="s">
        <v>2421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5"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34"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c r="D53" s="1466"/>
      <c r="E53" s="1466"/>
    </row>
    <row r="54" spans="1:5">
      <c r="A54" s="3534"/>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34"/>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34"/>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34"/>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c r="A58" s="1467" t="s">
        <v>1564</v>
      </c>
      <c r="B58" s="1465" t="s">
        <v>1565</v>
      </c>
      <c r="C58" s="9" t="s">
        <v>1566</v>
      </c>
      <c r="D58" s="1121"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2025-05-13T07:35:17Z</dcterms:modified>
</cp:coreProperties>
</file>