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抵押物汇总" sheetId="69" r:id="rId13"/>
    <sheet name="规划" sheetId="70" r:id="rId14"/>
    <sheet name="数据-汇总表" sheetId="6" r:id="rId15"/>
    <sheet name="数据-取费表" sheetId="1" r:id="rId16"/>
    <sheet name="估价对象房地状况" sheetId="20" state="hidden" r:id="rId17"/>
    <sheet name="系统读取表" sheetId="66" r:id="rId18"/>
    <sheet name="结果表" sheetId="9"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存贷款利率" sheetId="65" state="hidden" r:id="rId38"/>
    <sheet name="土地案例" sheetId="68" r:id="rId39"/>
    <sheet name="剩余法-待开发" sheetId="12" r:id="rId40"/>
    <sheet name="不动产比较法-住宅" sheetId="21" r:id="rId41"/>
    <sheet name="不动产收益法（商业）" sheetId="15" r:id="rId42"/>
    <sheet name="商业租金" sheetId="74" r:id="rId43"/>
    <sheet name="不动产收益法（车位）" sheetId="71" r:id="rId44"/>
    <sheet name="剩余法-现房" sheetId="43" state="hidden" r:id="rId45"/>
    <sheet name="车位租金" sheetId="75" r:id="rId46"/>
    <sheet name="Sheet6" sheetId="73" r:id="rId47"/>
  </sheets>
  <externalReferences>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4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5" i="6" l="1"/>
  <c r="D83" i="39"/>
  <c r="F13" i="39"/>
  <c r="AA13" i="39"/>
  <c r="R49" i="39"/>
  <c r="H13" i="39"/>
  <c r="AB13" i="39"/>
  <c r="T49" i="39"/>
  <c r="J13" i="39"/>
  <c r="AC1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F6" i="15"/>
  <c r="F8" i="15"/>
  <c r="F7" i="15"/>
  <c r="F9" i="15"/>
  <c r="C6" i="15"/>
  <c r="N4" i="65"/>
  <c r="C4" i="65"/>
  <c r="B39" i="1"/>
  <c r="F11" i="15"/>
  <c r="C10" i="15"/>
  <c r="C5" i="15"/>
  <c r="C32" i="15"/>
  <c r="C33" i="15"/>
  <c r="F35" i="15"/>
  <c r="C34" i="15"/>
  <c r="C31" i="15"/>
  <c r="L7" i="1"/>
  <c r="M7" i="1"/>
  <c r="L14" i="1"/>
  <c r="M14" i="1"/>
  <c r="T7" i="1"/>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F6" i="71"/>
  <c r="F8" i="71"/>
  <c r="F7" i="71"/>
  <c r="F9" i="71"/>
  <c r="C6" i="71"/>
  <c r="F11" i="71"/>
  <c r="C10" i="71"/>
  <c r="C5" i="71"/>
  <c r="C32" i="71"/>
  <c r="C33" i="71"/>
  <c r="F35" i="71"/>
  <c r="C34" i="71"/>
  <c r="C31" i="71"/>
  <c r="L8" i="1"/>
  <c r="M8" i="1"/>
  <c r="T8" i="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8" i="1"/>
  <c r="F41" i="71"/>
  <c r="C40" i="71"/>
  <c r="M6" i="71"/>
  <c r="M8" i="71"/>
  <c r="M7" i="71"/>
  <c r="M9" i="71"/>
  <c r="J6" i="71"/>
  <c r="M11" i="71"/>
  <c r="J10" i="71"/>
  <c r="J5" i="71"/>
  <c r="J26" i="71"/>
  <c r="J29" i="71"/>
  <c r="B2" i="71"/>
  <c r="E10" i="12"/>
  <c r="R47" i="21"/>
  <c r="F42" i="21"/>
  <c r="AA42" i="21"/>
  <c r="F15" i="21"/>
  <c r="AA15" i="21"/>
  <c r="F19" i="21"/>
  <c r="AA19" i="21"/>
  <c r="R48" i="21"/>
  <c r="V47" i="21"/>
  <c r="V48" i="21"/>
  <c r="R49" i="21"/>
  <c r="C49" i="21"/>
  <c r="B3" i="21"/>
  <c r="B2" i="21"/>
  <c r="C10" i="12"/>
  <c r="C6" i="12"/>
  <c r="M6" i="1"/>
  <c r="O6" i="1"/>
  <c r="P6" i="1"/>
  <c r="O7" i="1"/>
  <c r="P7" i="1"/>
  <c r="O8" i="1"/>
  <c r="P8" i="1"/>
  <c r="O14" i="1"/>
  <c r="P14" i="1"/>
  <c r="P16" i="1"/>
  <c r="C13" i="12"/>
  <c r="C14" i="12"/>
  <c r="F15"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B3" i="3"/>
  <c r="AY6" i="3"/>
  <c r="D3" i="6"/>
  <c r="D19" i="6"/>
  <c r="D20" i="6"/>
  <c r="D21" i="6"/>
  <c r="D22" i="6"/>
  <c r="D23" i="6"/>
  <c r="D24" i="6"/>
  <c r="D25" i="6"/>
  <c r="D26" i="6"/>
  <c r="D27" i="6"/>
  <c r="D28" i="6"/>
  <c r="D29" i="6"/>
  <c r="D30" i="6"/>
  <c r="D31" i="6"/>
  <c r="I6" i="6"/>
  <c r="C13" i="39"/>
  <c r="C40" i="39"/>
  <c r="F40" i="39"/>
  <c r="AA40" i="39"/>
  <c r="H40" i="39"/>
  <c r="AB40" i="39"/>
  <c r="J40" i="39"/>
  <c r="AC40" i="39"/>
  <c r="H20" i="6"/>
  <c r="R20" i="6"/>
  <c r="R7" i="1"/>
  <c r="H21" i="6"/>
  <c r="R21" i="6"/>
  <c r="R8" i="1"/>
  <c r="K42" i="21"/>
  <c r="D123" i="21"/>
  <c r="E123" i="21"/>
  <c r="H42" i="21"/>
  <c r="AB42" i="21"/>
  <c r="T48" i="21"/>
  <c r="J42" i="21"/>
  <c r="AC42" i="21"/>
  <c r="C32" i="9"/>
  <c r="C42" i="9"/>
  <c r="C44" i="9"/>
  <c r="G14" i="66"/>
  <c r="D14" i="66"/>
  <c r="AL13" i="3"/>
  <c r="AH13" i="3"/>
  <c r="AD13" i="3"/>
  <c r="E9" i="6"/>
  <c r="O13" i="3"/>
  <c r="M13" i="3"/>
  <c r="I13" i="3"/>
  <c r="AN13" i="3"/>
  <c r="AJ13" i="3"/>
  <c r="AF13" i="3"/>
  <c r="BB13" i="3"/>
  <c r="BB5" i="3"/>
  <c r="BD13" i="3"/>
  <c r="BD5" i="3"/>
  <c r="E8" i="6"/>
  <c r="E58" i="39"/>
  <c r="F20" i="6"/>
  <c r="E20" i="6"/>
  <c r="K7" i="1"/>
  <c r="BN13" i="3"/>
  <c r="BP13" i="3"/>
  <c r="BR13" i="3"/>
  <c r="BM13" i="3"/>
  <c r="BO13" i="3"/>
  <c r="BQ13" i="3"/>
  <c r="BL13" i="3"/>
  <c r="BE13" i="3"/>
  <c r="BA13" i="3"/>
  <c r="AZ13" i="3"/>
  <c r="AZ5" i="3"/>
  <c r="AC13" i="3"/>
  <c r="H13" i="3"/>
  <c r="G13" i="3"/>
  <c r="G5" i="3"/>
  <c r="E3" i="6"/>
  <c r="L20" i="6"/>
  <c r="BR5" i="3"/>
  <c r="G28" i="6"/>
  <c r="BQ5" i="3"/>
  <c r="F28" i="6"/>
  <c r="E28" i="6"/>
  <c r="F19" i="6"/>
  <c r="E19" i="6"/>
  <c r="BA5" i="3"/>
  <c r="G21" i="6"/>
  <c r="E21" i="6"/>
  <c r="E27" i="6"/>
  <c r="K20" i="6"/>
  <c r="M20" i="6"/>
  <c r="I20" i="6"/>
  <c r="K14" i="1"/>
  <c r="S7" i="1"/>
  <c r="K19" i="6"/>
  <c r="S6" i="1"/>
  <c r="K21" i="6"/>
  <c r="S8" i="1"/>
  <c r="S9" i="1"/>
  <c r="S10" i="1"/>
  <c r="S11" i="1"/>
  <c r="S12" i="1"/>
  <c r="S13" i="1"/>
  <c r="S16" i="1"/>
  <c r="F20" i="15"/>
  <c r="F21" i="15"/>
  <c r="L21" i="6"/>
  <c r="M21" i="6"/>
  <c r="I21" i="6"/>
  <c r="K8" i="1"/>
  <c r="F20" i="71"/>
  <c r="F21" i="71"/>
  <c r="C33" i="21"/>
  <c r="F33" i="21"/>
  <c r="AA33" i="21"/>
  <c r="H33" i="21"/>
  <c r="AB33" i="21"/>
  <c r="J33" i="21"/>
  <c r="AC33" i="21"/>
  <c r="D3" i="21"/>
  <c r="K6" i="1"/>
  <c r="K9" i="1"/>
  <c r="M9" i="1"/>
  <c r="O9" i="1"/>
  <c r="P9" i="1"/>
  <c r="K10" i="1"/>
  <c r="M10" i="1"/>
  <c r="O10" i="1"/>
  <c r="P10" i="1"/>
  <c r="K11" i="1"/>
  <c r="M11" i="1"/>
  <c r="O11" i="1"/>
  <c r="P11" i="1"/>
  <c r="K12" i="1"/>
  <c r="M12" i="1"/>
  <c r="O12" i="1"/>
  <c r="P12" i="1"/>
  <c r="K13" i="1"/>
  <c r="M13" i="1"/>
  <c r="O13" i="1"/>
  <c r="P13" i="1"/>
  <c r="E5" i="6"/>
  <c r="E6" i="6"/>
  <c r="F23" i="12"/>
  <c r="F24" i="12"/>
  <c r="Q16" i="1"/>
  <c r="C21" i="6"/>
  <c r="C20" i="6"/>
  <c r="C19" i="6"/>
  <c r="AH8" i="1"/>
  <c r="A6" i="1"/>
  <c r="A7" i="1"/>
  <c r="G1" i="15"/>
  <c r="A8" i="1"/>
  <c r="G1" i="71"/>
  <c r="AT13" i="3"/>
  <c r="A3" i="3"/>
  <c r="K16" i="70"/>
  <c r="N16" i="70"/>
  <c r="K13" i="70"/>
  <c r="K14" i="70"/>
  <c r="K15" i="70"/>
  <c r="N6" i="70"/>
  <c r="N8" i="70"/>
  <c r="K8" i="70"/>
  <c r="K10" i="70"/>
  <c r="G8" i="70"/>
  <c r="D8" i="70"/>
  <c r="G14" i="70"/>
  <c r="D12" i="70"/>
  <c r="AT5" i="3"/>
  <c r="L10" i="12"/>
  <c r="D9" i="70"/>
  <c r="D13" i="70"/>
  <c r="D14" i="70"/>
  <c r="K22" i="6"/>
  <c r="K23" i="6"/>
  <c r="K24" i="6"/>
  <c r="K25" i="6"/>
  <c r="K26" i="6"/>
  <c r="K27" i="6"/>
  <c r="E32" i="6"/>
  <c r="BM5" i="3"/>
  <c r="BO5" i="3"/>
  <c r="F29" i="6"/>
  <c r="BN5" i="3"/>
  <c r="BP5" i="3"/>
  <c r="G29" i="6"/>
  <c r="E29" i="6"/>
  <c r="L19" i="6"/>
  <c r="M19" i="6"/>
  <c r="I19" i="6"/>
  <c r="H19" i="6"/>
  <c r="R19" i="6"/>
  <c r="L22" i="6"/>
  <c r="M22" i="6"/>
  <c r="I22" i="6"/>
  <c r="H22" i="6"/>
  <c r="R22" i="6"/>
  <c r="L23" i="6"/>
  <c r="M23" i="6"/>
  <c r="I23" i="6"/>
  <c r="H23" i="6"/>
  <c r="R23" i="6"/>
  <c r="L24" i="6"/>
  <c r="M24" i="6"/>
  <c r="I24" i="6"/>
  <c r="H24" i="6"/>
  <c r="R24" i="6"/>
  <c r="L25" i="6"/>
  <c r="M25" i="6"/>
  <c r="I25" i="6"/>
  <c r="H25" i="6"/>
  <c r="R25" i="6"/>
  <c r="L26" i="6"/>
  <c r="M26" i="6"/>
  <c r="I26" i="6"/>
  <c r="H26" i="6"/>
  <c r="R26" i="6"/>
  <c r="R27" i="6"/>
  <c r="E30" i="6"/>
  <c r="M47" i="71"/>
  <c r="L46" i="71"/>
  <c r="Q18" i="1"/>
  <c r="I7" i="21"/>
  <c r="G7" i="21"/>
  <c r="F27" i="6"/>
  <c r="F30" i="6"/>
  <c r="F31" i="6"/>
  <c r="I40" i="39"/>
  <c r="G40" i="39"/>
  <c r="E40" i="39"/>
  <c r="I48" i="39"/>
  <c r="G48" i="39"/>
  <c r="E48" i="39"/>
  <c r="E73" i="39"/>
  <c r="F73" i="39"/>
  <c r="G73" i="39"/>
  <c r="H73" i="39"/>
  <c r="I73" i="39"/>
  <c r="J73" i="39"/>
  <c r="K73" i="39"/>
  <c r="L73" i="39"/>
  <c r="M73" i="39"/>
  <c r="N73" i="39"/>
  <c r="D73" i="39"/>
  <c r="D77" i="39"/>
  <c r="C77" i="39"/>
  <c r="B12" i="4"/>
  <c r="C11" i="4"/>
  <c r="B7" i="4"/>
  <c r="F10" i="4"/>
  <c r="B5" i="4"/>
  <c r="D3" i="4"/>
  <c r="I9" i="39"/>
  <c r="G9" i="39"/>
  <c r="E9" i="39"/>
  <c r="I8" i="39"/>
  <c r="I7" i="39"/>
  <c r="G8" i="39"/>
  <c r="G7" i="39"/>
  <c r="E8" i="39"/>
  <c r="E7" i="39"/>
  <c r="B2" i="1"/>
  <c r="C7" i="21"/>
  <c r="C58" i="21"/>
  <c r="D58" i="21"/>
  <c r="E58" i="21"/>
  <c r="F58" i="21"/>
  <c r="G58" i="21"/>
  <c r="H58" i="21"/>
  <c r="I58" i="21"/>
  <c r="J58" i="21"/>
  <c r="K58" i="21"/>
  <c r="L58" i="21"/>
  <c r="M58" i="21"/>
  <c r="N58" i="21"/>
  <c r="O58" i="21"/>
  <c r="F7" i="21"/>
  <c r="AA7" i="21"/>
  <c r="F8" i="21"/>
  <c r="AA8" i="21"/>
  <c r="C63" i="21"/>
  <c r="F9" i="21"/>
  <c r="AA9" i="21"/>
  <c r="F10" i="21"/>
  <c r="AA10" i="21"/>
  <c r="F11" i="21"/>
  <c r="AA11" i="21"/>
  <c r="D113" i="21"/>
  <c r="E113" i="21"/>
  <c r="F113" i="21"/>
  <c r="G113" i="21"/>
  <c r="F37" i="21"/>
  <c r="AA37" i="21"/>
  <c r="F40" i="21"/>
  <c r="AA40" i="21"/>
  <c r="F39" i="21"/>
  <c r="AA39" i="21"/>
  <c r="F38" i="21"/>
  <c r="AA38" i="21"/>
  <c r="F36" i="21"/>
  <c r="AA36" i="21"/>
  <c r="F35" i="21"/>
  <c r="AA35" i="21"/>
  <c r="F34" i="21"/>
  <c r="AA34" i="21"/>
  <c r="F32" i="21"/>
  <c r="AA32" i="21"/>
  <c r="F41" i="21"/>
  <c r="AA41" i="21"/>
  <c r="F43" i="21"/>
  <c r="AA43" i="21"/>
  <c r="D77" i="21"/>
  <c r="E77" i="21"/>
  <c r="D79" i="21"/>
  <c r="E79" i="21"/>
  <c r="F17" i="21"/>
  <c r="AA17" i="21"/>
  <c r="D81" i="21"/>
  <c r="E81" i="21"/>
  <c r="D83" i="21"/>
  <c r="F21" i="21"/>
  <c r="AA21" i="21"/>
  <c r="D85" i="21"/>
  <c r="E85" i="21"/>
  <c r="F23" i="21"/>
  <c r="AA23" i="21"/>
  <c r="H37" i="21"/>
  <c r="AB37" i="21"/>
  <c r="H40" i="21"/>
  <c r="AB40" i="21"/>
  <c r="H39" i="21"/>
  <c r="AB39" i="21"/>
  <c r="H38" i="21"/>
  <c r="AB38" i="21"/>
  <c r="H36" i="21"/>
  <c r="AB36" i="21"/>
  <c r="H35" i="21"/>
  <c r="AB35" i="21"/>
  <c r="H34" i="21"/>
  <c r="AB34" i="21"/>
  <c r="H32" i="21"/>
  <c r="AB32" i="21"/>
  <c r="H41" i="21"/>
  <c r="AB41" i="21"/>
  <c r="H43" i="21"/>
  <c r="AB43" i="21"/>
  <c r="T47" i="21"/>
  <c r="H10" i="21"/>
  <c r="AB10" i="21"/>
  <c r="H15" i="21"/>
  <c r="AB15" i="21"/>
  <c r="H17" i="21"/>
  <c r="AB17" i="21"/>
  <c r="H19" i="21"/>
  <c r="AB19" i="21"/>
  <c r="H21" i="21"/>
  <c r="AB21" i="21"/>
  <c r="H23" i="21"/>
  <c r="AB23" i="21"/>
  <c r="H11" i="21"/>
  <c r="AB11" i="21"/>
  <c r="J37" i="21"/>
  <c r="AC37" i="21"/>
  <c r="J40" i="21"/>
  <c r="AC40" i="21"/>
  <c r="J39" i="21"/>
  <c r="AC39" i="21"/>
  <c r="J38" i="21"/>
  <c r="AC38" i="21"/>
  <c r="J36" i="21"/>
  <c r="AC36" i="21"/>
  <c r="J35" i="21"/>
  <c r="AC35" i="21"/>
  <c r="J34" i="21"/>
  <c r="AC34" i="21"/>
  <c r="J32" i="21"/>
  <c r="AC32" i="21"/>
  <c r="J41" i="21"/>
  <c r="AC41" i="21"/>
  <c r="J43" i="21"/>
  <c r="AC43" i="21"/>
  <c r="J10" i="21"/>
  <c r="AC10" i="21"/>
  <c r="J15" i="21"/>
  <c r="AC15" i="21"/>
  <c r="J17" i="21"/>
  <c r="AC17" i="21"/>
  <c r="J19" i="21"/>
  <c r="AC19" i="21"/>
  <c r="J21" i="21"/>
  <c r="AC21" i="21"/>
  <c r="J23" i="21"/>
  <c r="AC23" i="21"/>
  <c r="J11" i="21"/>
  <c r="AC11" i="21"/>
  <c r="C8" i="12"/>
  <c r="C1" i="65"/>
  <c r="N1" i="65"/>
  <c r="C42" i="1"/>
  <c r="B52" i="1"/>
  <c r="F34" i="71"/>
  <c r="H1" i="65"/>
  <c r="B22" i="1"/>
  <c r="C2" i="65"/>
  <c r="I1" i="65"/>
  <c r="F23" i="71"/>
  <c r="C28" i="71"/>
  <c r="G19" i="4"/>
  <c r="F8" i="1"/>
  <c r="J51" i="71"/>
  <c r="F34" i="15"/>
  <c r="F23" i="15"/>
  <c r="C28" i="15"/>
  <c r="E19" i="4"/>
  <c r="F7" i="1"/>
  <c r="J51" i="15"/>
  <c r="L46" i="15"/>
  <c r="B3" i="71"/>
  <c r="E8" i="12"/>
  <c r="B3" i="15"/>
  <c r="D8" i="12"/>
  <c r="F32" i="71"/>
  <c r="F33" i="71"/>
  <c r="F15" i="71"/>
  <c r="F17" i="71"/>
  <c r="F18" i="71"/>
  <c r="F28" i="71"/>
  <c r="Q66" i="71"/>
  <c r="J50" i="71"/>
  <c r="L60" i="71"/>
  <c r="Q67" i="71"/>
  <c r="Q76" i="71"/>
  <c r="D8"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C46" i="71"/>
  <c r="J42" i="71"/>
  <c r="J43" i="71"/>
  <c r="C43" i="71"/>
  <c r="J35" i="71"/>
  <c r="J39" i="71"/>
  <c r="J40" i="71"/>
  <c r="F31" i="71"/>
  <c r="M29" i="71"/>
  <c r="M28" i="7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D15" i="70"/>
  <c r="P6" i="69"/>
  <c r="P5" i="69"/>
  <c r="P4" i="69"/>
  <c r="AH5" i="59"/>
  <c r="AG5" i="59"/>
  <c r="AE5" i="59"/>
  <c r="AF5" i="59"/>
  <c r="AD5" i="59"/>
  <c r="Q5" i="59"/>
  <c r="Q6" i="59"/>
  <c r="Q7" i="59"/>
  <c r="AB5" i="59"/>
  <c r="P5" i="59"/>
  <c r="P6" i="59"/>
  <c r="P7" i="59"/>
  <c r="AA5" i="59"/>
  <c r="O5" i="59"/>
  <c r="O6" i="59"/>
  <c r="O7" i="59"/>
  <c r="Y5" i="59"/>
  <c r="Z5" i="59"/>
  <c r="N5" i="59"/>
  <c r="N6" i="59"/>
  <c r="N7" i="59"/>
  <c r="X5" i="59"/>
  <c r="F7" i="59"/>
  <c r="F6" i="59"/>
  <c r="F5" i="59"/>
  <c r="E7" i="59"/>
  <c r="E6" i="59"/>
  <c r="E5" i="59"/>
  <c r="C7" i="59"/>
  <c r="C6" i="59"/>
  <c r="C5" i="59"/>
  <c r="D5" i="59"/>
  <c r="B7" i="59"/>
  <c r="B6" i="59"/>
  <c r="B5" i="59"/>
  <c r="AH6" i="59"/>
  <c r="AG6" i="59"/>
  <c r="AE6" i="59"/>
  <c r="AF6" i="59"/>
  <c r="AD6" i="59"/>
  <c r="F25" i="12"/>
  <c r="AH7" i="59"/>
  <c r="AG7" i="59"/>
  <c r="AE7" i="59"/>
  <c r="AF7" i="59"/>
  <c r="AD7" i="59"/>
  <c r="AB6" i="59"/>
  <c r="AA6" i="59"/>
  <c r="Y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L26" i="4"/>
  <c r="L24" i="4"/>
  <c r="L25" i="4"/>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P25" i="6"/>
  <c r="P24" i="6"/>
  <c r="P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E83"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A12" i="1"/>
  <c r="R12" i="1"/>
  <c r="A13" i="1"/>
  <c r="B13" i="1"/>
  <c r="E13" i="1"/>
  <c r="A9"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F9" i="1"/>
  <c r="AP9" i="1"/>
  <c r="F19" i="4"/>
  <c r="AP8" i="1"/>
  <c r="G7" i="1"/>
  <c r="B2" i="52"/>
  <c r="B15" i="52"/>
  <c r="I2" i="46"/>
  <c r="N12" i="46"/>
  <c r="A7" i="46"/>
  <c r="F41" i="4"/>
  <c r="J52" i="40"/>
  <c r="H61" i="49"/>
  <c r="H39" i="46"/>
  <c r="H38" i="46"/>
  <c r="H37" i="46"/>
  <c r="H36" i="46"/>
  <c r="H35" i="46"/>
  <c r="H34" i="46"/>
  <c r="H33" i="46"/>
  <c r="J20" i="46"/>
  <c r="C18" i="46"/>
  <c r="F15" i="46"/>
  <c r="E15" i="46"/>
  <c r="D15" i="46"/>
  <c r="C15" i="46"/>
  <c r="C10" i="46"/>
  <c r="C11" i="46"/>
  <c r="C9" i="46"/>
  <c r="E22" i="6"/>
  <c r="E23" i="6"/>
  <c r="E24" i="6"/>
  <c r="E25" i="6"/>
  <c r="E26" i="6"/>
  <c r="D38" i="4"/>
  <c r="C39" i="4"/>
  <c r="C35" i="4"/>
  <c r="E16" i="12"/>
  <c r="F14" i="12"/>
  <c r="F17" i="12"/>
  <c r="E19" i="12"/>
  <c r="E21" i="12"/>
  <c r="E22"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24" i="1"/>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B130" i="21"/>
  <c r="B128" i="21"/>
  <c r="B126" i="21"/>
  <c r="B98" i="21"/>
  <c r="B96" i="21"/>
  <c r="B94" i="21"/>
  <c r="B92" i="21"/>
  <c r="B90" i="21"/>
  <c r="B74" i="21"/>
  <c r="B72"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K5" i="3"/>
  <c r="J5" i="3"/>
  <c r="BE10" i="3"/>
  <c r="BF13" i="3"/>
  <c r="BF5" i="3"/>
  <c r="BG13" i="3"/>
  <c r="BG5" i="3"/>
  <c r="BH13" i="3"/>
  <c r="BI13" i="3"/>
  <c r="BI5" i="3"/>
  <c r="BJ13" i="3"/>
  <c r="BK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U34" i="21"/>
  <c r="S43" i="21"/>
  <c r="S38" i="21"/>
  <c r="S36" i="21"/>
  <c r="W40" i="21"/>
  <c r="J8" i="21"/>
  <c r="AC8" i="21"/>
  <c r="J9" i="21"/>
  <c r="AC9" i="21"/>
  <c r="H8" i="21"/>
  <c r="H9" i="21"/>
  <c r="AB9" i="21"/>
  <c r="U10" i="21"/>
  <c r="W34" i="21"/>
  <c r="U36" i="21"/>
  <c r="W33" i="21"/>
  <c r="U33" i="21"/>
  <c r="H26" i="21"/>
  <c r="W19" i="21"/>
  <c r="J12" i="21"/>
  <c r="H12" i="21"/>
  <c r="U12" i="21"/>
  <c r="J26" i="21"/>
  <c r="W26" i="21"/>
  <c r="F26" i="21"/>
  <c r="AA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AC46" i="21"/>
  <c r="AC26" i="21"/>
  <c r="F85" i="21"/>
  <c r="G85" i="21"/>
  <c r="W23" i="21"/>
  <c r="W17" i="21"/>
  <c r="S15" i="21"/>
  <c r="F77" i="21"/>
  <c r="G77" i="21"/>
  <c r="W13" i="21"/>
  <c r="W21" i="21"/>
  <c r="W44" i="21"/>
  <c r="W10"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F3" i="35"/>
  <c r="K1" i="43"/>
  <c r="K1" i="12"/>
  <c r="G1" i="44"/>
  <c r="I4" i="6"/>
  <c r="G3" i="46"/>
  <c r="AZ15" i="3"/>
  <c r="BK5" i="3"/>
  <c r="BL18" i="3"/>
  <c r="AZ18" i="3"/>
  <c r="BC5" i="3"/>
  <c r="BS5" i="3"/>
  <c r="BL16" i="3"/>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AZ16" i="3"/>
  <c r="H16" i="1"/>
  <c r="A9" i="64"/>
  <c r="A9" i="51"/>
  <c r="B9" i="63"/>
  <c r="A3" i="55"/>
  <c r="B56" i="63"/>
  <c r="E13" i="52"/>
  <c r="E4" i="4"/>
  <c r="E7" i="52"/>
  <c r="C4" i="4"/>
  <c r="G66" i="36"/>
  <c r="J18" i="36"/>
  <c r="AE6" i="1"/>
  <c r="W18" i="36"/>
  <c r="AC18" i="36"/>
  <c r="AG6" i="1"/>
  <c r="D12" i="11"/>
  <c r="C12" i="11"/>
  <c r="D16" i="43"/>
  <c r="C16" i="43"/>
  <c r="L27" i="6"/>
  <c r="B21" i="55"/>
  <c r="B72" i="63"/>
  <c r="B20" i="55"/>
  <c r="B70" i="63"/>
  <c r="L38" i="9"/>
  <c r="B14" i="66"/>
  <c r="B1" i="66"/>
  <c r="C45" i="9"/>
  <c r="H14" i="66"/>
  <c r="B7" i="66"/>
  <c r="C7" i="66"/>
  <c r="R9" i="1"/>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B3" i="12"/>
  <c r="D20" i="9"/>
  <c r="M30" i="44"/>
  <c r="F38" i="44"/>
  <c r="M21" i="15"/>
  <c r="E11" i="67"/>
  <c r="F10" i="44"/>
  <c r="N7" i="65"/>
  <c r="B10" i="67"/>
  <c r="E10" i="67"/>
  <c r="F11" i="44"/>
  <c r="E9" i="67"/>
  <c r="M22" i="15"/>
  <c r="N6" i="65"/>
  <c r="M28" i="15"/>
  <c r="B4" i="12"/>
  <c r="D21" i="9"/>
  <c r="M29" i="44"/>
  <c r="J17" i="44"/>
  <c r="F45" i="44"/>
  <c r="M26" i="44"/>
  <c r="B11" i="67"/>
  <c r="F8" i="44"/>
  <c r="M27" i="15"/>
  <c r="M31" i="44"/>
  <c r="B12" i="67"/>
  <c r="A25" i="51"/>
  <c r="B18" i="63"/>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25" i="12"/>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6" i="52"/>
  <c r="E4" i="52"/>
  <c r="B7" i="52"/>
  <c r="E5" i="52"/>
  <c r="P21" i="46"/>
  <c r="B9" i="59"/>
  <c r="B8" i="59"/>
  <c r="S8" i="59"/>
  <c r="D9" i="59"/>
  <c r="P22" i="46"/>
  <c r="P23" i="46"/>
  <c r="P25" i="46"/>
  <c r="B73" i="39"/>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L44" i="9"/>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I3" i="65"/>
  <c r="J4" i="65"/>
  <c r="M17" i="15"/>
  <c r="M19" i="44"/>
  <c r="E65" i="40"/>
  <c r="D67" i="40"/>
  <c r="E70" i="39"/>
  <c r="D72" i="39"/>
  <c r="AB7" i="21"/>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S26" i="6"/>
  <c r="S24" i="6"/>
  <c r="S22" i="6"/>
  <c r="E31" i="6"/>
  <c r="S23"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F70" i="39"/>
  <c r="E72" i="39"/>
  <c r="S7" i="21"/>
  <c r="F65" i="40"/>
  <c r="E67" i="40"/>
  <c r="D7" i="59"/>
  <c r="D6" i="59"/>
  <c r="M28" i="46"/>
  <c r="G20" i="46"/>
  <c r="E41" i="46"/>
  <c r="C41" i="46"/>
  <c r="N28" i="46"/>
  <c r="F17" i="11"/>
  <c r="C17" i="11"/>
  <c r="C19" i="11"/>
  <c r="C20" i="11"/>
  <c r="C21" i="11"/>
  <c r="C22" i="11"/>
  <c r="C23" i="11"/>
  <c r="B2" i="11"/>
  <c r="S5" i="46"/>
  <c r="S2" i="46"/>
  <c r="S3" i="46"/>
  <c r="S7" i="46"/>
  <c r="S6" i="46"/>
  <c r="S4" i="46"/>
  <c r="K16" i="1"/>
  <c r="E63" i="40"/>
  <c r="C22" i="4"/>
  <c r="D10" i="6"/>
  <c r="D13" i="6"/>
  <c r="D6" i="6"/>
  <c r="D14" i="6"/>
  <c r="D8" i="6"/>
  <c r="E45" i="9"/>
  <c r="F45" i="9"/>
  <c r="E68" i="39"/>
  <c r="K38" i="9"/>
  <c r="C14" i="66"/>
  <c r="B2" i="66"/>
  <c r="D11" i="6"/>
  <c r="D12" i="6"/>
  <c r="D9" i="6"/>
  <c r="D5"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72" i="39"/>
  <c r="G70" i="39"/>
  <c r="F21" i="43"/>
  <c r="C23" i="43"/>
  <c r="D21" i="43"/>
  <c r="F7" i="36"/>
  <c r="S7" i="36"/>
  <c r="C20" i="46"/>
  <c r="M20" i="46"/>
  <c r="C19" i="46"/>
  <c r="F26" i="44"/>
  <c r="C26" i="44"/>
  <c r="D16" i="6"/>
  <c r="M27" i="6"/>
  <c r="D7" i="66"/>
  <c r="D8" i="66"/>
  <c r="A6" i="51"/>
  <c r="B7" i="63"/>
  <c r="A6" i="64"/>
  <c r="A20" i="64"/>
  <c r="A20" i="51"/>
  <c r="B15" i="63"/>
  <c r="N5" i="54"/>
  <c r="B43" i="63"/>
  <c r="T13" i="1"/>
  <c r="M16" i="1"/>
  <c r="T9"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J19" i="15"/>
  <c r="K48" i="35"/>
  <c r="L48" i="35"/>
  <c r="M48" i="35"/>
  <c r="N48" i="35"/>
  <c r="O48" i="35"/>
  <c r="J7" i="35"/>
  <c r="K52" i="37"/>
  <c r="B3" i="46"/>
  <c r="B7" i="67"/>
  <c r="C35" i="44"/>
  <c r="C33" i="44"/>
  <c r="J21" i="44"/>
  <c r="J19" i="44"/>
  <c r="J72" i="39"/>
  <c r="K70" i="39"/>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H12" i="39"/>
  <c r="AB12" i="39"/>
  <c r="J12" i="39"/>
  <c r="AC12" i="39"/>
  <c r="D44" i="9"/>
  <c r="O39" i="9"/>
  <c r="K29" i="9"/>
  <c r="K30" i="9"/>
  <c r="R6" i="54"/>
  <c r="B50" i="63"/>
  <c r="N69" i="9"/>
  <c r="M83" i="9"/>
  <c r="N83" i="9"/>
  <c r="M84" i="9"/>
  <c r="N84" i="9"/>
  <c r="M85" i="9"/>
  <c r="N85" i="9"/>
  <c r="M86" i="9"/>
  <c r="N86" i="9"/>
  <c r="M87" i="9"/>
  <c r="N87" i="9"/>
  <c r="M88" i="9"/>
  <c r="N88" i="9"/>
  <c r="N89" i="9"/>
  <c r="O89" i="9"/>
  <c r="B6" i="66"/>
  <c r="C6" i="66"/>
  <c r="B4" i="39"/>
  <c r="C21" i="9"/>
  <c r="G21" i="9"/>
  <c r="D22" i="9"/>
  <c r="L43" i="9"/>
  <c r="B3" i="39"/>
  <c r="C20" i="9"/>
  <c r="G20"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G5" authorId="0">
      <text>
        <r>
          <rPr>
            <b/>
            <sz val="9"/>
            <color indexed="81"/>
            <rFont val="宋体"/>
            <family val="3"/>
            <charset val="134"/>
          </rPr>
          <t>USER:</t>
        </r>
        <r>
          <rPr>
            <sz val="9"/>
            <color indexed="81"/>
            <rFont val="宋体"/>
            <family val="3"/>
            <charset val="134"/>
          </rPr>
          <t xml:space="preserve">
含3#地块112平方米</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<sst xmlns="http://schemas.openxmlformats.org/spreadsheetml/2006/main" count="7823" uniqueCount="3313">
  <si>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</si>
  <si>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</si>
  <si>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</si>
  <si>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</si>
  <si>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</si>
  <si>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</si>
  <si>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</si>
  <si>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</si>
  <si>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</si>
  <si>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</si>
  <si>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</si>
  <si>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</si>
  <si>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</si>
  <si>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</si>
  <si>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</si>
  <si>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</si>
  <si>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</si>
  <si>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</si>
  <si>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</si>
  <si>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</si>
  <si>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</si>
  <si>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</si>
  <si>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</si>
  <si>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</si>
  <si>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</si>
  <si>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</si>
  <si>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</si>
  <si>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</si>
  <si>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</si>
  <si>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</si>
  <si>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</si>
  <si>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</si>
  <si>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</si>
  <si>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</si>
  <si>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</si>
  <si>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</si>
  <si>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</si>
  <si>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</si>
  <si>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</si>
  <si>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</si>
  <si>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</si>
  <si>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</si>
  <si>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</si>
  <si>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</si>
  <si>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</si>
  <si>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</si>
  <si>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</si>
  <si>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</si>
  <si>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</si>
  <si>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</si>
  <si>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</si>
  <si>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</si>
  <si>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</si>
  <si>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</si>
  <si>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</si>
  <si>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</si>
  <si>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</si>
  <si>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</si>
  <si>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</si>
  <si>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</si>
  <si>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</si>
  <si>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</si>
  <si>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</si>
  <si>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</si>
  <si>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</si>
  <si>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</si>
  <si>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</si>
  <si>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</si>
  <si>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</si>
  <si>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</si>
  <si>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</si>
  <si>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</si>
  <si>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</si>
  <si>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</si>
  <si>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</si>
  <si>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</si>
  <si>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</si>
  <si>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</si>
  <si>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</si>
  <si>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</si>
  <si>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</si>
  <si>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</si>
  <si>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</si>
  <si>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</si>
  <si>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</si>
  <si>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</si>
  <si>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</si>
  <si>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</si>
  <si>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</si>
  <si>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</si>
  <si>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</si>
  <si>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</si>
  <si>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</si>
  <si>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</si>
  <si>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</si>
  <si>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</si>
  <si>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</si>
  <si>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</si>
  <si>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</si>
  <si>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</si>
  <si>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</si>
  <si>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</si>
  <si>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</si>
  <si>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</si>
  <si>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</si>
  <si>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</si>
  <si>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</si>
  <si>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</si>
  <si>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</si>
  <si>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</si>
  <si>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</si>
  <si>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</si>
  <si>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</si>
  <si>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</si>
  <si>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</si>
  <si>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</si>
  <si>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</si>
  <si>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</si>
  <si>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</si>
  <si>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</si>
  <si>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</si>
  <si>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</si>
  <si>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</si>
  <si>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</si>
  <si>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</si>
  <si>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</si>
  <si>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</si>
  <si>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</si>
  <si>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</si>
  <si>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</si>
  <si>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</si>
  <si>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</si>
  <si>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</si>
  <si>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</si>
  <si>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</si>
  <si>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</si>
  <si>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</si>
  <si>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</si>
  <si>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</si>
  <si>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</si>
  <si>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</si>
  <si>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</si>
  <si>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</si>
  <si>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</si>
  <si>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</si>
  <si>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</si>
  <si>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</si>
  <si>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</si>
  <si>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</si>
  <si>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</si>
  <si>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</si>
  <si>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</si>
  <si>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</si>
  <si>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</si>
  <si>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</si>
  <si>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</si>
  <si>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</si>
  <si>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</si>
  <si>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</si>
  <si>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</si>
  <si>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</si>
  <si>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</si>
  <si>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</si>
  <si>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</si>
  <si>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</si>
  <si>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</si>
  <si>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</si>
  <si>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</si>
  <si>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</si>
  <si>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</si>
  <si>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</si>
  <si>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</si>
  <si>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</si>
  <si>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</si>
  <si>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</si>
  <si>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</si>
  <si>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</si>
  <si>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</si>
  <si>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</si>
  <si>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</si>
  <si>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</si>
  <si>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</si>
  <si>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</si>
  <si>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</si>
  <si>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</si>
  <si>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</si>
  <si>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</si>
  <si>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</si>
  <si>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</si>
  <si>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</si>
  <si>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</si>
  <si>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</si>
  <si>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</si>
  <si>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</si>
  <si>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</si>
  <si>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</si>
  <si>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</si>
  <si>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</si>
  <si>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</si>
  <si>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</si>
  <si>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</si>
  <si>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</si>
  <si>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</si>
  <si>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</si>
  <si>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</si>
  <si>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</si>
  <si>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</si>
  <si>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</si>
  <si>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</si>
  <si>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</si>
  <si>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</si>
  <si>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</si>
  <si>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</si>
  <si>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</si>
  <si>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</si>
  <si>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</si>
  <si>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</si>
  <si>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</si>
  <si>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</si>
  <si>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</si>
  <si>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</si>
  <si>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</si>
  <si>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</si>
  <si>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</si>
  <si>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</si>
  <si>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</si>
  <si>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</si>
  <si>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</si>
  <si>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</si>
  <si>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</si>
  <si>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</si>
  <si>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</si>
  <si>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</si>
  <si>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</si>
  <si>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</si>
  <si>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</si>
  <si>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</si>
  <si>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</si>
  <si>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</si>
  <si>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</si>
  <si>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</si>
  <si>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</si>
  <si>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</si>
  <si>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</si>
  <si>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</si>
  <si>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</si>
  <si>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</si>
  <si>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</si>
  <si>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</si>
  <si>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</si>
  <si>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</si>
  <si>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</si>
  <si>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</si>
  <si>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</si>
  <si>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</si>
  <si>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</si>
  <si>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</si>
  <si>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</si>
  <si>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</si>
  <si>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</si>
  <si>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</si>
  <si>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</si>
  <si>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</si>
  <si>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</si>
  <si>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</si>
  <si>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</si>
  <si>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</si>
  <si>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</si>
  <si>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</si>
  <si>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</si>
  <si>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</si>
  <si>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</si>
  <si>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</si>
  <si>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</si>
  <si>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</si>
  <si>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</si>
  <si>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</si>
  <si>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</si>
  <si>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</si>
  <si>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</si>
  <si>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</si>
  <si>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</si>
  <si>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</si>
  <si>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</si>
  <si>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</si>
  <si>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</si>
  <si>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</si>
  <si>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</si>
  <si>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</si>
  <si>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</si>
  <si>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</si>
  <si>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</si>
  <si>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</si>
  <si>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</si>
  <si>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</si>
  <si>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</si>
  <si>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</si>
  <si>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</si>
  <si>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</si>
  <si>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</si>
  <si>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</si>
  <si>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</si>
  <si>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</si>
  <si>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</si>
  <si>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</si>
  <si>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</si>
  <si>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</si>
  <si>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</si>
  <si>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</si>
  <si>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</si>
  <si>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</si>
  <si>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</si>
  <si>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</si>
  <si>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</si>
  <si>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</si>
  <si>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</si>
  <si>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</si>
  <si>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</si>
  <si>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</si>
  <si>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</si>
  <si>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</si>
  <si>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</si>
  <si>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</si>
  <si>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</si>
  <si>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</si>
  <si>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</si>
  <si>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</si>
  <si>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</si>
  <si>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</si>
  <si>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</si>
  <si>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</si>
  <si>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</si>
  <si>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</si>
  <si>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</si>
  <si>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</si>
  <si>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</si>
  <si>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</si>
  <si>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</si>
  <si>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</si>
  <si>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</si>
  <si>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</si>
  <si>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</si>
  <si>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</si>
  <si>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</si>
  <si>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</si>
  <si>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</si>
  <si>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</si>
  <si>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</si>
  <si>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</si>
  <si>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</si>
  <si>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</si>
  <si>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</si>
  <si>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</si>
  <si>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</si>
  <si>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</si>
  <si>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</si>
  <si>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</si>
  <si>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</si>
  <si>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</si>
  <si>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</si>
  <si>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</si>
  <si>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</si>
  <si>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</si>
  <si>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</si>
  <si>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</si>
  <si>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</si>
  <si>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</si>
  <si>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</si>
  <si>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</si>
  <si>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</si>
  <si>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</si>
  <si>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</si>
  <si>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</si>
  <si>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</si>
  <si>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</si>
  <si>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</si>
  <si>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</si>
  <si>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</si>
  <si>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</si>
  <si>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</si>
  <si>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</si>
  <si>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</si>
  <si>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</si>
  <si>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</si>
  <si>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</si>
  <si>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</si>
  <si>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</si>
  <si>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</si>
  <si>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</si>
  <si>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</si>
  <si>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</si>
  <si>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</si>
  <si>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</si>
  <si>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</si>
  <si>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</si>
  <si>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</si>
  <si>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</si>
  <si>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</si>
  <si>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</si>
  <si>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</si>
  <si>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</si>
  <si>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</si>
  <si>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</si>
  <si>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</si>
  <si>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</si>
  <si>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</si>
  <si>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</si>
  <si>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</si>
  <si>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</si>
  <si>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</si>
  <si>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</si>
  <si>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</si>
  <si>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</si>
  <si>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</si>
  <si>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</si>
  <si>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</si>
  <si>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</si>
  <si>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</si>
  <si>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</si>
  <si>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</si>
  <si>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</si>
  <si>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</si>
  <si>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</si>
  <si>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</si>
  <si>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</si>
  <si>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</si>
  <si>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</si>
  <si>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</si>
  <si>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</si>
  <si>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</si>
  <si>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</si>
  <si>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</si>
  <si>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</si>
  <si>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</si>
  <si>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</si>
  <si>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</si>
  <si>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</si>
  <si>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</si>
  <si>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</si>
  <si>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</si>
  <si>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</si>
  <si>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</si>
  <si>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</si>
  <si>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</si>
  <si>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</si>
  <si>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</si>
  <si>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</si>
  <si>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</si>
  <si>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</si>
  <si>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</si>
  <si>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</si>
  <si>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</si>
  <si>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</si>
  <si>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</si>
  <si>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</si>
  <si>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</si>
  <si>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</si>
  <si>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</si>
  <si>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</si>
  <si>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</si>
  <si>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</si>
  <si>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</si>
  <si>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</si>
  <si>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</si>
  <si>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</si>
  <si>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</si>
  <si>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</si>
  <si>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</si>
  <si>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</si>
  <si>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</si>
  <si>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</si>
  <si>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</si>
  <si>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</si>
  <si>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</si>
  <si>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</si>
  <si>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</si>
  <si>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</si>
  <si>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</si>
  <si>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</si>
  <si>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</si>
  <si>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</si>
  <si>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</si>
  <si>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</si>
  <si>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</si>
  <si>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</si>
  <si>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</si>
  <si>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</si>
  <si>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</si>
  <si>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</si>
  <si>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</si>
  <si>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</si>
  <si>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</si>
  <si>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</si>
  <si>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</si>
  <si>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</si>
  <si>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</si>
  <si>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</si>
  <si>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</si>
  <si>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</si>
  <si>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</si>
  <si>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</si>
  <si>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</si>
  <si>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</si>
  <si>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</si>
  <si>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</si>
  <si>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</si>
  <si>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</si>
  <si>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</si>
  <si>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</si>
  <si>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</si>
  <si>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</si>
  <si>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</si>
  <si>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</si>
  <si>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</si>
  <si>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</si>
  <si>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</si>
  <si>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</si>
  <si>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</si>
  <si>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</si>
  <si>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</si>
  <si>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</si>
  <si>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</si>
  <si>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</si>
  <si>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</si>
  <si>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</si>
  <si>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</si>
  <si>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</si>
  <si>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</si>
  <si>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</si>
  <si>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</si>
  <si>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</si>
  <si>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</si>
  <si>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</si>
  <si>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</si>
  <si>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</si>
  <si>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</si>
  <si>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</si>
  <si>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</si>
  <si>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</si>
  <si>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</si>
  <si>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</si>
  <si>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</si>
  <si>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</si>
  <si>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</si>
  <si>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</si>
  <si>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</si>
  <si>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</si>
  <si>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</si>
  <si>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</si>
  <si>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</si>
  <si>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</si>
  <si>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</si>
  <si>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</si>
  <si>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</si>
  <si>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</si>
  <si>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</si>
  <si>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</si>
  <si>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</si>
  <si>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</si>
  <si>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</si>
  <si>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</si>
  <si>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</si>
  <si>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</si>
  <si>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</si>
  <si>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</si>
  <si>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</si>
  <si>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</si>
  <si>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</si>
  <si>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</si>
  <si>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</si>
  <si>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</si>
  <si>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</si>
  <si>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</si>
  <si>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</si>
  <si>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</si>
  <si>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</si>
  <si>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</si>
  <si>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</si>
  <si>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</si>
  <si>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</si>
  <si>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</si>
  <si>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</si>
  <si>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</si>
  <si>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</si>
  <si>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</si>
  <si>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</si>
  <si>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</si>
  <si>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</si>
  <si>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</si>
  <si>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</si>
  <si>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</si>
  <si>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</si>
  <si>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</si>
  <si>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</si>
  <si>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</si>
  <si>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</si>
  <si>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</si>
  <si>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</si>
  <si>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</si>
  <si>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</si>
  <si>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</si>
  <si>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</si>
  <si>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</si>
  <si>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</si>
  <si>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</si>
  <si>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</si>
  <si>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</si>
  <si>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</si>
  <si>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</si>
  <si>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</si>
  <si>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</si>
  <si>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</si>
  <si>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</si>
  <si>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</si>
  <si>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</si>
  <si>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</si>
  <si>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</si>
  <si>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</si>
  <si>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</si>
  <si>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</si>
  <si>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</si>
  <si>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</si>
  <si>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</si>
  <si>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</si>
  <si>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</si>
  <si>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</si>
  <si>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</si>
  <si>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</si>
  <si>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</si>
  <si>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</si>
  <si>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</si>
  <si>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</si>
  <si>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</si>
  <si>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</si>
  <si>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</si>
  <si>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</si>
  <si>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</si>
  <si>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</si>
  <si>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</si>
  <si>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</si>
  <si>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</si>
  <si>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</si>
  <si>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</si>
  <si>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</si>
  <si>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</si>
  <si>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</si>
  <si>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</si>
  <si>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</si>
  <si>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</si>
  <si>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</si>
  <si>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</si>
  <si>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</si>
  <si>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</si>
  <si>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</si>
  <si>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</si>
  <si>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</si>
  <si>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</si>
  <si>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</si>
  <si>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</si>
  <si>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</si>
  <si>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</si>
  <si>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</si>
  <si>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</si>
  <si>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</si>
  <si>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</si>
  <si>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</si>
  <si>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</si>
  <si>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</si>
  <si>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</si>
  <si>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</si>
  <si>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</si>
  <si>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</si>
  <si>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</si>
  <si>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</si>
  <si>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</si>
  <si>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</si>
  <si>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</si>
  <si>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</si>
  <si>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</si>
  <si>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</si>
  <si>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</si>
  <si>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</si>
  <si>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</si>
  <si>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</si>
  <si>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</si>
  <si>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</si>
  <si>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</si>
  <si>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</si>
  <si>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</si>
  <si>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</si>
  <si>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</si>
  <si>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</si>
  <si>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</si>
  <si>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</si>
  <si>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</si>
  <si>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</si>
  <si>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</si>
  <si>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</si>
  <si>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</si>
  <si>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</si>
  <si>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</si>
  <si>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</si>
  <si>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</si>
  <si>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</si>
  <si>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</si>
  <si>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</si>
  <si>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</si>
  <si>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</si>
  <si>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</si>
  <si>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</si>
  <si>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</si>
  <si>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</si>
  <si>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</si>
  <si>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</si>
  <si>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</si>
  <si>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</si>
  <si>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</si>
  <si>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</si>
  <si>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</si>
  <si>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</si>
  <si>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</si>
  <si>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</si>
  <si>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</si>
  <si>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</si>
  <si>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</si>
  <si>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</si>
  <si>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</si>
  <si>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</si>
  <si>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</si>
  <si>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</si>
  <si>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</si>
  <si>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</si>
  <si>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</si>
  <si>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</si>
  <si>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</si>
  <si>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</si>
  <si>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</si>
  <si>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</si>
  <si>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</si>
  <si>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</si>
  <si>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</si>
  <si>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</si>
  <si>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</si>
  <si>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</si>
  <si>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</si>
  <si>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</si>
  <si>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</si>
  <si>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</si>
  <si>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</si>
  <si>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</si>
  <si>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</si>
  <si>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</si>
  <si>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</si>
  <si>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</si>
  <si>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</si>
  <si>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</si>
  <si>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</si>
  <si>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</si>
  <si>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</si>
  <si>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</si>
  <si>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</si>
  <si>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</si>
  <si>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</si>
  <si>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</si>
  <si>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</si>
  <si>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</si>
  <si>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</si>
  <si>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</si>
  <si>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</si>
  <si>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</si>
  <si>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</si>
  <si>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</si>
  <si>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</si>
  <si>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</si>
  <si>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</si>
  <si>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</si>
  <si>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</si>
  <si>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</si>
  <si>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</si>
  <si>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</si>
  <si>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</si>
  <si>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</si>
  <si>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</si>
  <si>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</si>
  <si>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</si>
  <si>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</si>
  <si>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</si>
  <si>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</si>
  <si>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</si>
  <si>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</si>
  <si>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</si>
  <si>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</si>
  <si>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</si>
  <si>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</si>
  <si>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</si>
  <si>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</si>
  <si>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</si>
  <si>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</si>
  <si>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</si>
  <si>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</si>
  <si>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</si>
  <si>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</si>
  <si>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</si>
  <si>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</si>
  <si>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</si>
  <si>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</si>
  <si>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</si>
  <si>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</si>
  <si>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</si>
  <si>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</si>
  <si>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</si>
  <si>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</si>
  <si>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</si>
  <si>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</si>
  <si>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</si>
  <si>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</si>
  <si>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</si>
  <si>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</si>
  <si>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</si>
  <si>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</si>
  <si>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</si>
  <si>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</si>
  <si>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</si>
  <si>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</si>
  <si>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</si>
  <si>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</si>
  <si>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</si>
  <si>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</si>
  <si>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</si>
  <si>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</si>
  <si>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</si>
  <si>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</si>
  <si>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</si>
  <si>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</si>
  <si>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</si>
  <si>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</si>
  <si>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</si>
  <si>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</si>
  <si>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</si>
  <si>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</si>
  <si>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</si>
  <si>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</si>
  <si>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</si>
  <si>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</si>
  <si>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</si>
  <si>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</si>
  <si>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</si>
  <si>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</si>
  <si>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</si>
  <si>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</si>
  <si>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</si>
  <si>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</si>
  <si>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</si>
  <si>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</si>
  <si>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</si>
  <si>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</si>
  <si>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</si>
  <si>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</si>
  <si>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</si>
  <si>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</si>
  <si>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</si>
  <si>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</si>
  <si>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</si>
  <si>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</si>
  <si>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</si>
  <si>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</si>
  <si>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</si>
  <si>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</si>
  <si>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</si>
  <si>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</si>
  <si>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</si>
  <si>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</si>
  <si>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</si>
  <si>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</si>
  <si>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</si>
  <si>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</si>
  <si>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</si>
  <si>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</si>
  <si>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</si>
  <si>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</si>
  <si>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</si>
  <si>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</si>
  <si>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</si>
  <si>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</si>
  <si>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</si>
  <si>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</si>
  <si>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</si>
  <si>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</si>
  <si>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</si>
  <si>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</si>
  <si>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</si>
  <si>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</si>
  <si>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</si>
  <si>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</si>
  <si>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</si>
  <si>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</si>
  <si>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</si>
  <si>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</si>
  <si>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</si>
  <si>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</si>
  <si>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</si>
  <si>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</si>
  <si>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</si>
  <si>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</si>
  <si>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</si>
  <si>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</si>
  <si>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</si>
  <si>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</si>
  <si>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</si>
  <si>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</si>
  <si>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</si>
  <si>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</si>
  <si>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</si>
  <si>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</si>
  <si>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</si>
  <si>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</si>
  <si>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</si>
  <si>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</si>
  <si>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</si>
  <si>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</si>
  <si>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</si>
  <si>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</si>
  <si>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</si>
  <si>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</si>
  <si>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</si>
  <si>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</si>
  <si>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</si>
  <si>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</si>
  <si>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</si>
  <si>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</si>
  <si>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</si>
  <si>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</si>
  <si>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</si>
  <si>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</si>
  <si>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</si>
  <si>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</si>
  <si>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</si>
  <si>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</si>
  <si>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</si>
  <si>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</si>
  <si>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</si>
  <si>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</si>
  <si>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</si>
  <si>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</si>
  <si>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</si>
  <si>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</si>
  <si>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</si>
  <si>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</si>
  <si>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</si>
  <si>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</si>
  <si>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</si>
  <si>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</si>
  <si>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</si>
  <si>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</si>
  <si>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</si>
  <si>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</si>
  <si>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</si>
  <si>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</si>
  <si>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</si>
  <si>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</si>
  <si>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</si>
  <si>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</si>
  <si>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</si>
  <si>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</si>
  <si>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</si>
  <si>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</si>
  <si>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</si>
  <si>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</si>
  <si>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</si>
  <si>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</si>
  <si>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</si>
  <si>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</si>
  <si>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</si>
  <si>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</si>
  <si>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</si>
  <si>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</si>
  <si>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</si>
  <si>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</si>
  <si>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</si>
  <si>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</si>
  <si>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</si>
  <si>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</si>
  <si>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</si>
  <si>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</si>
  <si>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</si>
  <si>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</si>
  <si>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</si>
  <si>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</si>
  <si>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</si>
  <si>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</si>
  <si>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</si>
  <si>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</si>
  <si>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</si>
  <si>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</si>
  <si>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</si>
  <si>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</si>
  <si>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</si>
  <si>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</si>
  <si>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</si>
  <si>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</si>
  <si>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</si>
  <si>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</si>
  <si>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</si>
  <si>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</si>
  <si>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</si>
  <si>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</si>
  <si>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</si>
  <si>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</si>
  <si>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</si>
  <si>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</si>
  <si>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</si>
  <si>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</si>
  <si>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</si>
  <si>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</si>
  <si>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</si>
  <si>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</si>
  <si>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</si>
  <si>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</si>
  <si>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</si>
  <si>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</si>
  <si>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</si>
  <si>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</si>
  <si>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</si>
  <si>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</si>
  <si>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</si>
  <si>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</si>
  <si>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</si>
  <si>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</si>
  <si>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</si>
  <si>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</si>
  <si>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</si>
  <si>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</si>
  <si>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</si>
  <si>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</si>
  <si>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</si>
  <si>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</si>
  <si>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</si>
  <si>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</si>
  <si>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</si>
  <si>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</si>
  <si>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</si>
  <si>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</si>
  <si>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</si>
  <si>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</si>
  <si>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</si>
  <si>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</si>
  <si>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</si>
  <si>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</si>
  <si>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</si>
  <si>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</si>
  <si>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</si>
  <si>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</si>
  <si>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</si>
  <si>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</si>
  <si>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</si>
  <si>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</si>
  <si>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</si>
  <si>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</si>
  <si>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</si>
  <si>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</si>
  <si>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</si>
  <si>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</si>
  <si>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</si>
  <si>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</si>
  <si>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</si>
  <si>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</si>
  <si>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</si>
  <si>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</si>
  <si>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</si>
  <si>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</si>
  <si>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</si>
  <si>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</si>
  <si>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</si>
  <si>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</si>
  <si>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</si>
  <si>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</si>
  <si>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</si>
  <si>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</si>
  <si>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</si>
  <si>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</si>
  <si>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</si>
  <si>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</si>
  <si>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</si>
  <si>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</si>
  <si>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</si>
  <si>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</si>
  <si>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</si>
  <si>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</si>
  <si>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</si>
  <si>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</si>
  <si>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</si>
  <si>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</si>
  <si>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</si>
  <si>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</si>
  <si>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</si>
  <si>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</si>
  <si>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</si>
  <si>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</si>
  <si>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</si>
  <si>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</si>
  <si>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</si>
  <si>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</si>
  <si>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</si>
  <si>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</si>
  <si>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</si>
  <si>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</si>
  <si>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</si>
  <si>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</si>
  <si>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</si>
  <si>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</si>
  <si>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</si>
  <si>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</si>
  <si>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</si>
  <si>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</si>
  <si>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</si>
  <si>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</si>
  <si>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</si>
  <si>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</si>
  <si>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</si>
  <si>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</si>
  <si>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</si>
  <si>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</si>
  <si>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</si>
  <si>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</si>
  <si>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</si>
  <si>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</si>
  <si>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</si>
  <si>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</si>
  <si>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</si>
  <si>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</si>
  <si>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</si>
  <si>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</si>
  <si>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</si>
  <si>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</si>
  <si>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</si>
  <si>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</si>
  <si>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</si>
  <si>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</si>
  <si>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</si>
  <si>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</si>
  <si>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</si>
  <si>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</si>
  <si>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</si>
  <si>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</si>
  <si>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</si>
  <si>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</si>
  <si>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</si>
  <si>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</si>
  <si>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</si>
  <si>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</si>
  <si>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</si>
  <si>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</si>
  <si>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</si>
  <si>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</si>
  <si>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</si>
  <si>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</si>
  <si>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</si>
  <si>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</si>
  <si>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</si>
  <si>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</si>
  <si>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</si>
  <si>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</si>
  <si>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</si>
  <si>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</si>
  <si>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</si>
  <si>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</si>
  <si>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</si>
  <si>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</si>
  <si>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</si>
  <si>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</si>
  <si>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</si>
  <si>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</si>
  <si>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</si>
  <si>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</si>
  <si>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</si>
  <si>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</si>
  <si>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</si>
  <si>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</si>
  <si>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</si>
  <si>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</si>
  <si>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</si>
  <si>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</si>
  <si>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</si>
  <si>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</si>
  <si>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</si>
  <si>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</si>
  <si>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</si>
  <si>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</si>
  <si>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</si>
  <si>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</si>
  <si>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</si>
  <si>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</si>
  <si>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</si>
  <si>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</si>
  <si>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</si>
  <si>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</si>
  <si>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</si>
  <si>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</si>
  <si>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</si>
  <si>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</si>
  <si>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</si>
  <si>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</si>
  <si>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</si>
  <si>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</si>
  <si>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</si>
  <si>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</si>
  <si>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</si>
  <si>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</si>
  <si>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</si>
  <si>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</si>
  <si>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</si>
  <si>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</si>
  <si>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</si>
  <si>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</si>
  <si>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</si>
  <si>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</si>
  <si>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</si>
  <si>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</si>
  <si>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</si>
  <si>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</si>
  <si>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</si>
  <si>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</si>
  <si>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</si>
  <si>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</si>
  <si>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</si>
  <si>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</si>
  <si>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</si>
  <si>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</si>
  <si>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</si>
  <si>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</si>
  <si>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</si>
  <si>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</si>
  <si>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</si>
  <si>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</si>
  <si>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</si>
  <si>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</si>
  <si>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</si>
  <si>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</si>
  <si>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</si>
  <si>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</si>
  <si>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</si>
  <si>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</si>
  <si>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</si>
  <si>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</si>
  <si>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</si>
  <si>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</si>
  <si>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</si>
  <si>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</si>
  <si>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</si>
  <si>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</si>
  <si>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</si>
  <si>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</si>
  <si>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</si>
  <si>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</si>
  <si>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</si>
  <si>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</si>
  <si>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</si>
  <si>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</si>
  <si>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</si>
  <si>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</si>
  <si>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</si>
  <si>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</si>
  <si>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</si>
  <si>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</si>
  <si>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</si>
  <si>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</si>
  <si>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</si>
  <si>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</si>
  <si>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</si>
  <si>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</si>
  <si>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</si>
  <si>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</si>
  <si>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</si>
  <si>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</si>
  <si>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</si>
  <si>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</si>
  <si>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</si>
  <si>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</si>
  <si>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</si>
  <si>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</si>
  <si>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</si>
  <si>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</si>
  <si>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</si>
  <si>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</si>
  <si>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</si>
  <si>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</si>
  <si>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</si>
  <si>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</si>
  <si>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</si>
  <si>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</si>
  <si>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</si>
  <si>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</si>
  <si>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</si>
  <si>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</si>
  <si>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</si>
  <si>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</si>
  <si>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</si>
  <si>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</si>
  <si>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</si>
  <si>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</si>
  <si>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</si>
  <si>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</si>
  <si>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</si>
  <si>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</si>
  <si>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</si>
  <si>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</si>
  <si>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</si>
  <si>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</si>
  <si>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</si>
  <si>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</si>
  <si>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</si>
  <si>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</si>
  <si>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</si>
  <si>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</si>
  <si>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</si>
  <si>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</si>
  <si>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</si>
  <si>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</si>
  <si>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</si>
  <si>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</si>
  <si>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</si>
  <si>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</si>
  <si>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</si>
  <si>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</si>
  <si>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</si>
  <si>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</si>
  <si>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</si>
  <si>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</si>
  <si>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</si>
  <si>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</si>
  <si>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</si>
  <si>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</si>
  <si>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</si>
  <si>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</si>
  <si>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</si>
  <si>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</si>
  <si>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</si>
  <si>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</si>
  <si>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</si>
  <si>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</si>
  <si>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</si>
  <si>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</si>
  <si>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</si>
  <si>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</si>
  <si>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</si>
  <si>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</si>
  <si>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</si>
  <si>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</si>
  <si>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</si>
  <si>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</si>
  <si>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</si>
  <si>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</si>
  <si>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</si>
  <si>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</si>
  <si>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</si>
  <si>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</si>
  <si>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</si>
  <si>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</si>
  <si>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</si>
  <si>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</si>
  <si>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</si>
  <si>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</si>
  <si>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</si>
  <si>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</si>
  <si>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</si>
  <si>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</si>
  <si>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</si>
  <si>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</si>
  <si>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</si>
  <si>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</si>
  <si>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</si>
  <si>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</si>
  <si>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</si>
  <si>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</si>
  <si>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</si>
  <si>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</si>
  <si>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</si>
  <si>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</si>
  <si>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</si>
  <si>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</si>
  <si>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</si>
  <si>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</si>
  <si>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</si>
  <si>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</si>
  <si>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</si>
  <si>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</si>
  <si>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</si>
  <si>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</si>
  <si>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</si>
  <si>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</si>
  <si>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</si>
  <si>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</si>
  <si>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</si>
  <si>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</si>
  <si>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</si>
  <si>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</si>
  <si>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</si>
  <si>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</si>
  <si>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</si>
  <si>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</si>
  <si>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</si>
  <si>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</si>
  <si>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</si>
  <si>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</si>
  <si>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</si>
  <si>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</si>
  <si>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</si>
  <si>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</si>
  <si>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</si>
  <si>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</si>
  <si>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</si>
  <si>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</si>
  <si>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</si>
  <si>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</si>
  <si>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</si>
  <si>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</si>
  <si>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</si>
  <si>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</si>
  <si>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</si>
  <si>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</si>
  <si>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</si>
  <si>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</si>
  <si>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</si>
  <si>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</si>
  <si>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</si>
  <si>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</si>
  <si>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</si>
  <si>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</si>
  <si>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</si>
  <si>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</si>
  <si>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</si>
  <si>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</si>
  <si>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</si>
  <si>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</si>
  <si>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</si>
  <si>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</si>
  <si>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</si>
  <si>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</si>
  <si>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</si>
  <si>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</si>
  <si>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</si>
  <si>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</si>
  <si>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</si>
  <si>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</si>
  <si>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</si>
  <si>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</si>
  <si>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</si>
  <si>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</si>
  <si>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</si>
  <si>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</si>
  <si>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</si>
  <si>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</si>
  <si>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</si>
  <si>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</si>
  <si>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</si>
  <si>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</si>
  <si>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</si>
  <si>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</si>
  <si>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</si>
  <si>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</si>
  <si>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</si>
  <si>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</si>
  <si>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</si>
  <si>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</si>
  <si>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</si>
  <si>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</si>
  <si>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</si>
  <si>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</si>
  <si>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</si>
  <si>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</si>
  <si>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</si>
  <si>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</si>
  <si>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</si>
  <si>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</si>
  <si>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</si>
  <si>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</si>
  <si>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</si>
  <si>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</si>
  <si>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</si>
  <si>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</si>
  <si>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</si>
  <si>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</si>
  <si>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</si>
  <si>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</si>
  <si>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</si>
  <si>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</si>
  <si>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</si>
  <si>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</si>
  <si>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</si>
  <si>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</si>
  <si>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</si>
  <si>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</si>
  <si>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</si>
  <si>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</si>
  <si>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</si>
  <si>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</si>
  <si>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</si>
  <si>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</si>
  <si>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</si>
  <si>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</si>
  <si>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</si>
  <si>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</si>
  <si>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</si>
  <si>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</si>
  <si>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</si>
  <si>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</si>
  <si>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</si>
  <si>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</si>
  <si>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</si>
  <si>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</si>
  <si>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</si>
  <si>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</si>
  <si>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</si>
  <si>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</si>
  <si>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</si>
  <si>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</si>
  <si>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</si>
  <si>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</si>
  <si>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</si>
  <si>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</si>
  <si>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</si>
  <si>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</si>
  <si>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</si>
  <si>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</si>
  <si>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</si>
  <si>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</si>
  <si>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</si>
  <si>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</si>
  <si>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</si>
  <si>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</si>
  <si>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</si>
  <si>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</si>
  <si>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</si>
  <si>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</si>
  <si>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</si>
  <si>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</si>
  <si>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</si>
  <si>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</si>
  <si>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</si>
  <si>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</si>
  <si>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</si>
  <si>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</si>
  <si>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</si>
  <si>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</si>
  <si>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</si>
  <si>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</si>
  <si>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</si>
  <si>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</si>
  <si>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</si>
  <si>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</si>
  <si>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</si>
  <si>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</si>
  <si>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</si>
  <si>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</si>
  <si>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</si>
  <si>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</si>
  <si>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</si>
  <si>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</si>
  <si>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</si>
  <si>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</si>
  <si>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</si>
  <si>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</si>
  <si>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</si>
  <si>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</si>
  <si>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</si>
  <si>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</si>
  <si>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</si>
  <si>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</si>
  <si>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</si>
  <si>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</si>
  <si>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</si>
  <si>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</si>
  <si>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</si>
  <si>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</si>
  <si>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</si>
  <si>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</si>
  <si>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</si>
  <si>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</si>
  <si>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</si>
  <si>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</si>
  <si>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</si>
  <si>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</si>
  <si>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</si>
  <si>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</si>
  <si>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</si>
  <si>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</si>
  <si>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</si>
  <si>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</si>
  <si>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</si>
  <si>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</si>
  <si>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</si>
  <si>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</si>
  <si>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</si>
  <si>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</si>
  <si>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</si>
  <si>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</si>
  <si>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</si>
  <si>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</si>
  <si>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</si>
  <si>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</si>
  <si>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</si>
  <si>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</si>
  <si>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</si>
  <si>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</si>
  <si>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</si>
  <si>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</si>
  <si>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</si>
  <si>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</si>
  <si>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</si>
  <si>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</si>
  <si>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</si>
  <si>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</si>
  <si>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</si>
  <si>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</si>
  <si>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</si>
  <si>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</si>
  <si>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</si>
  <si>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</si>
  <si>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</si>
  <si>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</si>
  <si>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</si>
  <si>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</si>
  <si>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</si>
  <si>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</si>
  <si>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</si>
  <si>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</si>
  <si>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</si>
  <si>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</si>
  <si>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</si>
  <si>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</si>
  <si>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</si>
  <si>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</si>
  <si>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</si>
  <si>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</si>
  <si>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</si>
  <si>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</si>
  <si>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</si>
  <si>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</si>
  <si>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</si>
  <si>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</si>
  <si>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</si>
  <si>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</si>
  <si>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</si>
  <si>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</si>
  <si>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</si>
  <si>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</si>
  <si>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</si>
  <si>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</si>
  <si>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</si>
  <si>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</si>
  <si>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</si>
  <si>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</si>
  <si>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</si>
  <si>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</si>
  <si>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</si>
  <si>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</si>
  <si>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</si>
  <si>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</si>
  <si>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</si>
  <si>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</si>
  <si>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</si>
  <si>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</si>
  <si>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</si>
  <si>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</si>
  <si>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</si>
  <si>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</si>
  <si>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</si>
  <si>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</si>
  <si>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</si>
  <si>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</si>
  <si>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</si>
  <si>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</si>
  <si>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</si>
  <si>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</si>
  <si>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</si>
  <si>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</si>
  <si>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</si>
  <si>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</si>
  <si>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</si>
  <si>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</si>
  <si>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</si>
  <si>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</si>
  <si>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</si>
  <si>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</si>
  <si>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</si>
  <si>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</si>
  <si>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</si>
  <si>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</si>
  <si>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</si>
  <si>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</si>
  <si>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</si>
  <si>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</si>
  <si>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</si>
  <si>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</si>
  <si>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</si>
  <si>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</si>
  <si>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</si>
  <si>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</si>
  <si>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</si>
  <si>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</si>
  <si>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</si>
  <si>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</si>
  <si>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</si>
  <si>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</si>
  <si>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</si>
  <si>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</si>
  <si>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</si>
  <si>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</si>
  <si>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</si>
  <si>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</si>
  <si>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</si>
  <si>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</si>
  <si>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</si>
  <si>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</si>
  <si>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</si>
  <si>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</si>
  <si>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</si>
  <si>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</si>
  <si>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</si>
  <si>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</si>
  <si>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</si>
  <si>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</si>
  <si>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</si>
  <si>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</si>
  <si>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</si>
  <si>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</si>
  <si>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</si>
  <si>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</si>
  <si>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</si>
  <si>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</si>
  <si>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</si>
  <si>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</si>
  <si>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</si>
  <si>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</si>
  <si>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</si>
  <si>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</si>
  <si>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</si>
  <si>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</si>
  <si>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</si>
  <si>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</si>
  <si>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</si>
  <si>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</si>
  <si>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</si>
  <si>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</si>
  <si>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</si>
  <si>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</si>
  <si>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</si>
  <si>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</si>
  <si>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</si>
  <si>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</si>
  <si>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</si>
  <si>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</si>
  <si>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</si>
  <si>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</si>
  <si>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</si>
  <si>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</si>
  <si>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</si>
  <si>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</si>
  <si>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</si>
  <si>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</si>
  <si>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</si>
  <si>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</si>
  <si>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</si>
  <si>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</si>
  <si>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</si>
  <si>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</si>
  <si>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</si>
  <si>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</si>
  <si>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</si>
  <si>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</si>
  <si>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</si>
  <si>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</si>
  <si>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</si>
  <si>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</si>
  <si>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</si>
  <si>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</si>
  <si>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</si>
  <si>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</si>
  <si>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</si>
  <si>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</si>
  <si>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</si>
  <si>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</si>
  <si>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</si>
  <si>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</si>
  <si>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</si>
  <si>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</si>
  <si>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</si>
  <si>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</si>
  <si>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</si>
  <si>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</si>
  <si>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</si>
  <si>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</si>
  <si>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</si>
  <si>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</si>
  <si>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</si>
  <si>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</si>
  <si>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</si>
  <si>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</si>
  <si>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</si>
  <si>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</si>
  <si>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</si>
  <si>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</si>
  <si>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</si>
  <si>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</si>
  <si>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</si>
  <si>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</si>
  <si>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</si>
  <si>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</si>
  <si>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</si>
  <si>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</si>
  <si>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</si>
  <si>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</si>
  <si>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</si>
  <si>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</si>
  <si>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</si>
  <si>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</si>
  <si>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</si>
  <si>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</si>
  <si>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</si>
  <si>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</si>
  <si>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</si>
  <si>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</si>
  <si>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</si>
  <si>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</si>
  <si>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</si>
  <si>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</si>
  <si>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</si>
  <si>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</si>
  <si>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</si>
  <si>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</si>
  <si>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</si>
  <si>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</si>
  <si>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</si>
  <si>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</si>
  <si>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</si>
  <si>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</si>
  <si>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</si>
  <si>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</si>
  <si>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</si>
  <si>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</si>
  <si>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</si>
  <si>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</si>
  <si>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</si>
  <si>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</si>
  <si>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</si>
  <si>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</si>
  <si>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</si>
  <si>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</si>
  <si>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</si>
  <si>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</si>
  <si>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</si>
  <si>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</si>
  <si>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</si>
  <si>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</si>
  <si>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</si>
  <si>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</si>
  <si>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</si>
  <si>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</si>
  <si>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</si>
  <si>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</si>
  <si>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</si>
  <si>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</si>
  <si>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</si>
  <si>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</si>
  <si>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</si>
  <si>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</si>
  <si>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</si>
  <si>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</si>
  <si>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</si>
  <si>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</si>
  <si>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</si>
  <si>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</si>
  <si>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</si>
  <si>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</si>
  <si>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</si>
  <si>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</si>
  <si>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</si>
  <si>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</si>
  <si>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</si>
  <si>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</si>
  <si>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</si>
  <si>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</si>
  <si>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</si>
  <si>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</si>
  <si>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</si>
  <si>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</si>
  <si>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</si>
  <si>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</si>
  <si>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</si>
  <si>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</si>
  <si>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</si>
  <si>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</si>
  <si>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</si>
  <si>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</si>
  <si>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</si>
  <si>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</si>
  <si>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</si>
  <si>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</si>
  <si>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</si>
  <si>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</si>
  <si>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</si>
  <si>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</si>
  <si>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</si>
  <si>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</si>
  <si>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</si>
  <si>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</si>
  <si>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</si>
  <si>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</si>
  <si>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</si>
  <si>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</si>
  <si>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</si>
  <si>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</si>
  <si>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</si>
  <si>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</si>
  <si>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</si>
  <si>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</si>
  <si>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</si>
  <si>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</si>
  <si>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</si>
  <si>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</si>
  <si>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</si>
  <si>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</si>
  <si>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</si>
  <si>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</si>
  <si>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</si>
  <si>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</si>
  <si>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</si>
  <si>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</si>
  <si>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</si>
  <si>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</si>
  <si>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</si>
  <si>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</si>
  <si>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</si>
  <si>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</si>
  <si>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</si>
  <si>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</si>
  <si>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</si>
  <si>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</si>
  <si>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</si>
  <si>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</si>
  <si>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</si>
  <si>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</si>
  <si>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</si>
  <si>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</si>
  <si>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</si>
  <si>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</si>
  <si>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</si>
  <si>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</si>
  <si>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</si>
  <si>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</si>
  <si>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</si>
  <si>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</si>
  <si>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</si>
  <si>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</si>
  <si>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</si>
  <si>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</si>
  <si>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</si>
  <si>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</si>
  <si>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</si>
  <si>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</si>
  <si>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</si>
  <si>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</si>
  <si>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</si>
  <si>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</si>
  <si>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</si>
  <si>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</si>
  <si>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</si>
  <si>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</si>
  <si>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</si>
  <si>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</si>
  <si>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</si>
  <si>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</si>
  <si>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</si>
  <si>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</si>
  <si>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</si>
  <si>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</si>
  <si>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</si>
  <si>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</si>
  <si>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</si>
  <si>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</si>
  <si>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</si>
  <si>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</si>
  <si>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</si>
  <si>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</si>
  <si>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</si>
  <si>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</si>
  <si>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</si>
  <si>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</si>
  <si>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</si>
  <si>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</si>
  <si>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</si>
  <si>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</si>
  <si>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</si>
  <si>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</si>
  <si>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</si>
  <si>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</si>
  <si>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</si>
  <si>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</si>
  <si>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</si>
  <si>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</si>
  <si>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</si>
  <si>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</si>
  <si>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</si>
  <si>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</si>
  <si>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</si>
  <si>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</si>
  <si>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</si>
  <si>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</si>
  <si>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</si>
  <si>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</si>
  <si>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</si>
  <si>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</si>
  <si>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</si>
  <si>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</si>
  <si>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</si>
  <si>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</si>
  <si>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</si>
  <si>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</si>
  <si>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</si>
  <si>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</si>
  <si>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</si>
  <si>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</si>
  <si>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</si>
  <si>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</si>
  <si>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</si>
  <si>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</si>
  <si>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</si>
  <si>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</si>
  <si>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</si>
  <si>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</si>
  <si>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</si>
  <si>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</si>
  <si>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</si>
  <si>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</si>
  <si>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</si>
  <si>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</si>
  <si>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</si>
  <si>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</si>
  <si>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</si>
  <si>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</si>
  <si>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</si>
  <si>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</si>
  <si>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</si>
  <si>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</si>
  <si>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</si>
  <si>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</si>
  <si>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</si>
  <si>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</si>
  <si>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</si>
  <si>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</si>
  <si>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</si>
  <si>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</si>
  <si>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</si>
  <si>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</si>
  <si>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</si>
  <si>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</si>
  <si>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</si>
  <si>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</si>
  <si>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</si>
  <si>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</si>
  <si>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</si>
  <si>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</si>
  <si>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</si>
  <si>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</si>
  <si>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</si>
  <si>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</si>
  <si>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</si>
  <si>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</si>
  <si>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</si>
  <si>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</si>
  <si>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</si>
  <si>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</si>
  <si>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</si>
  <si>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</si>
  <si>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</si>
  <si>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</si>
  <si>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</si>
  <si>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</si>
  <si>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</si>
  <si>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</si>
  <si>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</si>
  <si>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</si>
  <si>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</si>
  <si>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</si>
  <si>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</si>
  <si>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</si>
  <si>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</si>
  <si>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</si>
  <si>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</si>
  <si>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</si>
  <si>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</si>
  <si>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</si>
  <si>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</si>
  <si>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</si>
  <si>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</si>
  <si>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</si>
  <si>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</si>
  <si>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</si>
  <si>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</si>
  <si>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</si>
  <si>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</si>
  <si>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</si>
  <si>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</si>
  <si>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</si>
  <si>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</si>
  <si>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</si>
  <si>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</si>
  <si>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</si>
  <si>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</si>
  <si>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</si>
  <si>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</si>
  <si>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</si>
  <si>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</si>
  <si>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</si>
  <si>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</si>
  <si>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</si>
  <si>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</si>
  <si>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</si>
  <si>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</si>
  <si>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</si>
  <si>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</si>
  <si>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</si>
  <si>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</si>
  <si>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</si>
  <si>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</si>
  <si>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</si>
  <si>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</si>
  <si>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</si>
  <si>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</si>
  <si>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</si>
  <si>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</si>
  <si>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</si>
  <si>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</si>
  <si>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</si>
  <si>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</si>
  <si>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</si>
  <si>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</si>
  <si>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</si>
  <si>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</si>
  <si>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</si>
  <si>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</si>
  <si>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</si>
  <si>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</si>
  <si>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</si>
  <si>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</si>
  <si>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</si>
  <si>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</si>
  <si>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</si>
  <si>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</si>
  <si>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</si>
  <si>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</si>
  <si>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</si>
  <si>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</si>
  <si>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</si>
  <si>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</si>
  <si>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</si>
  <si>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</si>
  <si>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</si>
  <si>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</si>
  <si>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</si>
  <si>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</si>
  <si>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</si>
  <si>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</si>
  <si>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</si>
  <si>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</si>
  <si>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</si>
  <si>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</si>
  <si>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</si>
  <si>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</si>
  <si>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</si>
  <si>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</si>
  <si>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</si>
  <si>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</si>
  <si>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</si>
  <si>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</si>
  <si>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</si>
  <si>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</si>
  <si>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</si>
  <si>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</si>
  <si>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</si>
  <si>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</si>
  <si>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</si>
  <si>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</si>
  <si>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</si>
  <si>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</si>
  <si>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</si>
  <si>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</si>
  <si>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</si>
  <si>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</si>
  <si>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</si>
  <si>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</si>
  <si>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</si>
  <si>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</si>
  <si>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</si>
  <si>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</si>
  <si>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</si>
  <si>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</si>
  <si>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</si>
  <si>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</si>
  <si>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</si>
  <si>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</si>
  <si>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</si>
  <si>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</si>
  <si>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</si>
  <si>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</si>
  <si>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</si>
  <si>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</si>
  <si>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</si>
  <si>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</si>
  <si>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</si>
  <si>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</si>
  <si>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</si>
  <si>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</si>
  <si>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</si>
  <si>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</si>
  <si>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</si>
  <si>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</si>
  <si>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</si>
  <si>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</si>
  <si>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</si>
  <si>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</si>
  <si>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</si>
  <si>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</si>
  <si>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</si>
  <si>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</si>
  <si>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</si>
  <si>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</si>
  <si>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</si>
  <si>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</si>
  <si>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</si>
  <si>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</si>
  <si>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</si>
  <si>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</si>
  <si>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</si>
  <si>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</si>
  <si>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</si>
  <si>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</si>
  <si>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</si>
  <si>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</si>
  <si>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</si>
  <si>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</si>
  <si>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</si>
  <si>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</si>
  <si>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</si>
  <si>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</si>
  <si>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</si>
  <si>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</si>
  <si>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</si>
  <si>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</si>
  <si>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</si>
  <si>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</si>
  <si>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</si>
  <si>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</si>
  <si>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</si>
  <si>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</si>
  <si>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</si>
  <si>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</si>
  <si>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</si>
  <si>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</si>
  <si>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</si>
  <si>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</si>
  <si>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</si>
  <si>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</si>
  <si>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</si>
  <si>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</si>
  <si>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</si>
  <si>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</si>
  <si>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</si>
  <si>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</si>
  <si>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</si>
  <si>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</si>
  <si>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</si>
  <si>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</si>
  <si>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</si>
  <si>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</si>
  <si>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</si>
  <si>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</si>
  <si>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</si>
  <si>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</si>
  <si>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</si>
  <si>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</si>
  <si>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</si>
  <si>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</si>
  <si>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</si>
  <si>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</si>
  <si>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</si>
  <si>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</si>
  <si>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</si>
  <si>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</si>
  <si>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</si>
  <si>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</si>
  <si>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</si>
  <si>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</si>
  <si>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</si>
  <si>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</si>
  <si>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</si>
  <si>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</si>
  <si>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</si>
  <si>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</si>
  <si>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</si>
  <si>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</si>
  <si>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</si>
  <si>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</si>
  <si>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</si>
  <si>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</si>
  <si>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</si>
  <si>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</si>
  <si>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</si>
  <si>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</si>
  <si>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</si>
  <si>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</si>
  <si>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</si>
  <si>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</si>
  <si>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</si>
  <si>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</si>
  <si>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</si>
  <si>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</si>
  <si>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</si>
  <si>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</si>
  <si>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</si>
  <si>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</si>
  <si>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</si>
  <si>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</si>
  <si>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</si>
  <si>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</si>
  <si>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</si>
  <si>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</si>
  <si>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</si>
  <si>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</si>
  <si>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</si>
  <si>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</si>
  <si>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</si>
  <si>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</si>
  <si>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</si>
  <si>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</si>
  <si>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</si>
  <si>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</si>
  <si>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</si>
  <si>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</si>
  <si>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</si>
  <si>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</si>
  <si>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</si>
  <si>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</si>
  <si>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</si>
  <si>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</si>
  <si>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</si>
  <si>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</si>
  <si>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</si>
  <si>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</si>
  <si>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</si>
  <si>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</si>
  <si>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</si>
  <si>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</si>
  <si>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</si>
  <si>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</si>
  <si>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</si>
  <si>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</si>
  <si>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</si>
  <si>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</si>
  <si>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</si>
  <si>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</si>
  <si>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</si>
  <si>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</si>
  <si>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</si>
  <si>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</si>
  <si>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</si>
  <si>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</si>
  <si>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</si>
  <si>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</si>
  <si>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</si>
  <si>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</si>
  <si>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</si>
  <si>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</si>
  <si>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</si>
  <si>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</si>
  <si>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</si>
  <si>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</si>
  <si>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</si>
  <si>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</si>
  <si>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</si>
  <si>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</si>
  <si>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</si>
  <si>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</si>
  <si>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</si>
  <si>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</si>
  <si>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</si>
  <si>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</si>
  <si>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</si>
  <si>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</si>
  <si>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</si>
  <si>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</si>
  <si>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</si>
  <si>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</si>
  <si>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</si>
  <si>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</si>
  <si>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</si>
  <si>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</si>
  <si>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</si>
  <si>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</si>
  <si>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</si>
  <si>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</si>
  <si>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</si>
  <si>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</si>
  <si>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</si>
  <si>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</si>
  <si>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</si>
  <si>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</si>
  <si>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</si>
  <si>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</si>
  <si>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</si>
  <si>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</si>
  <si>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</si>
  <si>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</si>
  <si>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</si>
  <si>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</si>
  <si>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</si>
  <si>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</si>
  <si>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</si>
  <si>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</si>
  <si>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</si>
  <si>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</si>
  <si>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</si>
  <si>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</si>
  <si>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</si>
  <si>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</si>
  <si>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</si>
  <si>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</si>
  <si>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</si>
  <si>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</si>
  <si>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</si>
  <si>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</si>
  <si>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</si>
  <si>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</si>
  <si>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</si>
  <si>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</si>
  <si>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</si>
  <si>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</si>
  <si>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</si>
  <si>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</si>
  <si>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</si>
  <si>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</si>
  <si>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</si>
  <si>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</si>
  <si>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</si>
  <si>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</si>
  <si>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</si>
  <si>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</si>
  <si>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</si>
  <si>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</si>
  <si>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</si>
  <si>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</si>
  <si>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</si>
  <si>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</si>
  <si>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</si>
  <si>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</si>
  <si>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</si>
  <si>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</si>
  <si>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</si>
  <si>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</si>
  <si>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</si>
  <si>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</si>
  <si>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</si>
  <si>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</si>
  <si>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</si>
  <si>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</si>
  <si>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</si>
  <si>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</si>
  <si>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</si>
  <si>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</si>
  <si>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</si>
  <si>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</si>
  <si>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</si>
  <si>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</si>
  <si>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</si>
  <si>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</si>
  <si>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</si>
  <si>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</si>
  <si>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</si>
  <si>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</si>
  <si>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</si>
  <si>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</si>
  <si>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</si>
  <si>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</si>
  <si>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</si>
  <si>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</si>
  <si>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</si>
  <si>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</si>
  <si>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</si>
  <si>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</si>
  <si>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</si>
  <si>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</si>
  <si>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</si>
  <si>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</si>
  <si>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</si>
  <si>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</si>
  <si>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</si>
  <si>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</si>
  <si>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</si>
  <si>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</si>
  <si>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</si>
  <si>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</si>
  <si>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</si>
  <si>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</si>
  <si>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</si>
  <si>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</si>
  <si>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</si>
  <si>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</si>
  <si>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</si>
  <si>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</si>
  <si>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</si>
  <si>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</si>
  <si>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</si>
  <si>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</si>
  <si>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</si>
  <si>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</si>
  <si>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</si>
  <si>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</si>
  <si>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</si>
  <si>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</si>
  <si>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</si>
  <si>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</si>
  <si>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</si>
  <si>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</si>
  <si>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</si>
  <si>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</si>
  <si>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</si>
  <si>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</si>
  <si>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</si>
  <si>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</si>
  <si>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</si>
  <si>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</si>
  <si>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</si>
  <si>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</si>
  <si>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</si>
  <si>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</si>
  <si>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</si>
  <si>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</si>
  <si>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</si>
  <si>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</si>
  <si>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</si>
  <si>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</si>
  <si>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</si>
  <si>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</si>
  <si>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</si>
  <si>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</si>
  <si>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</si>
  <si>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</si>
  <si>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</si>
  <si>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</si>
  <si>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</si>
  <si>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</si>
  <si>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</si>
  <si>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</si>
  <si>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</si>
  <si>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</si>
  <si>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</si>
  <si>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</si>
  <si>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</si>
  <si>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</si>
  <si>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</si>
  <si>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</si>
  <si>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</si>
  <si>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</si>
  <si>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</si>
  <si>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</si>
  <si>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</si>
  <si>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</si>
  <si>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</si>
  <si>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</si>
  <si>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</si>
  <si>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</si>
  <si>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</si>
  <si>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</si>
  <si>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</si>
  <si>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</si>
  <si>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</si>
  <si>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</si>
  <si>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</si>
  <si>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</si>
  <si>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</si>
  <si>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</si>
  <si>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</si>
  <si>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</si>
  <si>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</si>
  <si>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</si>
  <si>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</si>
  <si>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</si>
  <si>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</si>
  <si>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</si>
  <si>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</si>
  <si>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</si>
  <si>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</si>
  <si>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</si>
  <si>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</si>
  <si>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</si>
  <si>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</si>
  <si>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</si>
  <si>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</si>
  <si>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</si>
  <si>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</si>
  <si>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</si>
  <si>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</si>
  <si>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</si>
  <si>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</si>
  <si>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</si>
  <si>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</si>
  <si>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</si>
  <si>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</si>
  <si>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</si>
  <si>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</si>
  <si>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</si>
  <si>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</si>
  <si>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</si>
  <si>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</si>
  <si>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</si>
  <si>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</si>
  <si>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</si>
  <si>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</si>
  <si>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</si>
  <si>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</si>
  <si>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</si>
  <si>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</si>
  <si>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</si>
  <si>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</si>
  <si>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</si>
  <si>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</si>
  <si>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</si>
  <si>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</si>
  <si>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</si>
  <si>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</si>
  <si>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</si>
  <si>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</si>
  <si>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</si>
  <si>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</si>
  <si>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</si>
  <si>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</si>
  <si>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</si>
  <si>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</si>
  <si>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</si>
  <si>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</si>
  <si>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</si>
  <si>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</si>
  <si>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</si>
  <si>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</si>
  <si>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</si>
  <si>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</si>
  <si>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</si>
  <si>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</si>
  <si>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</si>
  <si>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</si>
  <si>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</si>
  <si>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</si>
  <si>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</si>
  <si>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</si>
  <si>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</si>
  <si>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</si>
  <si>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</si>
  <si>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</si>
  <si>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</si>
  <si>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</si>
  <si>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</si>
  <si>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</si>
  <si>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</si>
  <si>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</si>
  <si>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</si>
  <si>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</si>
  <si>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</si>
  <si>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</si>
  <si>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</si>
  <si>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</si>
  <si>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</si>
  <si>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</si>
  <si>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</si>
  <si>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</si>
  <si>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</si>
  <si>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</si>
  <si>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</si>
  <si>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</si>
  <si>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</si>
  <si>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</si>
  <si>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</si>
  <si>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</si>
  <si>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</si>
  <si>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</si>
  <si>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</si>
  <si>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</si>
  <si>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</si>
  <si>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</si>
  <si>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</si>
  <si>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</si>
  <si>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</si>
  <si>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</si>
  <si>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</si>
  <si>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</si>
  <si>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</si>
  <si>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</si>
  <si>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</si>
  <si>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</si>
  <si>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</si>
  <si>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</si>
  <si>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</si>
  <si>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</si>
  <si>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</si>
  <si>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</si>
  <si>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</si>
  <si>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</si>
  <si>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</si>
  <si>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</si>
  <si>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</si>
  <si>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</si>
  <si>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</si>
  <si>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</si>
  <si>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</si>
  <si>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</si>
  <si>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</si>
  <si>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</si>
  <si>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</si>
  <si>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</si>
  <si>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</si>
  <si>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</si>
  <si>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</si>
  <si>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</si>
  <si>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</si>
  <si>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</si>
  <si>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</si>
  <si>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</si>
  <si>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</si>
  <si>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</si>
  <si>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</si>
  <si>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</si>
  <si>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</si>
  <si>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</si>
  <si>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</si>
  <si>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</si>
  <si>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</si>
  <si>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</si>
  <si>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</si>
  <si>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</si>
  <si>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</si>
  <si>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</si>
  <si>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</si>
  <si>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</si>
  <si>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</si>
  <si>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</si>
  <si>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</si>
  <si>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</si>
  <si>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</si>
  <si>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</si>
  <si>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</si>
  <si>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</si>
  <si>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</si>
  <si>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</si>
  <si>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</si>
  <si>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</si>
  <si>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</si>
  <si>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</si>
  <si>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</si>
  <si>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</si>
  <si>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</si>
  <si>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</si>
  <si>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</si>
  <si>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</si>
  <si>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</si>
  <si>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</si>
  <si>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</si>
  <si>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</si>
  <si>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</si>
  <si>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</si>
  <si>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</si>
  <si>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</si>
  <si>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</si>
  <si>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</si>
  <si>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</si>
  <si>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</si>
  <si>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</si>
  <si>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</si>
  <si>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</si>
  <si>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</si>
  <si>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</si>
  <si>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</si>
  <si>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</si>
  <si>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</si>
  <si>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</si>
  <si>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</si>
  <si>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</si>
  <si>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</si>
  <si>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</si>
  <si>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</si>
  <si>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</si>
  <si>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</si>
  <si>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</si>
  <si>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</si>
  <si>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</si>
  <si>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</si>
  <si>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</si>
  <si>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</si>
  <si>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</si>
  <si>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</si>
  <si>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</si>
  <si>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</si>
  <si>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</si>
  <si>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</si>
  <si>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</si>
  <si>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</si>
  <si>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</si>
  <si>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</si>
  <si>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</si>
  <si>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</si>
  <si>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</si>
  <si>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</si>
  <si>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</si>
  <si>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</si>
  <si>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</si>
  <si>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</si>
  <si>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</si>
  <si>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</si>
  <si>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</si>
  <si>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</si>
  <si>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</si>
  <si>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</si>
  <si>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</si>
  <si>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</si>
  <si>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</si>
  <si>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</si>
  <si>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</si>
  <si>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</si>
  <si>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</si>
  <si>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</si>
  <si>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</si>
  <si>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</si>
  <si>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</si>
  <si>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</si>
  <si>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</si>
  <si>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</si>
  <si>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</si>
  <si>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</si>
  <si>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</si>
  <si>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</si>
  <si>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</si>
  <si>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</si>
  <si>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</si>
  <si>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</si>
  <si>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</si>
  <si>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</si>
  <si>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</si>
  <si>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</si>
  <si>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</si>
  <si>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</si>
  <si>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</si>
  <si>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</si>
  <si>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</si>
  <si>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</si>
  <si>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</si>
  <si>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</si>
  <si>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</si>
  <si>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</si>
  <si>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</si>
  <si>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</si>
  <si>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</si>
  <si>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</si>
  <si>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</si>
  <si>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</si>
  <si>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</si>
  <si>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</si>
  <si>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</si>
  <si>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</si>
  <si>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</si>
  <si>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</si>
  <si>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</si>
  <si>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</si>
  <si>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</si>
  <si>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</si>
  <si>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</si>
  <si>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</si>
  <si>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</si>
  <si>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</si>
  <si>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</si>
  <si>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</si>
  <si>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</si>
  <si>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</si>
  <si>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</si>
  <si>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</si>
  <si>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</si>
  <si>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</si>
  <si>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</si>
  <si>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</si>
  <si>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</si>
  <si>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</si>
  <si>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</si>
  <si>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</si>
  <si>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</si>
  <si>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</si>
  <si>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</si>
  <si>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</si>
  <si>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</si>
  <si>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</si>
  <si>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</si>
  <si>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</si>
  <si>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</si>
  <si>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</si>
  <si>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</si>
  <si>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</si>
  <si>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</si>
  <si>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</si>
  <si>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</si>
  <si>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</si>
  <si>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</si>
  <si>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</si>
  <si>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</si>
  <si>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</si>
  <si>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</si>
  <si>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</si>
  <si>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</si>
  <si>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</si>
  <si>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</si>
  <si>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</si>
  <si>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</si>
  <si>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</si>
  <si>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</si>
  <si>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</si>
  <si>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</si>
  <si>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</si>
  <si>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</si>
  <si>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</si>
  <si>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</si>
  <si>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</si>
  <si>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</si>
  <si>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</si>
  <si>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</si>
  <si>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</si>
  <si>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</si>
  <si>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</si>
  <si>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</si>
  <si>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</si>
  <si>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</si>
  <si>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</si>
  <si>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</si>
  <si>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</si>
  <si>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</si>
  <si>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</si>
  <si>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</si>
  <si>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</si>
  <si>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</si>
  <si>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</si>
  <si>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</si>
  <si>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</si>
  <si>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</si>
  <si>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</si>
  <si>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</si>
  <si>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</si>
  <si>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</si>
  <si>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</si>
  <si>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</si>
  <si>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</si>
  <si>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</si>
  <si>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</si>
  <si>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</si>
  <si>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</si>
  <si>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</si>
  <si>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</si>
  <si>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</si>
  <si>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</si>
  <si>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</si>
  <si>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</si>
  <si>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</si>
  <si>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</si>
  <si>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</si>
  <si>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</si>
  <si>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</si>
  <si>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</si>
  <si>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</si>
  <si>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</si>
  <si>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</si>
  <si>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</si>
  <si>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</si>
  <si>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</si>
  <si>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</si>
  <si>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</si>
  <si>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</si>
  <si>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</si>
  <si>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</si>
  <si>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</si>
  <si>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</si>
  <si>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</si>
  <si>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</si>
  <si>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</si>
  <si>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</si>
  <si>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</si>
  <si>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</si>
  <si>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</si>
  <si>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</si>
  <si>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</si>
  <si>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</si>
  <si>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</si>
  <si>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</si>
  <si>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</si>
  <si>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</si>
  <si>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</si>
  <si>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</si>
  <si>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</si>
  <si>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</si>
  <si>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</si>
  <si>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</si>
  <si>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</si>
  <si>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</si>
  <si>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</si>
  <si>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</si>
  <si>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</si>
  <si>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</si>
  <si>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</si>
  <si>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</si>
  <si>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</si>
  <si>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</si>
  <si>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</si>
  <si>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玉溪市红塔区玉带街道办事处中心路以南(高铁新城片区)</t>
  </si>
  <si>
    <t>玉溪市</t>
  </si>
  <si>
    <t>住宅用地</t>
  </si>
  <si>
    <t>挂牌</t>
  </si>
  <si>
    <t>YHTC(2017)23-4、5、6号</t>
  </si>
  <si>
    <t>城镇住宅用地</t>
  </si>
  <si>
    <t>大于或等于1并且小于或等于3.1</t>
  </si>
  <si>
    <t>2019-10-08</t>
  </si>
  <si>
    <t>玉红自然资告字[2019]8号</t>
  </si>
  <si>
    <t>70年</t>
  </si>
  <si>
    <t>3星</t>
  </si>
  <si>
    <t>玉溪市红塔区李棋街道办事处白龙路以东、王井村以南</t>
  </si>
  <si>
    <t>拍卖</t>
  </si>
  <si>
    <t>YXTC(2011)1-18-1号</t>
  </si>
  <si>
    <t>＞1且≤2</t>
  </si>
  <si>
    <t>2019-05-21</t>
  </si>
  <si>
    <t>玉国土资红告字[2019]13号</t>
  </si>
  <si>
    <t>玉溪金科骏达房地产开发有限公司</t>
  </si>
  <si>
    <t>玉溪市红塔区李棋街道办事处新康井路以西、红九路以南</t>
  </si>
  <si>
    <t>＞1且≤2.3</t>
  </si>
  <si>
    <t>重庆盈丰地产有限公司</t>
  </si>
  <si>
    <t>玉溪市红塔区李棋街道办事处新康井路以西、西横六路以南、西横七路以北</t>
  </si>
  <si>
    <t>YXTC(2011)1-18-2号</t>
  </si>
  <si>
    <t>＞1且≤3.1</t>
  </si>
  <si>
    <t>玉溪市红塔区李棋街道办事处王井村以东、新康井路以西</t>
  </si>
  <si>
    <t>YXTC(2011)1-18-3号</t>
  </si>
  <si>
    <t>＞1且≤3</t>
  </si>
  <si>
    <t>玉溪市红塔区李棋街道办事处白龙路以西</t>
  </si>
  <si>
    <t>综合用地(含住宅)</t>
  </si>
  <si>
    <t>≥1.0且≤3.2</t>
  </si>
  <si>
    <t>2019-03-20</t>
  </si>
  <si>
    <t>玉交易国土告字[2019]4号</t>
  </si>
  <si>
    <t>南宁金卓立房地产开发有限公司</t>
  </si>
  <si>
    <t>城镇住宅用地70年,其他商服用地40年,公园与绿地用地50年</t>
  </si>
  <si>
    <t>玉溪市红塔区泷水塘片区紫艺路以东、凤凰路以北。</t>
  </si>
  <si>
    <t>YXTC(2014)1-2号</t>
  </si>
  <si>
    <t>＞1,≤3.5</t>
  </si>
  <si>
    <t>2019-03-19</t>
  </si>
  <si>
    <t>玉国土资红告字[2019]6号</t>
  </si>
  <si>
    <t>玉溪市红塔区泷水塘片区凤凰路以北,抚仙路以东。</t>
  </si>
  <si>
    <t>YXTC(2014)1-4号</t>
  </si>
  <si>
    <t>玉溪市红塔区泷水塘片区环山路以西、聂耳路以南</t>
  </si>
  <si>
    <t>YXTC(2014)1-5号</t>
  </si>
  <si>
    <t>2019-03-11</t>
  </si>
  <si>
    <t>玉国土资红告字[2019]4号</t>
  </si>
  <si>
    <t>玉溪市红塔区泷水塘片区环山路以东(盛世庭园旁)</t>
  </si>
  <si>
    <t>YXTC(2014)1-7号</t>
  </si>
  <si>
    <t>昆明韩锦房地产开发有限公司</t>
  </si>
  <si>
    <t>玉溪市红塔区泷水塘片区凤凰路以北、紫艺路以西</t>
  </si>
  <si>
    <t>YXTC(2014)1-6号</t>
  </si>
  <si>
    <t>玉溪市红塔区李棋街道办事处(云南同乐房地产开发有限公司以西)</t>
  </si>
  <si>
    <t>住宅,商业</t>
  </si>
  <si>
    <t>＞1,≤5</t>
  </si>
  <si>
    <t>2018-11-19</t>
  </si>
  <si>
    <t>玉国土资红告字[2018]17号</t>
  </si>
  <si>
    <t>云南同乐房地产开发有限公司</t>
  </si>
  <si>
    <t>住宅70年,商业40年</t>
  </si>
  <si>
    <t>玉溪市红塔区棋阳路与玉兴路交叉口东南侧</t>
  </si>
  <si>
    <t>城镇住宅用地、商务金融用地</t>
  </si>
  <si>
    <t>＞1,≤6.3</t>
  </si>
  <si>
    <t>2018-11-15</t>
  </si>
  <si>
    <t>玉国土资红告字[2018]18号</t>
  </si>
  <si>
    <t>城镇住宅用地70年、商务金融用地40年</t>
  </si>
  <si>
    <t>玉溪市红塔区康庄路和康玉路交叉口东南侧</t>
  </si>
  <si>
    <t>其他普通商品住房用地</t>
  </si>
  <si>
    <t>2018-10-22</t>
  </si>
  <si>
    <t>玉国土资红告字[2018]13号</t>
  </si>
  <si>
    <t>玉溪富然房地产开发有限公司</t>
  </si>
  <si>
    <t>玉溪市红塔区李棋街道办事处白龙路以西(李棋万裕生态城入口旁)</t>
  </si>
  <si>
    <t>YXTC(2011)1-16号</t>
  </si>
  <si>
    <t>住宅用地,商业用地</t>
  </si>
  <si>
    <t>＞1,≤2.5</t>
  </si>
  <si>
    <t>2018-08-21</t>
  </si>
  <si>
    <t>玉国土资红告字[2018]8号</t>
  </si>
  <si>
    <t>玉溪市红塔区康庄路和规划西横八路交叉口东南侧</t>
  </si>
  <si>
    <t>零售商业用地*城镇住宅用地*公园与绿地</t>
  </si>
  <si>
    <t>2018-05-24</t>
  </si>
  <si>
    <t>玉国土资红告字[2018]7号</t>
  </si>
  <si>
    <t>零售商业用地40年*城镇住宅用地70年*公园与绿地50年</t>
  </si>
  <si>
    <t>玉溪市红塔区红塔大道北侧(金钟山)</t>
  </si>
  <si>
    <t>YXTC(2008)22-2号</t>
  </si>
  <si>
    <t>＞1且≤1.2</t>
  </si>
  <si>
    <t>2017-10-23</t>
  </si>
  <si>
    <t>玉国土资红告字[2017]8号-1</t>
  </si>
  <si>
    <t>新昌县中梁城置业有限公司</t>
  </si>
  <si>
    <t>玉溪市红塔区李棋街道办事处</t>
  </si>
  <si>
    <t>YXTC(2009)35-17号</t>
  </si>
  <si>
    <t>商住混合用地</t>
  </si>
  <si>
    <t>＞1且≤5</t>
  </si>
  <si>
    <t>玉国土资红告字[2017]8号-2</t>
  </si>
  <si>
    <t>住宅用地为70年,商业用地40年</t>
  </si>
  <si>
    <t>玉溪市红塔区玉江大道以东、冯家冲以西</t>
  </si>
  <si>
    <t>YXTC(2015)1号地块</t>
  </si>
  <si>
    <t>其他普通商品住房</t>
  </si>
  <si>
    <t>＞1,≤2.8</t>
  </si>
  <si>
    <t>2017-06-21</t>
  </si>
  <si>
    <t>玉国土资红告字[2017]4号</t>
  </si>
  <si>
    <t>玉溪近业投资有限公司</t>
  </si>
  <si>
    <t>出让合同</t>
    <phoneticPr fontId="228" type="noConversion"/>
  </si>
  <si>
    <t>电子监管号</t>
    <phoneticPr fontId="228" type="noConversion"/>
  </si>
  <si>
    <t>不动产权证书</t>
    <phoneticPr fontId="228" type="noConversion"/>
  </si>
  <si>
    <t>编号</t>
    <phoneticPr fontId="228" type="noConversion"/>
  </si>
  <si>
    <t>权利人</t>
    <phoneticPr fontId="228" type="noConversion"/>
  </si>
  <si>
    <t>玉溪润雅置业有限公司</t>
    <phoneticPr fontId="228" type="noConversion"/>
  </si>
  <si>
    <t>共有情况</t>
    <phoneticPr fontId="228" type="noConversion"/>
  </si>
  <si>
    <t>单独所有</t>
    <phoneticPr fontId="228" type="noConversion"/>
  </si>
  <si>
    <t>坐落</t>
    <phoneticPr fontId="228" type="noConversion"/>
  </si>
  <si>
    <t>不动产单元号</t>
    <phoneticPr fontId="228" type="noConversion"/>
  </si>
  <si>
    <t>玉溪市红塔区李棋街道新康井路以西</t>
    <phoneticPr fontId="228" type="noConversion"/>
  </si>
  <si>
    <t>530402104103GB00715W00000000</t>
    <phoneticPr fontId="228" type="noConversion"/>
  </si>
  <si>
    <t>权利类型</t>
    <phoneticPr fontId="228" type="noConversion"/>
  </si>
  <si>
    <t>国有建设用地使用权</t>
    <phoneticPr fontId="228" type="noConversion"/>
  </si>
  <si>
    <t>用途</t>
    <phoneticPr fontId="228" type="noConversion"/>
  </si>
  <si>
    <t>城镇住宅用地</t>
    <phoneticPr fontId="228" type="noConversion"/>
  </si>
  <si>
    <t>使用期限</t>
    <phoneticPr fontId="228" type="noConversion"/>
  </si>
  <si>
    <t>云（2019）红塔区不动产权第0013413号</t>
    <phoneticPr fontId="228" type="noConversion"/>
  </si>
  <si>
    <t>5304022019B00237</t>
    <phoneticPr fontId="228" type="noConversion"/>
  </si>
  <si>
    <t>出让价款/万元</t>
    <phoneticPr fontId="228" type="noConversion"/>
  </si>
  <si>
    <t>面积/平方米</t>
    <phoneticPr fontId="228" type="noConversion"/>
  </si>
  <si>
    <t>楼面地价</t>
  </si>
  <si>
    <t>楼面地价</t>
    <phoneticPr fontId="228" type="noConversion"/>
  </si>
  <si>
    <t>容积率</t>
    <phoneticPr fontId="228" type="noConversion"/>
  </si>
  <si>
    <t>云（2019）红塔区不动产权第0013416号</t>
    <phoneticPr fontId="228" type="noConversion"/>
  </si>
  <si>
    <t>玉溪市红塔区李棋街道王井村以东、新康井路以西</t>
    <phoneticPr fontId="228" type="noConversion"/>
  </si>
  <si>
    <t>530402104103GB00714W00000000</t>
    <phoneticPr fontId="228" type="noConversion"/>
  </si>
  <si>
    <t>530402104103GB00713W00000000</t>
    <phoneticPr fontId="228" type="noConversion"/>
  </si>
  <si>
    <t>2019-7-16至2089-7-15止</t>
    <phoneticPr fontId="228" type="noConversion"/>
  </si>
  <si>
    <t>5304022019B00243</t>
    <phoneticPr fontId="228" type="noConversion"/>
  </si>
  <si>
    <t>玉溪市红塔区李棋街道新康井路以西、红九路以南</t>
    <phoneticPr fontId="228" type="noConversion"/>
  </si>
  <si>
    <t>5304022019B00257</t>
    <phoneticPr fontId="228" type="noConversion"/>
  </si>
  <si>
    <t>有规证</t>
    <phoneticPr fontId="228" type="noConversion"/>
  </si>
  <si>
    <t>商业</t>
  </si>
  <si>
    <t>商业</t>
    <phoneticPr fontId="228" type="noConversion"/>
  </si>
  <si>
    <t>社区用房</t>
    <phoneticPr fontId="228" type="noConversion"/>
  </si>
  <si>
    <t>物业管理</t>
    <phoneticPr fontId="228" type="noConversion"/>
  </si>
  <si>
    <t>公共卫生间</t>
    <phoneticPr fontId="228" type="noConversion"/>
  </si>
  <si>
    <t>老年人服务设施</t>
    <phoneticPr fontId="228" type="noConversion"/>
  </si>
  <si>
    <t>门卫用房</t>
    <phoneticPr fontId="228" type="noConversion"/>
  </si>
  <si>
    <t>出地面楼梯间</t>
    <phoneticPr fontId="228" type="noConversion"/>
  </si>
  <si>
    <t>地上</t>
  </si>
  <si>
    <t>资源睿城·颐和九锦（一期）</t>
    <phoneticPr fontId="228" type="noConversion"/>
  </si>
  <si>
    <t>地上（计容）</t>
    <phoneticPr fontId="228" type="noConversion"/>
  </si>
  <si>
    <t>公共配套</t>
    <phoneticPr fontId="228" type="noConversion"/>
  </si>
  <si>
    <t>社区卫生服务用房</t>
    <phoneticPr fontId="228" type="noConversion"/>
  </si>
  <si>
    <t>合计</t>
    <phoneticPr fontId="228" type="noConversion"/>
  </si>
  <si>
    <t>小计</t>
    <phoneticPr fontId="228" type="noConversion"/>
  </si>
  <si>
    <t>地下</t>
  </si>
  <si>
    <t>地下</t>
    <phoneticPr fontId="228" type="noConversion"/>
  </si>
  <si>
    <t>容积率</t>
    <phoneticPr fontId="228" type="noConversion"/>
  </si>
  <si>
    <t>部位</t>
    <phoneticPr fontId="228" type="noConversion"/>
  </si>
  <si>
    <t>规划建筑面积</t>
    <phoneticPr fontId="228" type="noConversion"/>
  </si>
  <si>
    <t>住宅（24-26层）</t>
    <phoneticPr fontId="228" type="noConversion"/>
  </si>
  <si>
    <r>
      <t>YXTC(2011)1-18-4</t>
    </r>
    <r>
      <rPr>
        <b/>
        <sz val="10"/>
        <rFont val="宋体"/>
        <family val="3"/>
        <charset val="134"/>
      </rPr>
      <t>号</t>
    </r>
    <phoneticPr fontId="228" type="noConversion"/>
  </si>
  <si>
    <t>YXTC(2011)1-18-4号</t>
    <phoneticPr fontId="228" type="noConversion"/>
  </si>
  <si>
    <t>宗地编号</t>
    <phoneticPr fontId="228" type="noConversion"/>
  </si>
  <si>
    <t>YXTC(2011)1-18-3号</t>
    <phoneticPr fontId="228" type="noConversion"/>
  </si>
  <si>
    <t>YXTC(2011)1-18-2号</t>
    <phoneticPr fontId="228" type="noConversion"/>
  </si>
  <si>
    <t>车库</t>
  </si>
  <si>
    <t>省会市名称</t>
  </si>
  <si>
    <t>建筑型式</t>
  </si>
  <si>
    <t>说明</t>
  </si>
  <si>
    <t>多层</t>
  </si>
  <si>
    <t>小高层</t>
  </si>
  <si>
    <t>高层</t>
  </si>
  <si>
    <r>
      <rPr>
        <sz val="10"/>
        <rFont val="宋体"/>
        <family val="3"/>
        <charset val="134"/>
      </rPr>
      <t>昆明市</t>
    </r>
  </si>
  <si>
    <t>0</t>
  </si>
  <si>
    <t>1862</t>
  </si>
  <si>
    <t>2018</t>
  </si>
  <si>
    <r>
      <rPr>
        <sz val="10"/>
        <rFont val="宋体"/>
        <family val="3"/>
        <charset val="134"/>
      </rPr>
      <t xml:space="preserve">备注：
</t>
    </r>
    <r>
      <rPr>
        <sz val="10"/>
        <rFont val="Arial"/>
        <family val="2"/>
      </rPr>
      <t>1</t>
    </r>
    <r>
      <rPr>
        <sz val="10"/>
        <rFont val="宋体"/>
        <family val="3"/>
        <charset val="134"/>
      </rPr>
      <t xml:space="preserve">、此数据为昆明地区住宅工程建安工程平米造价指标。
</t>
    </r>
    <r>
      <rPr>
        <sz val="10"/>
        <rFont val="Arial"/>
        <family val="2"/>
      </rPr>
      <t>2</t>
    </r>
    <r>
      <rPr>
        <sz val="10"/>
        <rFont val="宋体"/>
        <family val="3"/>
        <charset val="134"/>
      </rPr>
      <t xml:space="preserve">、造价均不含基坑支护、大型土方开挖、桩基础、特殊基础处理、室内装修和电梯设备费用，门窗仅含外墙窗和分户门，室内不含卫生洁具。
</t>
    </r>
    <r>
      <rPr>
        <sz val="10"/>
        <rFont val="Arial"/>
        <family val="2"/>
      </rPr>
      <t>3</t>
    </r>
    <r>
      <rPr>
        <sz val="10"/>
        <rFont val="宋体"/>
        <family val="3"/>
        <charset val="134"/>
      </rPr>
      <t xml:space="preserve">、住宅结构类型中小高层、高层住宅为框架剪力墙类型。
</t>
    </r>
    <r>
      <rPr>
        <sz val="10"/>
        <rFont val="Arial"/>
        <family val="2"/>
      </rPr>
      <t>4</t>
    </r>
    <r>
      <rPr>
        <sz val="10"/>
        <rFont val="宋体"/>
        <family val="3"/>
        <charset val="134"/>
      </rPr>
      <t>、今年下半年经济指标较上半年上涨，主要源于材料价格波动、我省定额人工费调整因素。</t>
    </r>
    <phoneticPr fontId="3" type="noConversion"/>
  </si>
  <si>
    <t>土地（套用方法）</t>
  </si>
  <si>
    <t>按租金收入计税</t>
  </si>
  <si>
    <t>钢混</t>
  </si>
  <si>
    <t>否</t>
  </si>
  <si>
    <t>不动产收益法（商业）</t>
  </si>
  <si>
    <t>不动产收益法（车位）</t>
  </si>
  <si>
    <t>售价</t>
  </si>
  <si>
    <t>南宁金卓立房地产开发有限公司</t>
    <phoneticPr fontId="228" type="noConversion"/>
  </si>
  <si>
    <t>正常</t>
  </si>
  <si>
    <t>王鹏</t>
  </si>
  <si>
    <t>郑燚</t>
  </si>
  <si>
    <t>五矿国际信托有限公司</t>
    <phoneticPr fontId="6" type="noConversion"/>
  </si>
  <si>
    <t>抵押价格</t>
  </si>
  <si>
    <t>其他：</t>
  </si>
  <si>
    <t>企业</t>
  </si>
  <si>
    <t>云南省</t>
    <phoneticPr fontId="6" type="noConversion"/>
  </si>
  <si>
    <t>住宅、商业及地下车库</t>
  </si>
  <si>
    <t>住宅、商业及地下车库</t>
    <phoneticPr fontId="6" type="noConversion"/>
  </si>
  <si>
    <t>一致</t>
  </si>
  <si>
    <t>符合</t>
  </si>
  <si>
    <t>通路</t>
  </si>
  <si>
    <t>通电</t>
  </si>
  <si>
    <t>通讯</t>
  </si>
  <si>
    <t>通上水</t>
  </si>
  <si>
    <t>通下水</t>
  </si>
  <si>
    <t>燃气</t>
  </si>
  <si>
    <t>平整</t>
  </si>
  <si>
    <t>宗地内已开工建设</t>
  </si>
  <si>
    <t>居住项目</t>
  </si>
  <si>
    <t>金科</t>
    <phoneticPr fontId="26" type="noConversion"/>
  </si>
  <si>
    <t>金科</t>
    <phoneticPr fontId="26" type="noConversion"/>
  </si>
  <si>
    <t>一般</t>
  </si>
  <si>
    <t>较好</t>
  </si>
  <si>
    <r>
      <t>YXTC(2010)2-5</t>
    </r>
    <r>
      <rPr>
        <sz val="10"/>
        <rFont val="宋体"/>
        <family val="3"/>
        <charset val="134"/>
      </rPr>
      <t>号</t>
    </r>
    <phoneticPr fontId="228" type="noConversion"/>
  </si>
  <si>
    <t>玉溪玉高华风置业有限公司</t>
    <phoneticPr fontId="228" type="noConversion"/>
  </si>
  <si>
    <t>云南同乐房地产开发有限公司</t>
    <phoneticPr fontId="228" type="noConversion"/>
  </si>
  <si>
    <r>
      <t xml:space="preserve"> </t>
    </r>
    <r>
      <rPr>
        <sz val="10"/>
        <rFont val="宋体"/>
        <family val="3"/>
        <charset val="134"/>
      </rPr>
      <t>该地块含</t>
    </r>
    <r>
      <rPr>
        <sz val="10"/>
        <rFont val="Arial"/>
        <family val="2"/>
      </rPr>
      <t>D04-01</t>
    </r>
    <r>
      <rPr>
        <sz val="10"/>
        <rFont val="宋体"/>
        <family val="3"/>
        <charset val="134"/>
      </rPr>
      <t>地块（面积</t>
    </r>
    <r>
      <rPr>
        <sz val="10"/>
        <rFont val="Arial"/>
        <family val="2"/>
      </rPr>
      <t>1486</t>
    </r>
    <r>
      <rPr>
        <sz val="10"/>
        <rFont val="宋体"/>
        <family val="3"/>
        <charset val="134"/>
      </rPr>
      <t>平方米）、</t>
    </r>
    <r>
      <rPr>
        <sz val="10"/>
        <rFont val="Arial"/>
        <family val="2"/>
      </rPr>
      <t>D04-02</t>
    </r>
    <r>
      <rPr>
        <sz val="10"/>
        <rFont val="宋体"/>
        <family val="3"/>
        <charset val="134"/>
      </rPr>
      <t>地块（面积</t>
    </r>
    <r>
      <rPr>
        <sz val="10"/>
        <rFont val="Arial"/>
        <family val="2"/>
      </rPr>
      <t>25094</t>
    </r>
    <r>
      <rPr>
        <sz val="10"/>
        <rFont val="宋体"/>
        <family val="3"/>
        <charset val="134"/>
      </rPr>
      <t>平方米），其中</t>
    </r>
    <r>
      <rPr>
        <sz val="10"/>
        <rFont val="Arial"/>
        <family val="2"/>
      </rPr>
      <t>D04-01</t>
    </r>
    <r>
      <rPr>
        <sz val="10"/>
        <rFont val="宋体"/>
        <family val="3"/>
        <charset val="134"/>
      </rPr>
      <t>地块规划用途为防护绿地，不得建盖建构筑物，绿地率大于等于</t>
    </r>
    <r>
      <rPr>
        <sz val="10"/>
        <rFont val="Arial"/>
        <family val="2"/>
      </rPr>
      <t>85%</t>
    </r>
    <r>
      <rPr>
        <sz val="10"/>
        <rFont val="宋体"/>
        <family val="3"/>
        <charset val="134"/>
      </rPr>
      <t>，</t>
    </r>
    <r>
      <rPr>
        <sz val="10"/>
        <rFont val="Arial"/>
        <family val="2"/>
      </rPr>
      <t>D04-02</t>
    </r>
    <r>
      <rPr>
        <sz val="10"/>
        <rFont val="宋体"/>
        <family val="3"/>
        <charset val="134"/>
      </rPr>
      <t>地块规划用途为商住混合用地，绿地率大于等于</t>
    </r>
    <r>
      <rPr>
        <sz val="10"/>
        <rFont val="Arial"/>
        <family val="2"/>
      </rPr>
      <t>35%</t>
    </r>
    <r>
      <rPr>
        <sz val="10"/>
        <rFont val="宋体"/>
        <family val="3"/>
        <charset val="134"/>
      </rPr>
      <t>。土地用途：城镇住宅用地、商服用地、公园与绿地，土地使用年限：城镇住宅用地</t>
    </r>
    <r>
      <rPr>
        <sz val="10"/>
        <rFont val="Arial"/>
        <family val="2"/>
      </rPr>
      <t>70</t>
    </r>
    <r>
      <rPr>
        <sz val="10"/>
        <rFont val="宋体"/>
        <family val="3"/>
        <charset val="134"/>
      </rPr>
      <t>年、商服用地</t>
    </r>
    <r>
      <rPr>
        <sz val="10"/>
        <rFont val="Arial"/>
        <family val="2"/>
      </rPr>
      <t>40</t>
    </r>
    <r>
      <rPr>
        <sz val="10"/>
        <rFont val="宋体"/>
        <family val="3"/>
        <charset val="134"/>
      </rPr>
      <t>年、公园与绿地</t>
    </r>
    <r>
      <rPr>
        <sz val="10"/>
        <rFont val="Arial"/>
        <family val="2"/>
      </rPr>
      <t>50</t>
    </r>
    <r>
      <rPr>
        <sz val="10"/>
        <rFont val="宋体"/>
        <family val="3"/>
        <charset val="134"/>
      </rPr>
      <t>年。其他设定条件按《玉溪市规划局关于变更</t>
    </r>
    <r>
      <rPr>
        <sz val="10"/>
        <rFont val="Arial"/>
        <family val="2"/>
      </rPr>
      <t>YXTC</t>
    </r>
    <r>
      <rPr>
        <sz val="10"/>
        <rFont val="宋体"/>
        <family val="3"/>
        <charset val="134"/>
      </rPr>
      <t>（</t>
    </r>
    <r>
      <rPr>
        <sz val="10"/>
        <rFont val="Arial"/>
        <family val="2"/>
      </rPr>
      <t>2010</t>
    </r>
    <r>
      <rPr>
        <sz val="10"/>
        <rFont val="宋体"/>
        <family val="3"/>
        <charset val="134"/>
      </rPr>
      <t>）</t>
    </r>
    <r>
      <rPr>
        <sz val="10"/>
        <rFont val="Arial"/>
        <family val="2"/>
      </rPr>
      <t>2-5</t>
    </r>
    <r>
      <rPr>
        <sz val="10"/>
        <rFont val="宋体"/>
        <family val="3"/>
        <charset val="134"/>
      </rPr>
      <t>号地块规划设计条件的复函》（玉规函</t>
    </r>
    <r>
      <rPr>
        <sz val="10"/>
        <rFont val="Arial"/>
        <family val="2"/>
      </rPr>
      <t>[2018]31</t>
    </r>
    <r>
      <rPr>
        <sz val="10"/>
        <rFont val="宋体"/>
        <family val="3"/>
        <charset val="134"/>
      </rPr>
      <t xml:space="preserve">号）的要求执行。
</t>
    </r>
    <r>
      <rPr>
        <sz val="10"/>
        <rFont val="Arial"/>
        <family val="2"/>
      </rPr>
      <t>http://www.yuxi.gov.cn/yxszfxxgk/xxgk2394/20181026/972691.html</t>
    </r>
    <phoneticPr fontId="228" type="noConversion"/>
  </si>
  <si>
    <r>
      <t>HTQTC(2018)3</t>
    </r>
    <r>
      <rPr>
        <sz val="10"/>
        <rFont val="宋体"/>
        <family val="3"/>
        <charset val="134"/>
      </rPr>
      <t>号</t>
    </r>
    <phoneticPr fontId="228" type="noConversion"/>
  </si>
  <si>
    <t>云南省活发集团华瑞房地产开发有限公司</t>
    <phoneticPr fontId="228" type="noConversion"/>
  </si>
  <si>
    <r>
      <t>YXTC(2013)20-2</t>
    </r>
    <r>
      <rPr>
        <sz val="10"/>
        <rFont val="宋体"/>
        <family val="3"/>
        <charset val="134"/>
      </rPr>
      <t>号</t>
    </r>
    <phoneticPr fontId="228" type="noConversion"/>
  </si>
  <si>
    <t>YXTC(2013)20-2号地块涉及回迁安置，土地竞得者须在C-02地块上建设并无偿提供套内面积不少于52601平方米的回迁安置房，具体详见《荷花池片区城市综合体项目C02地块安置条件》及《监管协议书》。土地竞买人报名前须与玉溪市红塔区人民政府签订回迁安置房建设与优先安置监管协议，并凭玉溪市红塔区人民政府出具的符合参与该宗地出让竞买资格的证明文件参与竞买。
http://drc.cityhouse.cn/article/article-23871.html?misflag=cityre&amp;r=869</t>
    <phoneticPr fontId="228" type="noConversion"/>
  </si>
  <si>
    <r>
      <t>HTQTC(2017)10</t>
    </r>
    <r>
      <rPr>
        <sz val="10"/>
        <rFont val="宋体"/>
        <family val="3"/>
        <charset val="134"/>
      </rPr>
      <t>号</t>
    </r>
    <phoneticPr fontId="228" type="noConversion"/>
  </si>
  <si>
    <r>
      <t>HTQTC(2017)9</t>
    </r>
    <r>
      <rPr>
        <sz val="10"/>
        <rFont val="宋体"/>
        <family val="3"/>
        <charset val="134"/>
      </rPr>
      <t>号</t>
    </r>
    <phoneticPr fontId="228" type="noConversion"/>
  </si>
  <si>
    <t>玉溪富然房地产开发有限公司</t>
    <phoneticPr fontId="228" type="noConversion"/>
  </si>
  <si>
    <t>该宗地属红塔区李棋街道康井社区居民委员会第二、四、五居民小组预留安置用地。经红塔区李棋街道康井社区居民委员会及其第二、四、五居民小组召开会议研究决定，同意将该地块交由玉溪市红塔区人民政府在土地有形市场公开出让。土地竞买人报名前须先与李棋街道康井社区居委会二组、四组、五组、李棋街道办事处、李棋街道康井社区居委会签订该地块安置协议，并凭李棋街道办事处出具的其符合参与该地块出让竞买资格的证明文件报名参与竞买。该地块土地用途为零售商业用地、城镇住宅用地、公园与绿地，其中：零售商业用地和城镇住宅用地约3.0199公顷，公园与绿地约0.0657公顷。出让年限为零售商业用地40年、城镇住宅用地70年、公园与绿地50年。设定的技术指标为：建筑密度C14-02地块≤30%；容积率C14-02地块＞1.0且≤5.0；绿地率C14-02地块≥35%，并按《控规》建设防护绿地；建筑高度C14-02地块≤100米。其他设定条件严格按照《玉溪市规划局关于HTQTC(2017)10号地块的规划条件》（玉规函〔2018〕23号）的要求执行。</t>
    <phoneticPr fontId="228" type="noConversion"/>
  </si>
  <si>
    <t>该宗地属红塔区李棋街道康井社区居民委员会第一、二居民小组预留安置用地。经红塔区李棋街道康井社区居民委员会及其第一、二居民小组召开会议研究决定，同意将该地块交由玉溪市红塔区人民政府在土地有形市场公开出让。土地竞买人报名前须先与李棋街道康井社区居委会一组和二组、李棋街道办事处、李棋街道康井社区居委会签订该地块安置协议书，并凭李棋街道办事处出具的其符合参与该地块出让竞买资格的证明文件报名参与竞买。该地块土地用途为零售商业用地、城镇住宅用地、公园与绿地，其中：零售商业用地和城镇住宅用地约3.0824公顷，公园与绿地约0.0531公顷。出让年限为零售商业用地40年、城镇住宅用地70年、公园与绿地50年。设定的技术指标为：建筑密度C14-03地块≤30%；容积率C14-03地块＞1.0且≤5.0；绿地率C14-03地块≥35%，并按《控规》建设防护绿地；建筑高度C14-03地块≤100米。其他设定条件按照《玉溪市规划局关于HTQTC(2017)9号地块的规划条件》（玉规函〔2018〕22号）的要求执行。</t>
    <phoneticPr fontId="228" type="noConversion"/>
  </si>
  <si>
    <t>玉溪市汇源房地产开发有限公司</t>
    <phoneticPr fontId="228" type="noConversion"/>
  </si>
  <si>
    <t>该地块土地用途为商住用地（其中居住80%，为16694平方米；商业20%，为4174平方米），土地使用年限：商服用地（零售商业用地）40年，住宅用地（城镇住宅用地）70年。</t>
    <phoneticPr fontId="228" type="noConversion"/>
  </si>
  <si>
    <t>其他省市请录依据文件名称：http://www.ushui.net/law/v?pa3v0104275182a6208d11fdc2deb0228a6ad877a350aab3c55af7c7254bc966a2d2</t>
    <phoneticPr fontId="3" type="noConversion"/>
  </si>
  <si>
    <t>http://www.sohu.com/a/302645625_391639
https://yn.leju.com/news/2019-03-12/10456511064556008427940.shtml</t>
    <phoneticPr fontId="228" type="noConversion"/>
  </si>
  <si>
    <t>六通</t>
  </si>
  <si>
    <t>较好</t>
    <phoneticPr fontId="26" type="noConversion"/>
  </si>
  <si>
    <t>六通一平</t>
  </si>
  <si>
    <t>六通一平</t>
    <phoneticPr fontId="26" type="noConversion"/>
  </si>
  <si>
    <t>较适宜</t>
  </si>
  <si>
    <t>较适宜</t>
    <phoneticPr fontId="26" type="noConversion"/>
  </si>
  <si>
    <t>较规则</t>
  </si>
  <si>
    <t>较规则</t>
    <phoneticPr fontId="26" type="noConversion"/>
  </si>
  <si>
    <t>康溪路</t>
    <phoneticPr fontId="26" type="noConversion"/>
  </si>
  <si>
    <t>白龙路</t>
    <phoneticPr fontId="26" type="noConversion"/>
  </si>
  <si>
    <t>凤凰路</t>
    <phoneticPr fontId="26" type="noConversion"/>
  </si>
  <si>
    <t>城市支路</t>
  </si>
  <si>
    <t>城市支路</t>
    <phoneticPr fontId="26" type="noConversion"/>
  </si>
  <si>
    <t>比较法-住宅、综合</t>
  </si>
  <si>
    <t>剩余法-待开发</t>
  </si>
  <si>
    <t>项目局部</t>
  </si>
  <si>
    <t>土地</t>
  </si>
  <si>
    <t>住宅</t>
    <phoneticPr fontId="21" type="noConversion"/>
  </si>
  <si>
    <t>60-70（含）</t>
  </si>
  <si>
    <t>毛坯</t>
  </si>
  <si>
    <t>平层</t>
  </si>
  <si>
    <t>平层</t>
    <phoneticPr fontId="21" type="noConversion"/>
  </si>
  <si>
    <t>六通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</si>
  <si>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</si>
  <si>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</si>
  <si>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</si>
  <si>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</si>
  <si>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</si>
  <si>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</si>
  <si>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</si>
  <si>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</si>
  <si>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项目</t>
    <phoneticPr fontId="228" type="noConversion"/>
  </si>
  <si>
    <t>红星国际广场</t>
    <phoneticPr fontId="228" type="noConversion"/>
  </si>
  <si>
    <t>面积</t>
    <phoneticPr fontId="228" type="noConversion"/>
  </si>
  <si>
    <t>楼层</t>
    <phoneticPr fontId="228" type="noConversion"/>
  </si>
  <si>
    <t>装修</t>
    <phoneticPr fontId="228" type="noConversion"/>
  </si>
  <si>
    <t>租金</t>
    <phoneticPr fontId="228" type="noConversion"/>
  </si>
  <si>
    <r>
      <t>1</t>
    </r>
    <r>
      <rPr>
        <sz val="11"/>
        <color theme="1"/>
        <rFont val="宋体"/>
        <family val="3"/>
        <charset val="134"/>
        <scheme val="minor"/>
      </rPr>
      <t>-2</t>
    </r>
    <phoneticPr fontId="228" type="noConversion"/>
  </si>
  <si>
    <t>简装</t>
    <phoneticPr fontId="228" type="noConversion"/>
  </si>
  <si>
    <t>简装</t>
    <phoneticPr fontId="228" type="noConversion"/>
  </si>
  <si>
    <r>
      <t xml:space="preserve">13887724409
</t>
    </r>
    <r>
      <rPr>
        <sz val="11"/>
        <color theme="1"/>
        <rFont val="宋体"/>
        <family val="3"/>
        <charset val="134"/>
        <scheme val="minor"/>
      </rPr>
      <t>http://yuxi.ganji.com/shangpu/39892241253407x.shtml</t>
    </r>
    <phoneticPr fontId="228" type="noConversion"/>
  </si>
  <si>
    <r>
      <t xml:space="preserve">13577735383
</t>
    </r>
    <r>
      <rPr>
        <sz val="11"/>
        <color theme="1"/>
        <rFont val="宋体"/>
        <family val="3"/>
        <charset val="134"/>
        <scheme val="minor"/>
      </rPr>
      <t>http://yuxi.ganji.com/shangpu/39434180427142x.shtml</t>
    </r>
    <phoneticPr fontId="228" type="noConversion"/>
  </si>
  <si>
    <t>1</t>
    <phoneticPr fontId="228" type="noConversion"/>
  </si>
  <si>
    <t>北市区花鸟市场</t>
    <phoneticPr fontId="228" type="noConversion"/>
  </si>
  <si>
    <r>
      <t>1</t>
    </r>
    <r>
      <rPr>
        <sz val="11"/>
        <color theme="1"/>
        <rFont val="宋体"/>
        <family val="3"/>
        <charset val="134"/>
        <scheme val="minor"/>
      </rPr>
      <t>8987720071
http://yuxi.ganji.com/shangpu/39580852682894x.shtml</t>
    </r>
    <phoneticPr fontId="228" type="noConversion"/>
  </si>
  <si>
    <t>玉水金岸</t>
    <phoneticPr fontId="228" type="noConversion"/>
  </si>
  <si>
    <t>2</t>
    <phoneticPr fontId="228" type="noConversion"/>
  </si>
  <si>
    <r>
      <t xml:space="preserve">13987705000
</t>
    </r>
    <r>
      <rPr>
        <sz val="11"/>
        <color theme="1"/>
        <rFont val="宋体"/>
        <family val="3"/>
        <charset val="134"/>
        <scheme val="minor"/>
      </rPr>
      <t>http://yuxi.ganji.com/shangpu/39857491328139x.shtml</t>
    </r>
    <phoneticPr fontId="228" type="noConversion"/>
  </si>
  <si>
    <t>云（2019）红塔区不动产权第0013405号</t>
    <phoneticPr fontId="228" type="noConversion"/>
  </si>
  <si>
    <t>聂耳小学旁(玉湖校区)</t>
    <phoneticPr fontId="3" type="noConversion"/>
  </si>
  <si>
    <t>红塔区凤凰路与环山路交汇处</t>
    <phoneticPr fontId="3" type="noConversion"/>
  </si>
  <si>
    <t>金科·桃李郡</t>
    <phoneticPr fontId="3" type="noConversion"/>
  </si>
  <si>
    <t>金科·集美玉溪</t>
    <phoneticPr fontId="3" type="noConversion"/>
  </si>
  <si>
    <t>精装</t>
    <phoneticPr fontId="21" type="noConversion"/>
  </si>
  <si>
    <t>简装</t>
    <phoneticPr fontId="21" type="noConversion"/>
  </si>
  <si>
    <t>毛坯</t>
    <phoneticPr fontId="21" type="noConversion"/>
  </si>
  <si>
    <t>有正在报批的规划</t>
    <phoneticPr fontId="228" type="noConversion"/>
  </si>
  <si>
    <t>有用地证</t>
    <phoneticPr fontId="228" type="noConversion"/>
  </si>
  <si>
    <t>总户数</t>
    <phoneticPr fontId="228" type="noConversion"/>
  </si>
  <si>
    <t>地下机动车库</t>
  </si>
  <si>
    <t>地下机动车库</t>
    <phoneticPr fontId="228" type="noConversion"/>
  </si>
  <si>
    <t>地下非机动车库</t>
    <phoneticPr fontId="228" type="noConversion"/>
  </si>
  <si>
    <t>地下设备用房</t>
    <phoneticPr fontId="228" type="noConversion"/>
  </si>
  <si>
    <t>地下物业管理</t>
    <phoneticPr fontId="228" type="noConversion"/>
  </si>
  <si>
    <t>地下消防控制室</t>
    <phoneticPr fontId="228" type="noConversion"/>
  </si>
  <si>
    <t>个数</t>
    <phoneticPr fontId="228" type="noConversion"/>
  </si>
  <si>
    <t>小计</t>
    <phoneticPr fontId="228" type="noConversion"/>
  </si>
  <si>
    <t>设备及其他</t>
    <phoneticPr fontId="228" type="noConversion"/>
  </si>
  <si>
    <t>人防</t>
    <phoneticPr fontId="228" type="noConversion"/>
  </si>
  <si>
    <t>资源睿城·颐和九锦（二期）</t>
    <phoneticPr fontId="228" type="noConversion"/>
  </si>
  <si>
    <t>住宅</t>
    <phoneticPr fontId="228" type="noConversion"/>
  </si>
  <si>
    <t>生鲜超市</t>
    <phoneticPr fontId="228" type="noConversion"/>
  </si>
  <si>
    <t>幼儿园</t>
    <phoneticPr fontId="228" type="noConversion"/>
  </si>
  <si>
    <t>架空层</t>
    <phoneticPr fontId="228" type="noConversion"/>
  </si>
  <si>
    <t>地下生鲜超市</t>
    <phoneticPr fontId="228" type="noConversion"/>
  </si>
  <si>
    <t>幼儿园地下辅助用房</t>
    <phoneticPr fontId="228" type="noConversion"/>
  </si>
  <si>
    <t>地下物管用房</t>
    <phoneticPr fontId="228" type="noConversion"/>
  </si>
  <si>
    <t>公共厕所</t>
    <phoneticPr fontId="228" type="noConversion"/>
  </si>
  <si>
    <t>地下占比</t>
    <phoneticPr fontId="3" type="noConversion"/>
  </si>
  <si>
    <t>富然</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</si>
</sst>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微软雅黑"/>
      <family val="2"/>
      <charset val="134"/>
    </font>
    <font>
      <b/>
      <sz val="9"/>
      <color theme="1"/>
      <name val="微软雅黑"/>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76" fillId="0" borderId="0" applyNumberFormat="0" applyFill="0" applyBorder="0" applyAlignment="0" applyProtection="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145" fillId="0" borderId="0" xfId="0" applyFont="1">
      <alignment vertical="center"/>
    </xf>
    <xf numFmtId="0" fontId="274" fillId="0" borderId="0" xfId="0" applyFont="1" applyAlignment="1">
      <alignment vertical="center" wrapText="1"/>
    </xf>
    <xf numFmtId="0" fontId="95" fillId="18" borderId="0" xfId="16" applyFont="1" applyFill="1"/>
    <xf numFmtId="0" fontId="146" fillId="18" borderId="0" xfId="0" applyFont="1" applyFill="1">
      <alignment vertical="center"/>
    </xf>
    <xf numFmtId="0" fontId="145" fillId="0" borderId="2" xfId="0" applyFont="1" applyBorder="1" applyAlignment="1">
      <alignment horizontal="left" vertical="center"/>
    </xf>
    <xf numFmtId="0" fontId="274" fillId="0" borderId="0" xfId="0" applyFont="1" applyAlignment="1">
      <alignment horizontal="left" vertical="top" wrapText="1"/>
    </xf>
    <xf numFmtId="0" fontId="274" fillId="0" borderId="2" xfId="0" applyFont="1" applyBorder="1" applyAlignment="1">
      <alignment horizontal="left" vertical="top" wrapText="1"/>
    </xf>
    <xf numFmtId="0" fontId="275" fillId="0" borderId="2" xfId="0" applyFont="1" applyBorder="1" applyAlignment="1">
      <alignment horizontal="left" vertical="top" wrapText="1"/>
    </xf>
    <xf numFmtId="0" fontId="274" fillId="0" borderId="11" xfId="0" applyFont="1" applyBorder="1" applyAlignment="1">
      <alignment horizontal="left" vertical="top" wrapText="1"/>
    </xf>
    <xf numFmtId="0" fontId="274" fillId="0" borderId="12" xfId="0" applyFont="1" applyBorder="1" applyAlignment="1">
      <alignment horizontal="left" vertical="top" wrapText="1"/>
    </xf>
    <xf numFmtId="0" fontId="274" fillId="0" borderId="43" xfId="0" applyFont="1" applyBorder="1" applyAlignment="1">
      <alignment horizontal="left" vertical="top" wrapText="1"/>
    </xf>
    <xf numFmtId="0" fontId="274" fillId="0" borderId="44" xfId="0" applyFont="1" applyBorder="1" applyAlignment="1">
      <alignment horizontal="left" vertical="top" wrapText="1"/>
    </xf>
    <xf numFmtId="0" fontId="275" fillId="0" borderId="44" xfId="0" applyFont="1" applyBorder="1" applyAlignment="1">
      <alignment horizontal="left" vertical="top" wrapText="1"/>
    </xf>
    <xf numFmtId="0" fontId="274" fillId="0" borderId="46" xfId="0" applyFont="1" applyBorder="1" applyAlignment="1">
      <alignment horizontal="left" vertical="top" wrapText="1"/>
    </xf>
    <xf numFmtId="0" fontId="145" fillId="0" borderId="12" xfId="0" applyFont="1" applyBorder="1" applyAlignment="1">
      <alignment horizontal="left" vertical="center"/>
    </xf>
    <xf numFmtId="0" fontId="0" fillId="0" borderId="12" xfId="0" applyBorder="1" applyAlignment="1">
      <alignment horizontal="right" vertical="center"/>
    </xf>
    <xf numFmtId="0" fontId="145" fillId="0" borderId="26" xfId="0" applyFont="1" applyBorder="1">
      <alignment vertical="center"/>
    </xf>
    <xf numFmtId="0" fontId="0" fillId="0" borderId="39" xfId="0" applyBorder="1">
      <alignment vertical="center"/>
    </xf>
    <xf numFmtId="0" fontId="145" fillId="0" borderId="31" xfId="0" applyFont="1" applyBorder="1">
      <alignment vertical="center"/>
    </xf>
    <xf numFmtId="0" fontId="0" fillId="0" borderId="65" xfId="0" applyBorder="1">
      <alignment vertical="center"/>
    </xf>
    <xf numFmtId="0" fontId="145" fillId="0" borderId="31" xfId="0" applyFont="1" applyBorder="1" applyAlignment="1">
      <alignment vertical="center" wrapText="1"/>
    </xf>
    <xf numFmtId="0" fontId="145" fillId="0" borderId="54" xfId="0" applyFont="1" applyBorder="1">
      <alignment vertical="center"/>
    </xf>
    <xf numFmtId="0" fontId="0" fillId="0" borderId="66" xfId="0" applyBorder="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86" fillId="19" borderId="0" xfId="16" applyFill="1"/>
    <xf numFmtId="0" fontId="0" fillId="19" borderId="0" xfId="0" applyFill="1">
      <alignment vertical="center"/>
    </xf>
    <xf numFmtId="0" fontId="127" fillId="19" borderId="0" xfId="16" applyFont="1" applyFill="1"/>
    <xf numFmtId="0" fontId="86" fillId="0" borderId="14" xfId="16" applyBorder="1"/>
    <xf numFmtId="0" fontId="0" fillId="0" borderId="14" xfId="0" applyBorder="1">
      <alignment vertical="center"/>
    </xf>
    <xf numFmtId="0" fontId="186" fillId="0" borderId="17" xfId="0" applyNumberFormat="1" applyFont="1" applyFill="1" applyBorder="1" applyAlignment="1" applyProtection="1">
      <alignment horizontal="left" vertical="center"/>
      <protection locked="0"/>
    </xf>
    <xf numFmtId="177" fontId="71" fillId="0" borderId="2" xfId="0" applyNumberFormat="1" applyFont="1" applyFill="1" applyBorder="1" applyAlignment="1" applyProtection="1">
      <alignment horizontal="center" vertical="center" wrapText="1"/>
      <protection locked="0"/>
    </xf>
    <xf numFmtId="0" fontId="212" fillId="5" borderId="0" xfId="0" applyFont="1" applyFill="1" applyBorder="1" applyAlignment="1" applyProtection="1">
      <alignment vertical="center"/>
      <protection locked="0"/>
    </xf>
    <xf numFmtId="0" fontId="127" fillId="0" borderId="0" xfId="16" applyFont="1"/>
    <xf numFmtId="0" fontId="276" fillId="19" borderId="0" xfId="17" applyFill="1">
      <alignment vertical="center"/>
    </xf>
    <xf numFmtId="0" fontId="86" fillId="0" borderId="0" xfId="16" applyAlignment="1">
      <alignment wrapText="1"/>
    </xf>
    <xf numFmtId="0" fontId="86" fillId="20" borderId="0" xfId="16" applyFill="1"/>
    <xf numFmtId="0" fontId="127" fillId="20" borderId="0" xfId="16" applyFont="1" applyFill="1"/>
    <xf numFmtId="0" fontId="145" fillId="20" borderId="0" xfId="0" applyFont="1" applyFill="1" applyAlignment="1">
      <alignment vertical="center" wrapText="1"/>
    </xf>
    <xf numFmtId="0" fontId="0" fillId="20" borderId="0" xfId="0" applyFill="1">
      <alignment vertical="center"/>
    </xf>
    <xf numFmtId="0" fontId="145" fillId="20" borderId="0" xfId="0" applyFont="1" applyFill="1">
      <alignment vertical="center"/>
    </xf>
    <xf numFmtId="0" fontId="276" fillId="19" borderId="0" xfId="17" applyFill="1" applyAlignment="1">
      <alignment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5" fillId="0" borderId="0" xfId="0" applyNumberFormat="1" applyFont="1">
      <alignment vertical="center"/>
    </xf>
    <xf numFmtId="49" fontId="0" fillId="0" borderId="0" xfId="0" applyNumberFormat="1">
      <alignment vertical="center"/>
    </xf>
    <xf numFmtId="0" fontId="0" fillId="0" borderId="0" xfId="0" applyAlignment="1">
      <alignment vertical="center"/>
    </xf>
    <xf numFmtId="0" fontId="145" fillId="0" borderId="0" xfId="0" applyFont="1" applyAlignment="1">
      <alignment vertical="center"/>
    </xf>
    <xf numFmtId="49" fontId="147" fillId="0" borderId="0" xfId="0" applyNumberFormat="1" applyFont="1">
      <alignment vertical="center"/>
    </xf>
    <xf numFmtId="10" fontId="76" fillId="5" borderId="0" xfId="0" applyNumberFormat="1" applyFont="1" applyFill="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0" fontId="274" fillId="0" borderId="21" xfId="0" applyFont="1" applyBorder="1" applyAlignment="1">
      <alignment horizontal="left" vertical="top" wrapText="1"/>
    </xf>
    <xf numFmtId="0" fontId="275" fillId="0" borderId="21" xfId="0" applyFont="1" applyBorder="1" applyAlignment="1">
      <alignment horizontal="left" vertical="top" wrapText="1"/>
    </xf>
    <xf numFmtId="0" fontId="274" fillId="0" borderId="50" xfId="0" applyFont="1" applyBorder="1" applyAlignment="1">
      <alignment horizontal="left" vertical="top" wrapText="1"/>
    </xf>
    <xf numFmtId="0" fontId="274" fillId="0" borderId="51" xfId="0" applyFont="1" applyBorder="1" applyAlignment="1">
      <alignment horizontal="left" vertical="top" wrapText="1"/>
    </xf>
    <xf numFmtId="0" fontId="145" fillId="0" borderId="21" xfId="0" applyFont="1" applyBorder="1" applyAlignment="1">
      <alignment horizontal="right" vertical="center"/>
    </xf>
    <xf numFmtId="0" fontId="0" fillId="0" borderId="51" xfId="0" applyBorder="1" applyAlignment="1">
      <alignment horizontal="right" vertical="center"/>
    </xf>
    <xf numFmtId="0" fontId="145" fillId="0" borderId="10" xfId="0" applyFont="1" applyBorder="1" applyAlignment="1">
      <alignment horizontal="left" vertical="center"/>
    </xf>
    <xf numFmtId="0" fontId="0" fillId="0" borderId="25" xfId="0" applyBorder="1" applyAlignment="1">
      <alignment horizontal="right" vertical="center"/>
    </xf>
    <xf numFmtId="0" fontId="145" fillId="0" borderId="2" xfId="0" applyFont="1" applyFill="1" applyBorder="1" applyAlignment="1">
      <alignment horizontal="left" vertical="center"/>
    </xf>
    <xf numFmtId="0" fontId="145" fillId="0" borderId="11" xfId="0" applyFont="1" applyBorder="1" applyAlignment="1">
      <alignment vertical="center"/>
    </xf>
    <xf numFmtId="0" fontId="0" fillId="0" borderId="12" xfId="0" applyBorder="1">
      <alignment vertical="center"/>
    </xf>
    <xf numFmtId="0" fontId="0" fillId="0" borderId="12" xfId="0" applyBorder="1" applyAlignment="1">
      <alignment horizontal="left" vertical="center"/>
    </xf>
    <xf numFmtId="0" fontId="145" fillId="0" borderId="43" xfId="0" applyFont="1" applyBorder="1">
      <alignment vertical="center"/>
    </xf>
    <xf numFmtId="0" fontId="0" fillId="0" borderId="46" xfId="0" applyBorder="1">
      <alignment vertical="center"/>
    </xf>
    <xf numFmtId="0" fontId="145" fillId="0" borderId="10" xfId="0" applyFont="1" applyBorder="1" applyAlignment="1">
      <alignment vertical="center"/>
    </xf>
    <xf numFmtId="0" fontId="145" fillId="0" borderId="1" xfId="0" applyFont="1" applyBorder="1" applyAlignment="1">
      <alignment vertical="center"/>
    </xf>
    <xf numFmtId="0" fontId="0" fillId="0" borderId="7" xfId="0" applyBorder="1" applyAlignment="1">
      <alignment horizontal="right" vertical="center"/>
    </xf>
    <xf numFmtId="0" fontId="0" fillId="0" borderId="46" xfId="0" applyBorder="1" applyAlignment="1">
      <alignment horizontal="right" vertical="center"/>
    </xf>
    <xf numFmtId="0" fontId="145" fillId="0" borderId="22" xfId="0" applyFont="1" applyBorder="1" applyAlignme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1" xfId="0" applyFont="1" applyBorder="1" applyAlignment="1">
      <alignment horizontal="left" vertical="top"/>
    </xf>
    <xf numFmtId="0" fontId="274" fillId="0" borderId="6" xfId="0" applyFont="1" applyBorder="1" applyAlignment="1">
      <alignment horizontal="left" vertical="top"/>
    </xf>
    <xf numFmtId="0" fontId="274" fillId="0" borderId="6" xfId="0" applyFont="1" applyBorder="1" applyAlignment="1">
      <alignment horizontal="left" vertical="top" wrapText="1"/>
    </xf>
    <xf numFmtId="0" fontId="274" fillId="0" borderId="7" xfId="0" applyFont="1" applyBorder="1" applyAlignment="1">
      <alignment horizontal="left" vertical="top" wrapText="1"/>
    </xf>
    <xf numFmtId="0" fontId="145" fillId="0" borderId="43" xfId="0" applyFont="1" applyBorder="1" applyAlignment="1">
      <alignment horizontal="left" vertical="center"/>
    </xf>
    <xf numFmtId="0" fontId="145" fillId="0" borderId="44" xfId="0" applyFont="1" applyBorder="1" applyAlignment="1">
      <alignment horizontal="left" vertical="center"/>
    </xf>
    <xf numFmtId="0" fontId="145" fillId="0" borderId="11" xfId="0" applyFont="1" applyBorder="1" applyAlignment="1">
      <alignment horizontal="center" vertical="center"/>
    </xf>
    <xf numFmtId="0" fontId="145" fillId="0" borderId="22" xfId="0" applyFont="1" applyBorder="1" applyAlignment="1">
      <alignment horizontal="center" vertical="center"/>
    </xf>
    <xf numFmtId="0" fontId="145" fillId="0" borderId="24" xfId="0" applyFont="1" applyBorder="1" applyAlignment="1">
      <alignment horizontal="center" vertical="center"/>
    </xf>
    <xf numFmtId="0" fontId="145" fillId="0" borderId="50" xfId="0" applyFont="1" applyBorder="1" applyAlignment="1">
      <alignment horizontal="center" vertical="center"/>
    </xf>
    <xf numFmtId="0" fontId="145" fillId="0" borderId="64" xfId="0" applyFont="1" applyBorder="1" applyAlignment="1">
      <alignment horizontal="left" vertical="center"/>
    </xf>
    <xf numFmtId="0" fontId="145" fillId="0" borderId="9" xfId="0" applyFont="1" applyBorder="1" applyAlignment="1">
      <alignment horizontal="left" vertical="center"/>
    </xf>
    <xf numFmtId="0" fontId="145" fillId="0" borderId="11" xfId="0" applyFont="1" applyBorder="1" applyAlignment="1">
      <alignment horizontal="left" vertical="center"/>
    </xf>
    <xf numFmtId="0" fontId="145" fillId="0" borderId="2" xfId="0" applyFont="1" applyBorder="1" applyAlignment="1">
      <alignment horizontal="left" vertical="center"/>
    </xf>
    <xf numFmtId="0" fontId="145" fillId="0" borderId="60" xfId="0" applyFont="1" applyBorder="1" applyAlignment="1">
      <alignment horizontal="left" vertical="center"/>
    </xf>
    <xf numFmtId="0" fontId="145" fillId="0" borderId="47" xfId="0" applyFont="1" applyBorder="1" applyAlignment="1">
      <alignment horizontal="left" vertical="center"/>
    </xf>
    <xf numFmtId="0" fontId="145" fillId="0" borderId="22" xfId="0" applyFont="1" applyBorder="1" applyAlignment="1">
      <alignment horizontal="left" vertical="center"/>
    </xf>
    <xf numFmtId="0" fontId="145" fillId="0" borderId="24" xfId="0" applyFont="1" applyBorder="1" applyAlignment="1">
      <alignment horizontal="left" vertical="center"/>
    </xf>
    <xf numFmtId="0" fontId="145" fillId="0" borderId="50" xfId="0" applyFont="1" applyBorder="1" applyAlignment="1">
      <alignment horizontal="left" vertical="center"/>
    </xf>
    <xf numFmtId="0" fontId="146" fillId="0" borderId="1" xfId="0" applyFont="1" applyBorder="1" applyAlignment="1">
      <alignment horizontal="left" vertical="center"/>
    </xf>
    <xf numFmtId="0" fontId="146" fillId="0" borderId="6" xfId="0" applyFont="1" applyBorder="1" applyAlignment="1">
      <alignment horizontal="left" vertical="center"/>
    </xf>
    <xf numFmtId="0" fontId="146" fillId="0" borderId="7"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134" fillId="0" borderId="2" xfId="0"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1" fillId="0" borderId="0" xfId="0" applyFont="1" applyProtection="1">
      <alignment vertical="center"/>
      <protection locked="0"/>
    </xf>
    <xf numFmtId="177" fontId="76" fillId="21" borderId="2" xfId="2" applyNumberFormat="1" applyFont="1" applyFill="1" applyBorder="1" applyAlignment="1" applyProtection="1">
      <alignment horizontal="center" vertical="center"/>
      <protection locked="0"/>
    </xf>
    <xf numFmtId="0" fontId="99" fillId="21" borderId="9" xfId="0" applyNumberFormat="1" applyFont="1" applyFill="1" applyBorder="1" applyAlignment="1" applyProtection="1">
      <alignment horizontal="center" vertical="center" wrapText="1"/>
      <protection locked="0"/>
    </xf>
    <xf numFmtId="181" fontId="76" fillId="21" borderId="12" xfId="0" applyNumberFormat="1" applyFont="1" applyFill="1" applyBorder="1" applyAlignment="1" applyProtection="1">
      <alignment horizontal="center" vertical="center"/>
      <protection locked="0"/>
    </xf>
    <xf numFmtId="0" fontId="108" fillId="21" borderId="30" xfId="0" applyNumberFormat="1" applyFont="1" applyFill="1" applyBorder="1" applyAlignment="1" applyProtection="1">
      <alignment vertical="center" wrapText="1"/>
      <protection locked="0"/>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10</xdr:col>
      <xdr:colOff>238125</xdr:colOff>
      <xdr:row>64</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67350"/>
          <a:ext cx="9401175" cy="7181850"/>
        </a:xfrm>
        <a:prstGeom prst="rect">
          <a:avLst/>
        </a:prstGeom>
      </xdr:spPr>
    </xdr:pic>
    <xdr:clientData/>
  </xdr:twoCellAnchor>
  <xdr:twoCellAnchor>
    <xdr:from>
      <xdr:col>8</xdr:col>
      <xdr:colOff>85725</xdr:colOff>
      <xdr:row>59</xdr:row>
      <xdr:rowOff>47626</xdr:rowOff>
    </xdr:from>
    <xdr:to>
      <xdr:col>10</xdr:col>
      <xdr:colOff>494960</xdr:colOff>
      <xdr:row>66</xdr:row>
      <xdr:rowOff>44824</xdr:rowOff>
    </xdr:to>
    <xdr:sp macro="" textlink="">
      <xdr:nvSpPr>
        <xdr:cNvPr id="3" name="矩形标注 2"/>
        <xdr:cNvSpPr/>
      </xdr:nvSpPr>
      <xdr:spPr>
        <a:xfrm>
          <a:off x="7022166" y="11533655"/>
          <a:ext cx="2628000" cy="1173816"/>
        </a:xfrm>
        <a:prstGeom prst="wedgeRectCallout">
          <a:avLst>
            <a:gd name="adj1" fmla="val -138438"/>
            <a:gd name="adj2" fmla="val -22996"/>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YXTC(2014)1-2</a:t>
          </a:r>
          <a:r>
            <a:rPr lang="zh-CN" altLang="en-US" sz="900" b="1">
              <a:solidFill>
                <a:srgbClr val="C00000"/>
              </a:solidFill>
            </a:rPr>
            <a:t>、</a:t>
          </a:r>
          <a:r>
            <a:rPr lang="en-US" altLang="zh-CN" sz="900" b="1">
              <a:solidFill>
                <a:srgbClr val="C00000"/>
              </a:solidFill>
            </a:rPr>
            <a:t>4</a:t>
          </a:r>
          <a:r>
            <a:rPr lang="zh-CN" altLang="en-US" sz="900" b="1">
              <a:solidFill>
                <a:srgbClr val="C00000"/>
              </a:solidFill>
            </a:rPr>
            <a:t>、</a:t>
          </a:r>
          <a:r>
            <a:rPr lang="en-US" altLang="zh-CN" sz="900" b="1">
              <a:solidFill>
                <a:srgbClr val="C00000"/>
              </a:solidFill>
            </a:rPr>
            <a:t>5</a:t>
          </a:r>
          <a:r>
            <a:rPr lang="zh-CN" altLang="en-US" sz="900" b="1">
              <a:solidFill>
                <a:srgbClr val="C00000"/>
              </a:solidFill>
            </a:rPr>
            <a:t>、</a:t>
          </a:r>
          <a:r>
            <a:rPr lang="en-US" altLang="zh-CN" sz="900" b="1">
              <a:solidFill>
                <a:srgbClr val="C00000"/>
              </a:solidFill>
            </a:rPr>
            <a:t>6</a:t>
          </a:r>
          <a:r>
            <a:rPr lang="zh-CN" altLang="en-US" sz="900" b="1">
              <a:solidFill>
                <a:srgbClr val="C00000"/>
              </a:solidFill>
              <a:latin typeface="+mn-lt"/>
              <a:ea typeface="+mn-ea"/>
              <a:cs typeface="+mn-cs"/>
            </a:rPr>
            <a:t>号</a:t>
          </a:r>
          <a:endParaRPr lang="en-US" altLang="zh-CN" sz="900" b="1">
            <a:solidFill>
              <a:srgbClr val="C00000"/>
            </a:solidFill>
            <a:latin typeface="+mn-lt"/>
            <a:ea typeface="+mn-ea"/>
            <a:cs typeface="+mn-cs"/>
          </a:endParaRPr>
        </a:p>
        <a:p>
          <a:pPr algn="l"/>
          <a:r>
            <a:rPr lang="zh-CN" altLang="en-US" sz="900" b="1">
              <a:solidFill>
                <a:srgbClr val="C00000"/>
              </a:solidFill>
              <a:latin typeface="+mn-lt"/>
              <a:ea typeface="+mn-ea"/>
              <a:cs typeface="+mn-cs"/>
            </a:rPr>
            <a:t>金科</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集美玉溪，</a:t>
          </a:r>
          <a:r>
            <a:rPr lang="en-US" altLang="zh-CN" sz="900" b="1">
              <a:solidFill>
                <a:srgbClr val="C00000"/>
              </a:solidFill>
              <a:latin typeface="+mn-lt"/>
              <a:ea typeface="+mn-ea"/>
              <a:cs typeface="+mn-cs"/>
            </a:rPr>
            <a:t>8200-8600</a:t>
          </a:r>
          <a:r>
            <a:rPr lang="zh-CN" altLang="en-US" sz="900" b="1">
              <a:solidFill>
                <a:srgbClr val="C00000"/>
              </a:solidFill>
              <a:latin typeface="+mn-lt"/>
              <a:ea typeface="+mn-ea"/>
              <a:cs typeface="+mn-cs"/>
            </a:rPr>
            <a:t>元</a:t>
          </a:r>
          <a:r>
            <a:rPr lang="en-US" altLang="zh-CN" sz="900" b="1">
              <a:solidFill>
                <a:srgbClr val="C00000"/>
              </a:solidFill>
              <a:latin typeface="+mn-lt"/>
              <a:ea typeface="+mn-ea"/>
              <a:cs typeface="+mn-cs"/>
            </a:rPr>
            <a:t>/</a:t>
          </a:r>
          <a:r>
            <a:rPr lang="zh-CN" altLang="en-US" sz="900" b="1">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R3.5     660-890</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2800-3800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a:p>
          <a:pPr algn="l"/>
          <a:endParaRPr lang="en-US" altLang="zh-CN" sz="900" baseline="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YXTC(2014)1-7</a:t>
          </a:r>
          <a:r>
            <a:rPr lang="zh-CN" altLang="zh-CN" sz="900">
              <a:solidFill>
                <a:sysClr val="windowText" lastClr="000000"/>
              </a:solidFill>
              <a:effectLst/>
              <a:latin typeface="+mn-lt"/>
              <a:ea typeface="+mn-ea"/>
              <a:cs typeface="+mn-cs"/>
            </a:rPr>
            <a:t>号</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zh-CN" altLang="en-US" sz="900">
              <a:solidFill>
                <a:sysClr val="windowText" lastClr="000000"/>
              </a:solidFill>
              <a:effectLst/>
              <a:latin typeface="+mn-lt"/>
              <a:ea typeface="+mn-ea"/>
              <a:cs typeface="+mn-cs"/>
            </a:rPr>
            <a:t>碧桂园</a:t>
          </a:r>
          <a:r>
            <a:rPr lang="en-US" altLang="zh-CN" sz="900">
              <a:solidFill>
                <a:sysClr val="windowText" lastClr="000000"/>
              </a:solidFill>
              <a:effectLst/>
              <a:latin typeface="+mn-lt"/>
              <a:ea typeface="+mn-ea"/>
              <a:cs typeface="+mn-cs"/>
            </a:rPr>
            <a:t>·</a:t>
          </a:r>
          <a:r>
            <a:rPr lang="zh-CN" altLang="en-US" sz="900">
              <a:solidFill>
                <a:sysClr val="windowText" lastClr="000000"/>
              </a:solidFill>
              <a:effectLst/>
              <a:latin typeface="+mn-lt"/>
              <a:ea typeface="+mn-ea"/>
              <a:cs typeface="+mn-cs"/>
            </a:rPr>
            <a:t>溪台</a:t>
          </a:r>
          <a:r>
            <a:rPr lang="en-US" altLang="zh-CN" sz="900" baseline="0">
              <a:solidFill>
                <a:sysClr val="windowText" lastClr="000000"/>
              </a:solidFill>
              <a:effectLst/>
              <a:latin typeface="+mn-lt"/>
              <a:ea typeface="+mn-ea"/>
              <a:cs typeface="+mn-cs"/>
            </a:rPr>
            <a:t> 9000</a:t>
          </a:r>
          <a:r>
            <a:rPr lang="zh-CN" altLang="en-US"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en-US" sz="900" baseline="0">
              <a:solidFill>
                <a:sysClr val="windowText" lastClr="000000"/>
              </a:solidFill>
              <a:effectLst/>
              <a:latin typeface="+mn-lt"/>
              <a:ea typeface="+mn-ea"/>
              <a:cs typeface="+mn-cs"/>
            </a:rPr>
            <a:t>平方米，带装修</a:t>
          </a:r>
          <a:endParaRPr lang="en-US" altLang="zh-CN" sz="9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zh-CN" sz="900">
              <a:solidFill>
                <a:sysClr val="windowText" lastClr="000000"/>
              </a:solidFill>
              <a:effectLst/>
              <a:latin typeface="+mn-lt"/>
              <a:ea typeface="+mn-ea"/>
              <a:cs typeface="+mn-cs"/>
            </a:rPr>
            <a:t>R3.5     530</a:t>
          </a:r>
          <a:r>
            <a:rPr lang="zh-CN" altLang="zh-CN" sz="900">
              <a:solidFill>
                <a:sysClr val="windowText" lastClr="000000"/>
              </a:solidFill>
              <a:effectLst/>
              <a:latin typeface="+mn-lt"/>
              <a:ea typeface="+mn-ea"/>
              <a:cs typeface="+mn-cs"/>
            </a:rPr>
            <a:t>万</a:t>
          </a:r>
          <a:r>
            <a:rPr lang="en-US" altLang="zh-CN" sz="900">
              <a:solidFill>
                <a:sysClr val="windowText" lastClr="000000"/>
              </a:solidFill>
              <a:effectLst/>
              <a:latin typeface="+mn-lt"/>
              <a:ea typeface="+mn-ea"/>
              <a:cs typeface="+mn-cs"/>
            </a:rPr>
            <a:t>/</a:t>
          </a:r>
          <a:r>
            <a:rPr lang="zh-CN" altLang="zh-CN" sz="900">
              <a:solidFill>
                <a:sysClr val="windowText" lastClr="000000"/>
              </a:solidFill>
              <a:effectLst/>
              <a:latin typeface="+mn-lt"/>
              <a:ea typeface="+mn-ea"/>
              <a:cs typeface="+mn-cs"/>
            </a:rPr>
            <a:t>亩</a:t>
          </a:r>
          <a:r>
            <a:rPr lang="zh-CN" altLang="zh-CN" sz="900" baseline="0">
              <a:solidFill>
                <a:sysClr val="windowText" lastClr="000000"/>
              </a:solidFill>
              <a:effectLst/>
              <a:latin typeface="+mn-lt"/>
              <a:ea typeface="+mn-ea"/>
              <a:cs typeface="+mn-cs"/>
            </a:rPr>
            <a:t>     </a:t>
          </a:r>
          <a:r>
            <a:rPr lang="en-US" altLang="zh-CN" sz="900" baseline="0">
              <a:solidFill>
                <a:sysClr val="windowText" lastClr="000000"/>
              </a:solidFill>
              <a:effectLst/>
              <a:latin typeface="+mn-lt"/>
              <a:ea typeface="+mn-ea"/>
              <a:cs typeface="+mn-cs"/>
            </a:rPr>
            <a:t>2200</a:t>
          </a:r>
          <a:r>
            <a:rPr lang="zh-CN" altLang="zh-CN" sz="900" baseline="0">
              <a:solidFill>
                <a:sysClr val="windowText" lastClr="000000"/>
              </a:solidFill>
              <a:effectLst/>
              <a:latin typeface="+mn-lt"/>
              <a:ea typeface="+mn-ea"/>
              <a:cs typeface="+mn-cs"/>
            </a:rPr>
            <a:t>元</a:t>
          </a:r>
          <a:r>
            <a:rPr lang="en-US" altLang="zh-CN" sz="900" baseline="0">
              <a:solidFill>
                <a:sysClr val="windowText" lastClr="000000"/>
              </a:solidFill>
              <a:effectLst/>
              <a:latin typeface="+mn-lt"/>
              <a:ea typeface="+mn-ea"/>
              <a:cs typeface="+mn-cs"/>
            </a:rPr>
            <a:t>/</a:t>
          </a:r>
          <a:r>
            <a:rPr lang="zh-CN" altLang="zh-CN" sz="900" baseline="0">
              <a:solidFill>
                <a:sysClr val="windowText" lastClr="000000"/>
              </a:solidFill>
              <a:effectLst/>
              <a:latin typeface="+mn-lt"/>
              <a:ea typeface="+mn-ea"/>
              <a:cs typeface="+mn-cs"/>
            </a:rPr>
            <a:t>平方米</a:t>
          </a:r>
          <a:endParaRPr lang="zh-CN" altLang="zh-CN" sz="900">
            <a:solidFill>
              <a:sysClr val="windowText" lastClr="000000"/>
            </a:solidFill>
            <a:effectLst/>
          </a:endParaRPr>
        </a:p>
      </xdr:txBody>
    </xdr:sp>
    <xdr:clientData/>
  </xdr:twoCellAnchor>
  <xdr:twoCellAnchor>
    <xdr:from>
      <xdr:col>8</xdr:col>
      <xdr:colOff>9525</xdr:colOff>
      <xdr:row>33</xdr:row>
      <xdr:rowOff>9524</xdr:rowOff>
    </xdr:from>
    <xdr:to>
      <xdr:col>10</xdr:col>
      <xdr:colOff>418760</xdr:colOff>
      <xdr:row>37</xdr:row>
      <xdr:rowOff>89646</xdr:rowOff>
    </xdr:to>
    <xdr:sp macro="" textlink="">
      <xdr:nvSpPr>
        <xdr:cNvPr id="4" name="矩形标注 3"/>
        <xdr:cNvSpPr/>
      </xdr:nvSpPr>
      <xdr:spPr>
        <a:xfrm>
          <a:off x="6945966" y="7125259"/>
          <a:ext cx="2628000" cy="752475"/>
        </a:xfrm>
        <a:prstGeom prst="wedgeRectCallout">
          <a:avLst>
            <a:gd name="adj1" fmla="val -143277"/>
            <a:gd name="adj2" fmla="val 1502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1">
              <a:solidFill>
                <a:srgbClr val="C00000"/>
              </a:solidFill>
            </a:rPr>
            <a:t>YXTC(2011)1-18-1</a:t>
          </a:r>
          <a:r>
            <a:rPr lang="zh-CN" altLang="en-US" sz="900" b="1">
              <a:solidFill>
                <a:srgbClr val="C00000"/>
              </a:solidFill>
            </a:rPr>
            <a:t>号、</a:t>
          </a:r>
          <a:r>
            <a:rPr lang="en-US" altLang="zh-CN" sz="900" b="1">
              <a:solidFill>
                <a:srgbClr val="C00000"/>
              </a:solidFill>
            </a:rPr>
            <a:t>YXTC(2010)2-5</a:t>
          </a:r>
          <a:r>
            <a:rPr lang="zh-CN" altLang="en-US" sz="900" b="1">
              <a:solidFill>
                <a:srgbClr val="C00000"/>
              </a:solidFill>
            </a:rPr>
            <a:t>号</a:t>
          </a:r>
          <a:endParaRPr lang="en-US" altLang="zh-CN" sz="900" b="1">
            <a:solidFill>
              <a:srgbClr val="C00000"/>
            </a:solidFill>
          </a:endParaRPr>
        </a:p>
        <a:p>
          <a:pPr algn="l"/>
          <a:r>
            <a:rPr lang="zh-CN" altLang="en-US" sz="900" b="1">
              <a:solidFill>
                <a:srgbClr val="C00000"/>
              </a:solidFill>
              <a:latin typeface="+mn-lt"/>
              <a:ea typeface="+mn-ea"/>
              <a:cs typeface="+mn-cs"/>
            </a:rPr>
            <a:t>金科桃李郡</a:t>
          </a:r>
          <a:r>
            <a:rPr lang="zh-CN" altLang="en-US" sz="900" b="1" baseline="0">
              <a:solidFill>
                <a:srgbClr val="C00000"/>
              </a:solidFill>
              <a:latin typeface="+mn-lt"/>
              <a:ea typeface="+mn-ea"/>
              <a:cs typeface="+mn-cs"/>
            </a:rPr>
            <a:t> </a:t>
          </a:r>
          <a:r>
            <a:rPr lang="en-US" altLang="zh-CN" sz="900" b="1" baseline="0">
              <a:solidFill>
                <a:srgbClr val="C00000"/>
              </a:solidFill>
              <a:latin typeface="+mn-lt"/>
              <a:ea typeface="+mn-ea"/>
              <a:cs typeface="+mn-cs"/>
            </a:rPr>
            <a:t>7800</a:t>
          </a:r>
          <a:r>
            <a:rPr lang="zh-CN" altLang="en-US" sz="900" b="1" baseline="0">
              <a:solidFill>
                <a:srgbClr val="C00000"/>
              </a:solidFill>
              <a:latin typeface="+mn-lt"/>
              <a:ea typeface="+mn-ea"/>
              <a:cs typeface="+mn-cs"/>
            </a:rPr>
            <a:t>元</a:t>
          </a:r>
          <a:r>
            <a:rPr lang="en-US" altLang="zh-CN" sz="900" b="1" baseline="0">
              <a:solidFill>
                <a:srgbClr val="C00000"/>
              </a:solidFill>
              <a:latin typeface="+mn-lt"/>
              <a:ea typeface="+mn-ea"/>
              <a:cs typeface="+mn-cs"/>
            </a:rPr>
            <a:t>/</a:t>
          </a:r>
          <a:r>
            <a:rPr lang="zh-CN" altLang="en-US" sz="900" b="1" baseline="0">
              <a:solidFill>
                <a:srgbClr val="C00000"/>
              </a:solidFill>
              <a:latin typeface="+mn-lt"/>
              <a:ea typeface="+mn-ea"/>
              <a:cs typeface="+mn-cs"/>
            </a:rPr>
            <a:t>平方米</a:t>
          </a:r>
          <a:endParaRPr lang="en-US" altLang="zh-CN" sz="900" b="1">
            <a:solidFill>
              <a:srgbClr val="C00000"/>
            </a:solidFill>
            <a:latin typeface="+mn-lt"/>
            <a:ea typeface="+mn-ea"/>
            <a:cs typeface="+mn-cs"/>
          </a:endParaRPr>
        </a:p>
        <a:p>
          <a:pPr algn="l"/>
          <a:r>
            <a:rPr lang="en-US" altLang="zh-CN" sz="900" b="1">
              <a:solidFill>
                <a:srgbClr val="C00000"/>
              </a:solidFill>
            </a:rPr>
            <a:t>R2</a:t>
          </a:r>
          <a:r>
            <a:rPr lang="zh-CN" altLang="en-US" sz="900" b="1">
              <a:solidFill>
                <a:srgbClr val="C00000"/>
              </a:solidFill>
            </a:rPr>
            <a:t>、</a:t>
          </a:r>
          <a:r>
            <a:rPr lang="en-US" altLang="zh-CN" sz="900" b="1">
              <a:solidFill>
                <a:srgbClr val="C00000"/>
              </a:solidFill>
            </a:rPr>
            <a:t>3.2     420</a:t>
          </a:r>
          <a:r>
            <a:rPr lang="zh-CN" altLang="en-US" sz="900" b="1">
              <a:solidFill>
                <a:srgbClr val="C00000"/>
              </a:solidFill>
            </a:rPr>
            <a:t>、</a:t>
          </a:r>
          <a:r>
            <a:rPr lang="en-US" altLang="zh-CN" sz="900" b="1">
              <a:solidFill>
                <a:srgbClr val="C00000"/>
              </a:solidFill>
            </a:rPr>
            <a:t>566</a:t>
          </a:r>
          <a:r>
            <a:rPr lang="zh-CN" altLang="en-US" sz="900" b="1">
              <a:solidFill>
                <a:srgbClr val="C00000"/>
              </a:solidFill>
            </a:rPr>
            <a:t>万</a:t>
          </a:r>
          <a:r>
            <a:rPr lang="en-US" altLang="zh-CN" sz="900" b="1">
              <a:solidFill>
                <a:srgbClr val="C00000"/>
              </a:solidFill>
            </a:rPr>
            <a:t>/</a:t>
          </a:r>
          <a:r>
            <a:rPr lang="zh-CN" altLang="en-US" sz="900" b="1">
              <a:solidFill>
                <a:srgbClr val="C00000"/>
              </a:solidFill>
            </a:rPr>
            <a:t>亩</a:t>
          </a:r>
          <a:r>
            <a:rPr lang="zh-CN" altLang="en-US" sz="900" b="1" baseline="0">
              <a:solidFill>
                <a:srgbClr val="C00000"/>
              </a:solidFill>
            </a:rPr>
            <a:t>     </a:t>
          </a:r>
          <a:r>
            <a:rPr lang="en-US" altLang="zh-CN" sz="900" b="1" baseline="0">
              <a:solidFill>
                <a:srgbClr val="C00000"/>
              </a:solidFill>
            </a:rPr>
            <a:t>3200</a:t>
          </a:r>
          <a:r>
            <a:rPr lang="zh-CN" altLang="en-US" sz="900" b="1" baseline="0">
              <a:solidFill>
                <a:srgbClr val="C00000"/>
              </a:solidFill>
            </a:rPr>
            <a:t>、</a:t>
          </a:r>
          <a:r>
            <a:rPr lang="en-US" altLang="zh-CN" sz="900" b="1" baseline="0">
              <a:solidFill>
                <a:srgbClr val="C00000"/>
              </a:solidFill>
            </a:rPr>
            <a:t>2600</a:t>
          </a:r>
          <a:r>
            <a:rPr lang="zh-CN" altLang="en-US" sz="900" b="1" baseline="0">
              <a:solidFill>
                <a:srgbClr val="C00000"/>
              </a:solidFill>
            </a:rPr>
            <a:t>元</a:t>
          </a:r>
          <a:r>
            <a:rPr lang="en-US" altLang="zh-CN" sz="900" b="1" baseline="0">
              <a:solidFill>
                <a:srgbClr val="C00000"/>
              </a:solidFill>
            </a:rPr>
            <a:t>/</a:t>
          </a:r>
          <a:r>
            <a:rPr lang="zh-CN" altLang="en-US" sz="900" b="1" baseline="0">
              <a:solidFill>
                <a:srgbClr val="C00000"/>
              </a:solidFill>
            </a:rPr>
            <a:t>平方米</a:t>
          </a:r>
          <a:endParaRPr lang="en-US" altLang="zh-CN" sz="900" b="1" baseline="0">
            <a:solidFill>
              <a:srgbClr val="C00000"/>
            </a:solidFill>
          </a:endParaRPr>
        </a:p>
      </xdr:txBody>
    </xdr:sp>
    <xdr:clientData/>
  </xdr:twoCellAnchor>
  <xdr:twoCellAnchor>
    <xdr:from>
      <xdr:col>4</xdr:col>
      <xdr:colOff>552450</xdr:colOff>
      <xdr:row>67</xdr:row>
      <xdr:rowOff>114300</xdr:rowOff>
    </xdr:from>
    <xdr:to>
      <xdr:col>6</xdr:col>
      <xdr:colOff>104775</xdr:colOff>
      <xdr:row>70</xdr:row>
      <xdr:rowOff>47625</xdr:rowOff>
    </xdr:to>
    <xdr:sp macro="" textlink="">
      <xdr:nvSpPr>
        <xdr:cNvPr id="5" name="矩形标注 4"/>
        <xdr:cNvSpPr/>
      </xdr:nvSpPr>
      <xdr:spPr>
        <a:xfrm>
          <a:off x="552450" y="13125450"/>
          <a:ext cx="3352800" cy="447675"/>
        </a:xfrm>
        <a:prstGeom prst="wedgeRectCallout">
          <a:avLst>
            <a:gd name="adj1" fmla="val -50095"/>
            <a:gd name="adj2" fmla="val -114767"/>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YHTC(2017)23-4</a:t>
          </a:r>
          <a:r>
            <a:rPr lang="zh-CN" altLang="en-US" sz="900">
              <a:solidFill>
                <a:sysClr val="windowText" lastClr="000000"/>
              </a:solidFill>
            </a:rPr>
            <a:t>、</a:t>
          </a:r>
          <a:r>
            <a:rPr lang="en-US" altLang="zh-CN" sz="900">
              <a:solidFill>
                <a:sysClr val="windowText" lastClr="000000"/>
              </a:solidFill>
            </a:rPr>
            <a:t>5</a:t>
          </a:r>
          <a:r>
            <a:rPr lang="zh-CN" altLang="en-US" sz="900">
              <a:solidFill>
                <a:sysClr val="windowText" lastClr="000000"/>
              </a:solidFill>
            </a:rPr>
            <a:t>、</a:t>
          </a:r>
          <a:r>
            <a:rPr lang="en-US" altLang="zh-CN" sz="900">
              <a:solidFill>
                <a:sysClr val="windowText" lastClr="000000"/>
              </a:solidFill>
            </a:rPr>
            <a:t>6</a:t>
          </a:r>
          <a:r>
            <a:rPr lang="zh-CN" altLang="en-US" sz="900">
              <a:solidFill>
                <a:sysClr val="windowText" lastClr="000000"/>
              </a:solidFill>
            </a:rPr>
            <a:t>号</a:t>
          </a:r>
          <a:r>
            <a:rPr lang="zh-CN" altLang="en-US" sz="900">
              <a:solidFill>
                <a:sysClr val="windowText" lastClr="000000"/>
              </a:solidFill>
              <a:latin typeface="+mn-lt"/>
              <a:ea typeface="+mn-ea"/>
              <a:cs typeface="+mn-cs"/>
            </a:rPr>
            <a:t>（高铁新城</a:t>
          </a:r>
          <a:r>
            <a:rPr lang="en-US" altLang="zh-CN" sz="900">
              <a:solidFill>
                <a:sysClr val="windowText" lastClr="000000"/>
              </a:solidFill>
              <a:latin typeface="+mn-lt"/>
              <a:ea typeface="+mn-ea"/>
              <a:cs typeface="+mn-cs"/>
            </a:rPr>
            <a:t>·</a:t>
          </a:r>
          <a:r>
            <a:rPr lang="zh-CN" altLang="en-US" sz="900">
              <a:solidFill>
                <a:sysClr val="windowText" lastClr="000000"/>
              </a:solidFill>
              <a:latin typeface="+mn-lt"/>
              <a:ea typeface="+mn-ea"/>
              <a:cs typeface="+mn-cs"/>
            </a:rPr>
            <a:t>玉溪锦府）</a:t>
          </a:r>
          <a:endParaRPr lang="en-US" altLang="zh-CN" sz="900">
            <a:solidFill>
              <a:sysClr val="windowText" lastClr="000000"/>
            </a:solidFill>
            <a:latin typeface="+mn-lt"/>
            <a:ea typeface="+mn-ea"/>
            <a:cs typeface="+mn-cs"/>
          </a:endParaRPr>
        </a:p>
        <a:p>
          <a:pPr algn="l"/>
          <a:r>
            <a:rPr lang="en-US" altLang="zh-CN" sz="900">
              <a:solidFill>
                <a:sysClr val="windowText" lastClr="000000"/>
              </a:solidFill>
            </a:rPr>
            <a:t>R3.1     160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770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100852</xdr:colOff>
      <xdr:row>50</xdr:row>
      <xdr:rowOff>133351</xdr:rowOff>
    </xdr:from>
    <xdr:to>
      <xdr:col>10</xdr:col>
      <xdr:colOff>510087</xdr:colOff>
      <xdr:row>54</xdr:row>
      <xdr:rowOff>67236</xdr:rowOff>
    </xdr:to>
    <xdr:sp macro="" textlink="">
      <xdr:nvSpPr>
        <xdr:cNvPr id="6" name="矩形标注 5"/>
        <xdr:cNvSpPr/>
      </xdr:nvSpPr>
      <xdr:spPr>
        <a:xfrm>
          <a:off x="7037293" y="10106586"/>
          <a:ext cx="2628000" cy="606238"/>
        </a:xfrm>
        <a:prstGeom prst="wedgeRectCallout">
          <a:avLst>
            <a:gd name="adj1" fmla="val -135901"/>
            <a:gd name="adj2" fmla="val -815"/>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a:solidFill>
                <a:sysClr val="windowText" lastClr="000000"/>
              </a:solidFill>
            </a:rPr>
            <a:t>YXTC(2013)20-2</a:t>
          </a:r>
          <a:r>
            <a:rPr lang="zh-CN" altLang="en-US" sz="900">
              <a:solidFill>
                <a:sysClr val="windowText" lastClr="000000"/>
              </a:solidFill>
            </a:rPr>
            <a:t>号</a:t>
          </a:r>
          <a:r>
            <a:rPr lang="en-US" altLang="zh-CN" sz="900">
              <a:solidFill>
                <a:sysClr val="windowText" lastClr="000000"/>
              </a:solidFill>
            </a:rPr>
            <a:t>——</a:t>
          </a:r>
          <a:r>
            <a:rPr lang="zh-CN" altLang="en-US" sz="900">
              <a:solidFill>
                <a:sysClr val="windowText" lastClr="000000"/>
              </a:solidFill>
            </a:rPr>
            <a:t>涉及回迁安置</a:t>
          </a:r>
          <a:endParaRPr lang="en-US" altLang="zh-CN" sz="900">
            <a:solidFill>
              <a:sysClr val="windowText" lastClr="000000"/>
            </a:solidFill>
          </a:endParaRPr>
        </a:p>
        <a:p>
          <a:pPr algn="l"/>
          <a:r>
            <a:rPr lang="zh-CN" altLang="en-US" sz="900">
              <a:solidFill>
                <a:sysClr val="windowText" lastClr="000000"/>
              </a:solidFill>
            </a:rPr>
            <a:t>活发</a:t>
          </a:r>
          <a:r>
            <a:rPr lang="en-US" altLang="zh-CN" sz="900">
              <a:solidFill>
                <a:sysClr val="windowText" lastClr="000000"/>
              </a:solidFill>
            </a:rPr>
            <a:t>·</a:t>
          </a:r>
          <a:r>
            <a:rPr lang="zh-CN" altLang="en-US" sz="900">
              <a:solidFill>
                <a:sysClr val="windowText" lastClr="000000"/>
              </a:solidFill>
            </a:rPr>
            <a:t>新兴瑞园，</a:t>
          </a:r>
          <a:r>
            <a:rPr lang="en-US" altLang="zh-CN" sz="900">
              <a:solidFill>
                <a:sysClr val="windowText" lastClr="000000"/>
              </a:solidFill>
            </a:rPr>
            <a:t>8300</a:t>
          </a:r>
          <a:r>
            <a:rPr lang="zh-CN" altLang="en-US" sz="900">
              <a:solidFill>
                <a:sysClr val="windowText" lastClr="000000"/>
              </a:solidFill>
            </a:rPr>
            <a:t>元</a:t>
          </a:r>
          <a:r>
            <a:rPr lang="en-US" altLang="zh-CN" sz="900">
              <a:solidFill>
                <a:sysClr val="windowText" lastClr="000000"/>
              </a:solidFill>
            </a:rPr>
            <a:t>/</a:t>
          </a:r>
          <a:r>
            <a:rPr lang="zh-CN" altLang="en-US" sz="900">
              <a:solidFill>
                <a:sysClr val="windowText" lastClr="000000"/>
              </a:solidFill>
            </a:rPr>
            <a:t>平方米</a:t>
          </a:r>
          <a:endParaRPr lang="en-US" altLang="zh-CN" sz="900">
            <a:solidFill>
              <a:sysClr val="windowText" lastClr="000000"/>
            </a:solidFill>
          </a:endParaRPr>
        </a:p>
        <a:p>
          <a:pPr algn="l"/>
          <a:r>
            <a:rPr lang="en-US" altLang="zh-CN" sz="900">
              <a:solidFill>
                <a:sysClr val="windowText" lastClr="000000"/>
              </a:solidFill>
            </a:rPr>
            <a:t>R6.3     260</a:t>
          </a:r>
          <a:r>
            <a:rPr lang="zh-CN" altLang="en-US" sz="90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620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twoCellAnchor>
    <xdr:from>
      <xdr:col>8</xdr:col>
      <xdr:colOff>6821</xdr:colOff>
      <xdr:row>27</xdr:row>
      <xdr:rowOff>86577</xdr:rowOff>
    </xdr:from>
    <xdr:to>
      <xdr:col>10</xdr:col>
      <xdr:colOff>416056</xdr:colOff>
      <xdr:row>31</xdr:row>
      <xdr:rowOff>145676</xdr:rowOff>
    </xdr:to>
    <xdr:sp macro="" textlink="">
      <xdr:nvSpPr>
        <xdr:cNvPr id="7" name="矩形标注 6"/>
        <xdr:cNvSpPr/>
      </xdr:nvSpPr>
      <xdr:spPr>
        <a:xfrm>
          <a:off x="6943262" y="6193783"/>
          <a:ext cx="2628000" cy="731452"/>
        </a:xfrm>
        <a:prstGeom prst="wedgeRectCallout">
          <a:avLst>
            <a:gd name="adj1" fmla="val -109399"/>
            <a:gd name="adj2" fmla="val 12786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900" b="0">
              <a:solidFill>
                <a:sysClr val="windowText" lastClr="000000"/>
              </a:solidFill>
            </a:rPr>
            <a:t>HTQTC(2017)9</a:t>
          </a:r>
          <a:r>
            <a:rPr lang="zh-CN" altLang="en-US" sz="900" b="0">
              <a:solidFill>
                <a:sysClr val="windowText" lastClr="000000"/>
              </a:solidFill>
            </a:rPr>
            <a:t>、</a:t>
          </a:r>
          <a:r>
            <a:rPr lang="en-US" altLang="zh-CN" sz="900" b="0">
              <a:solidFill>
                <a:sysClr val="windowText" lastClr="000000"/>
              </a:solidFill>
            </a:rPr>
            <a:t>10</a:t>
          </a:r>
          <a:r>
            <a:rPr lang="zh-CN" altLang="en-US" sz="900" b="0">
              <a:solidFill>
                <a:sysClr val="windowText" lastClr="000000"/>
              </a:solidFill>
            </a:rPr>
            <a:t>号</a:t>
          </a:r>
          <a:endParaRPr lang="en-US" altLang="zh-CN" sz="900" b="0">
            <a:solidFill>
              <a:sysClr val="windowText" lastClr="000000"/>
            </a:solidFill>
          </a:endParaRPr>
        </a:p>
        <a:p>
          <a:pPr algn="l"/>
          <a:r>
            <a:rPr lang="zh-CN" altLang="en-US" sz="900" b="0">
              <a:solidFill>
                <a:sysClr val="windowText" lastClr="000000"/>
              </a:solidFill>
              <a:latin typeface="+mn-lt"/>
              <a:ea typeface="+mn-ea"/>
              <a:cs typeface="+mn-cs"/>
            </a:rPr>
            <a:t>富然</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兰溪湖畔 </a:t>
          </a:r>
          <a:r>
            <a:rPr lang="en-US" altLang="zh-CN" sz="900" b="0">
              <a:solidFill>
                <a:sysClr val="windowText" lastClr="000000"/>
              </a:solidFill>
              <a:latin typeface="+mn-lt"/>
              <a:ea typeface="+mn-ea"/>
              <a:cs typeface="+mn-cs"/>
            </a:rPr>
            <a:t>7700</a:t>
          </a:r>
          <a:r>
            <a:rPr lang="zh-CN" altLang="en-US" sz="900" b="0">
              <a:solidFill>
                <a:sysClr val="windowText" lastClr="000000"/>
              </a:solidFill>
              <a:latin typeface="+mn-lt"/>
              <a:ea typeface="+mn-ea"/>
              <a:cs typeface="+mn-cs"/>
            </a:rPr>
            <a:t>元</a:t>
          </a:r>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平方米</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latin typeface="+mn-lt"/>
              <a:ea typeface="+mn-ea"/>
              <a:cs typeface="+mn-cs"/>
            </a:rPr>
            <a:t>——</a:t>
          </a:r>
          <a:r>
            <a:rPr lang="zh-CN" altLang="en-US" sz="900" b="0">
              <a:solidFill>
                <a:sysClr val="windowText" lastClr="000000"/>
              </a:solidFill>
              <a:latin typeface="+mn-lt"/>
              <a:ea typeface="+mn-ea"/>
              <a:cs typeface="+mn-cs"/>
            </a:rPr>
            <a:t>涉及回迁安置</a:t>
          </a:r>
          <a:endParaRPr lang="en-US" altLang="zh-CN" sz="900" b="0">
            <a:solidFill>
              <a:sysClr val="windowText" lastClr="000000"/>
            </a:solidFill>
            <a:latin typeface="+mn-lt"/>
            <a:ea typeface="+mn-ea"/>
            <a:cs typeface="+mn-cs"/>
          </a:endParaRPr>
        </a:p>
        <a:p>
          <a:pPr algn="l"/>
          <a:r>
            <a:rPr lang="en-US" altLang="zh-CN" sz="900" b="0">
              <a:solidFill>
                <a:sysClr val="windowText" lastClr="000000"/>
              </a:solidFill>
            </a:rPr>
            <a:t>R5     160</a:t>
          </a:r>
          <a:r>
            <a:rPr lang="zh-CN" altLang="en-US" sz="900" b="0">
              <a:solidFill>
                <a:sysClr val="windowText" lastClr="000000"/>
              </a:solidFill>
            </a:rPr>
            <a:t>万</a:t>
          </a:r>
          <a:r>
            <a:rPr lang="en-US" altLang="zh-CN" sz="900">
              <a:solidFill>
                <a:sysClr val="windowText" lastClr="000000"/>
              </a:solidFill>
            </a:rPr>
            <a:t>/</a:t>
          </a:r>
          <a:r>
            <a:rPr lang="zh-CN" altLang="en-US" sz="900">
              <a:solidFill>
                <a:sysClr val="windowText" lastClr="000000"/>
              </a:solidFill>
            </a:rPr>
            <a:t>亩</a:t>
          </a:r>
          <a:r>
            <a:rPr lang="zh-CN" altLang="en-US" sz="900" baseline="0">
              <a:solidFill>
                <a:sysClr val="windowText" lastClr="000000"/>
              </a:solidFill>
            </a:rPr>
            <a:t>     </a:t>
          </a:r>
          <a:r>
            <a:rPr lang="en-US" altLang="zh-CN" sz="900" baseline="0">
              <a:solidFill>
                <a:sysClr val="windowText" lastClr="000000"/>
              </a:solidFill>
            </a:rPr>
            <a:t>480</a:t>
          </a:r>
          <a:r>
            <a:rPr lang="zh-CN" altLang="en-US" sz="900" baseline="0">
              <a:solidFill>
                <a:sysClr val="windowText" lastClr="000000"/>
              </a:solidFill>
            </a:rPr>
            <a:t>元</a:t>
          </a:r>
          <a:r>
            <a:rPr lang="en-US" altLang="zh-CN" sz="900" baseline="0">
              <a:solidFill>
                <a:sysClr val="windowText" lastClr="000000"/>
              </a:solidFill>
            </a:rPr>
            <a:t>/</a:t>
          </a:r>
          <a:r>
            <a:rPr lang="zh-CN" altLang="en-US" sz="900" baseline="0">
              <a:solidFill>
                <a:sysClr val="windowText" lastClr="000000"/>
              </a:solidFill>
            </a:rPr>
            <a:t>平方米</a:t>
          </a:r>
          <a:endParaRPr lang="en-US" altLang="zh-CN" sz="900" baseline="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65421</xdr:colOff>
      <xdr:row>0</xdr:row>
      <xdr:rowOff>138335</xdr:rowOff>
    </xdr:from>
    <xdr:to>
      <xdr:col>19</xdr:col>
      <xdr:colOff>238125</xdr:colOff>
      <xdr:row>31</xdr:row>
      <xdr:rowOff>13623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37621" y="138335"/>
          <a:ext cx="7030704" cy="5190238"/>
        </a:xfrm>
        <a:prstGeom prst="rect">
          <a:avLst/>
        </a:prstGeom>
      </xdr:spPr>
    </xdr:pic>
    <xdr:clientData/>
  </xdr:twoCellAnchor>
  <xdr:twoCellAnchor editAs="oneCell">
    <xdr:from>
      <xdr:col>8</xdr:col>
      <xdr:colOff>628650</xdr:colOff>
      <xdr:row>30</xdr:row>
      <xdr:rowOff>142875</xdr:rowOff>
    </xdr:from>
    <xdr:to>
      <xdr:col>18</xdr:col>
      <xdr:colOff>35700</xdr:colOff>
      <xdr:row>57</xdr:row>
      <xdr:rowOff>34415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15050" y="5286375"/>
          <a:ext cx="6265050" cy="4520690"/>
        </a:xfrm>
        <a:prstGeom prst="rect">
          <a:avLst/>
        </a:prstGeom>
      </xdr:spPr>
    </xdr:pic>
    <xdr:clientData/>
  </xdr:twoCellAnchor>
  <xdr:twoCellAnchor editAs="oneCell">
    <xdr:from>
      <xdr:col>9</xdr:col>
      <xdr:colOff>9525</xdr:colOff>
      <xdr:row>57</xdr:row>
      <xdr:rowOff>0</xdr:rowOff>
    </xdr:from>
    <xdr:to>
      <xdr:col>18</xdr:col>
      <xdr:colOff>29061</xdr:colOff>
      <xdr:row>87</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8825" y="9772650"/>
          <a:ext cx="6191736" cy="5219700"/>
        </a:xfrm>
        <a:prstGeom prst="rect">
          <a:avLst/>
        </a:prstGeom>
      </xdr:spPr>
    </xdr:pic>
    <xdr:clientData/>
  </xdr:twoCellAnchor>
  <xdr:twoCellAnchor editAs="oneCell">
    <xdr:from>
      <xdr:col>8</xdr:col>
      <xdr:colOff>676275</xdr:colOff>
      <xdr:row>87</xdr:row>
      <xdr:rowOff>47625</xdr:rowOff>
    </xdr:from>
    <xdr:to>
      <xdr:col>18</xdr:col>
      <xdr:colOff>197690</xdr:colOff>
      <xdr:row>118</xdr:row>
      <xdr:rowOff>133350</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86475" y="14963775"/>
          <a:ext cx="6379415" cy="5400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366361</xdr:colOff>
      <xdr:row>24</xdr:row>
      <xdr:rowOff>57524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481161" cy="4172324"/>
        </a:xfrm>
        <a:prstGeom prst="rect">
          <a:avLst/>
        </a:prstGeom>
      </xdr:spPr>
    </xdr:pic>
    <xdr:clientData/>
  </xdr:twoCellAnchor>
  <xdr:twoCellAnchor editAs="oneCell">
    <xdr:from>
      <xdr:col>0</xdr:col>
      <xdr:colOff>0</xdr:colOff>
      <xdr:row>23</xdr:row>
      <xdr:rowOff>123825</xdr:rowOff>
    </xdr:from>
    <xdr:to>
      <xdr:col>6</xdr:col>
      <xdr:colOff>396638</xdr:colOff>
      <xdr:row>38</xdr:row>
      <xdr:rowOff>83325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067175"/>
          <a:ext cx="4511438" cy="2531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246204</xdr:colOff>
      <xdr:row>45</xdr:row>
      <xdr:rowOff>57150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90004"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9577;&#28330;&#21271;&#22823;&#36164;&#28304;2&#21495;&#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抵押物汇总"/>
      <sheetName val="规划"/>
      <sheetName val="报告用面积表"/>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剩余法-待开发"/>
      <sheetName val="不动产比较法-住宅"/>
      <sheetName val="不动产收益法（商业）"/>
      <sheetName val="商业租金"/>
      <sheetName val="不动产收益法（车位）"/>
      <sheetName val="剩余法-现房"/>
      <sheetName val="车位租金"/>
      <sheetName val="Shee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2">
          <cell r="K42">
            <v>3</v>
          </cell>
        </row>
      </sheetData>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ohu.com/a/302645625_391639"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云南省玉溪市红塔区李棋街道新康井路以西出让国有建设用地使用权抵押价格预评估</v>
      </c>
      <c r="AX2" s="2849"/>
      <c r="AZ2" s="2849"/>
      <c r="BA2" s="2850"/>
      <c r="BC2" s="2850"/>
    </row>
    <row r="3" spans="1:55" s="2851" customFormat="1">
      <c r="A3" s="2830" t="s">
        <v>2658</v>
      </c>
      <c r="B3" s="2833" t="str">
        <f>'预评函-封皮'!B40</f>
        <v>五矿国际信托有限公司</v>
      </c>
    </row>
    <row r="4" spans="1:55" s="2832" customFormat="1">
      <c r="A4" s="2830" t="s">
        <v>2659</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受贵公司委托，我公司对云南省玉溪市红塔区李棋街道新康井路以西出让国有建设用地使用权抵押价格进行了预评估。</v>
      </c>
      <c r="AM6" s="2855"/>
    </row>
    <row r="7" spans="1:55" s="2829" customFormat="1">
      <c r="A7" s="2830" t="s">
        <v>2654</v>
      </c>
      <c r="B7" s="2831" t="str">
        <f>'预评函-1'!A6</f>
        <v>估价对象为玉溪润雅置业有限公司使用的、位于云南省玉溪市红塔区李棋街道新康井路以西出让国有建设用地使用权。根据《国有土地使用证》[]，估价对象（分摊）出让国有建设用地使用权面积为36905.32平方米。根据《建设工程规划许可证》[]、《出让合同》[]，估价对象规划建筑面积为140701.99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2019年10月25日（评估专业人员勘察现场之日）</v>
      </c>
    </row>
    <row r="11" spans="1:55" s="2829" customFormat="1">
      <c r="A11" s="2830" t="s">
        <v>2662</v>
      </c>
      <c r="B11" s="2831" t="str">
        <f>'预评函-1'!A14</f>
        <v>根据《国有土地使用证》[]，本次评估估价对象证载（地类）用途为城镇住宅用地。</v>
      </c>
    </row>
    <row r="12" spans="1:55" s="2829" customFormat="1">
      <c r="A12" s="2830" t="s">
        <v>2663</v>
      </c>
      <c r="B12" s="2831" t="str">
        <f>'预评函-1'!A15</f>
        <v>本次评估设定用途即为证载用途住宅、商业及地下车库。</v>
      </c>
    </row>
    <row r="13" spans="1:55" s="2829" customFormat="1">
      <c r="A13" s="2830" t="s">
        <v>2664</v>
      </c>
      <c r="B13" s="2831" t="str">
        <f>'预评函-1'!A17</f>
        <v>根据委托估价方介绍及评估专业人员现场勘查，本次评估估价对象实际土地开发程度为红线外市政基础设施达“六通”（即通路、通电、通讯、通上水、通下水、燃气）、宗地红线内已开工建设。。</v>
      </c>
    </row>
    <row r="14" spans="1:55" s="2829" customFormat="1">
      <c r="A14" s="2830" t="s">
        <v>2665</v>
      </c>
      <c r="B14" s="2831" t="str">
        <f>'预评函-1'!A18</f>
        <v>由于估价对象已完成通平、具备施工条件，因此本次评估设定土地开发程度为红线外市政基础设施达“六通”、宗地红线内场地平整。本次评估估价结果不包含上述在建工程或已建建筑物价格。</v>
      </c>
    </row>
    <row r="15" spans="1:55" s="2829" customFormat="1">
      <c r="A15" s="2830" t="s">
        <v>2661</v>
      </c>
      <c r="B15" s="2831" t="str">
        <f>'预评函-1'!A20</f>
        <v>根据《国有土地使用证》[]，估价对象（分摊）出让国有建设用地使用权面积为36905.32平方米。根据《建设工程规划许可证》[]、《出让合同》[]，估价对象规划建筑面积为140701.99平方米。</v>
      </c>
    </row>
    <row r="16" spans="1:55" s="2829" customFormat="1">
      <c r="A16" s="2830" t="s">
        <v>2666</v>
      </c>
      <c r="B16" s="2831" t="str">
        <f>'预评函-1'!A22</f>
        <v>本次估价对象为出让国有建设用地使用权，《国有土地使用证》[]证载土地终止日期为住宅2089年7月15日、商业2059年7月15日地下车库2069年7月15日。截至估价期日，出让国有建设用地使用权剩余土地使用年限为。</v>
      </c>
    </row>
    <row r="17" spans="1:48" s="2829" customFormat="1">
      <c r="A17" s="2830" t="s">
        <v>2667</v>
      </c>
      <c r="B17" s="2831" t="str">
        <f>'预评函-1'!A23</f>
        <v>本次评估设定估价对象剩余土地使用年限为。</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2672</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估价期日：2019年10月25日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城镇住宅用地</v>
      </c>
      <c r="AV32" s="2835"/>
    </row>
    <row r="33" spans="1:2">
      <c r="A33" s="2830" t="s">
        <v>2710</v>
      </c>
      <c r="B33" s="2831">
        <f>'预评函-2'!F5</f>
        <v>258</v>
      </c>
    </row>
    <row r="34" spans="1:2">
      <c r="A34" s="2830" t="s">
        <v>2711</v>
      </c>
      <c r="B34" s="2831" t="str">
        <f>'预评函-2'!G5</f>
        <v>住宅、商业及地下车库</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红线外六通、宗地红线内宗地内已开工建设</v>
      </c>
    </row>
    <row r="39" spans="1:2">
      <c r="A39" s="2830" t="s">
        <v>2716</v>
      </c>
      <c r="B39" s="2831" t="str">
        <f>'预评函-2'!L5</f>
        <v>红线外六通、宗地红线内场地平整</v>
      </c>
    </row>
    <row r="40" spans="1:2">
      <c r="A40" s="2830" t="s">
        <v>2735</v>
      </c>
      <c r="B40" s="2831" t="str">
        <f>'预评函-2'!M3</f>
        <v>（剩余）土地使用年限/年</v>
      </c>
    </row>
    <row r="41" spans="1:2">
      <c r="A41" s="2830" t="s">
        <v>2717</v>
      </c>
      <c r="B41" s="2831">
        <f>'预评函-2'!M5</f>
        <v>0</v>
      </c>
    </row>
    <row r="42" spans="1:2">
      <c r="A42" s="2830" t="s">
        <v>2736</v>
      </c>
      <c r="B42" s="2831" t="str">
        <f>'预评函-2'!N3</f>
        <v>（分摊）出让国有建设用地使用权面积/㎡</v>
      </c>
    </row>
    <row r="43" spans="1:2">
      <c r="A43" s="2830" t="s">
        <v>2718</v>
      </c>
      <c r="B43" s="2831">
        <f>'预评函-2'!N5</f>
        <v>36905.32</v>
      </c>
    </row>
    <row r="44" spans="1:2">
      <c r="A44" s="2830" t="s">
        <v>2737</v>
      </c>
      <c r="B44" s="2831" t="str">
        <f>'预评函-2'!O3</f>
        <v>规划建筑面积/㎡</v>
      </c>
    </row>
    <row r="45" spans="1:2">
      <c r="A45" s="2830" t="s">
        <v>2719</v>
      </c>
      <c r="B45" s="2831">
        <f>'预评函-2'!O5</f>
        <v>140701.99</v>
      </c>
    </row>
    <row r="46" spans="1:2">
      <c r="A46" s="2830" t="s">
        <v>2720</v>
      </c>
      <c r="B46" s="2831">
        <f ca="1">'预评函-2'!P5</f>
        <v>9778</v>
      </c>
    </row>
    <row r="47" spans="1:2">
      <c r="A47" s="2830" t="s">
        <v>2721</v>
      </c>
      <c r="B47" s="2831">
        <f ca="1">'预评函-2'!Q5</f>
        <v>2565</v>
      </c>
    </row>
    <row r="48" spans="1:2">
      <c r="A48" s="2830" t="s">
        <v>2722</v>
      </c>
      <c r="B48" s="2831">
        <f ca="1">'预评函-2'!R5</f>
        <v>36085</v>
      </c>
    </row>
    <row r="49" spans="1:2">
      <c r="A49" s="2830" t="s">
        <v>2738</v>
      </c>
      <c r="B49" s="2831" t="str">
        <f>'预评函-2'!A6</f>
        <v>抵押价格</v>
      </c>
    </row>
    <row r="50" spans="1:2">
      <c r="A50" s="2830" t="s">
        <v>2723</v>
      </c>
      <c r="B50" s="2831">
        <f ca="1">'预评函-2'!R6</f>
        <v>36085</v>
      </c>
    </row>
    <row r="51" spans="1:2">
      <c r="A51" s="2830" t="s">
        <v>2739</v>
      </c>
      <c r="B51" s="2831" t="str">
        <f>'预评函-2'!A7</f>
        <v>——</v>
      </c>
    </row>
    <row r="52" spans="1:2">
      <c r="A52" s="2830" t="s">
        <v>2724</v>
      </c>
      <c r="B52" s="2831" t="str">
        <f>'预评函-2'!R7</f>
        <v>——</v>
      </c>
    </row>
    <row r="53" spans="1:2">
      <c r="A53" s="2830" t="s">
        <v>2740</v>
      </c>
      <c r="B53" s="2831">
        <f>'预评函-2'!A8</f>
        <v>0</v>
      </c>
    </row>
    <row r="54" spans="1:2" s="2845" customFormat="1" ht="15" thickBot="1">
      <c r="A54" s="2852" t="s">
        <v>2725</v>
      </c>
      <c r="B54" s="2853" t="str">
        <f>'预评函-2'!R8</f>
        <v>——</v>
      </c>
    </row>
    <row r="55" spans="1:2" ht="15" thickTop="1">
      <c r="A55" s="2841" t="s">
        <v>2675</v>
      </c>
      <c r="B55" s="2842" t="str">
        <f>'预评函-3'!A2</f>
        <v>1.权利限制：根据估价对象《不动产权证书》原件、，截至估价期日，估价对象抵押权未见登记。未设定租赁等其他他项权利。</v>
      </c>
    </row>
    <row r="56" spans="1:2">
      <c r="A56" s="2830" t="s">
        <v>2676</v>
      </c>
      <c r="B56" s="2831" t="str">
        <f>'预评函-3'!A3</f>
        <v>2.基础设施条件：估价对象实际开发程度为红线外六通、宗地红线内宗地内已开工建设；本次评估设定开发程度为红线外六通、宗地红线内场地平整。</v>
      </c>
    </row>
    <row r="57" spans="1:2">
      <c r="A57" s="2830" t="s">
        <v>2677</v>
      </c>
      <c r="B57" s="2831" t="str">
        <f>'预评函-3'!A4</f>
        <v>3.估价规划限制条件：详见《建设工程规划许可证》[]、《出让合同》[]。</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（1）根据估价对象《不动产权证书》原件、，截至估价期日，估价对象抵押权未见登记。</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由于本次评估估价目的是评估储备国有建设用地使用权的“抵押价格”，因此本次评估设定土地开发程度为红线外市政基础设施达“六通”、宗地红线内场地平整。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11" sqref="I11"/>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1" t="s">
        <v>1937</v>
      </c>
      <c r="B1" s="3292" t="str">
        <f>IF(B10="北京市","北京市",C10)&amp;F10&amp;B16&amp;"国有建设用地使用权"&amp;B9&amp;"预评估"</f>
        <v>云南省玉溪市红塔区李棋街道新康井路以西出让国有建设用地使用权抵押价格预评估</v>
      </c>
      <c r="C1" s="3293"/>
      <c r="D1" s="3293"/>
      <c r="E1" s="3293"/>
      <c r="F1" s="3293"/>
      <c r="G1" s="3293"/>
      <c r="H1" s="3293"/>
      <c r="I1" s="3294"/>
      <c r="J1" s="1675"/>
      <c r="K1" s="2416" t="str">
        <f>IF(B10="北京市","北京市",C10)&amp;F10&amp;B16&amp;"国有建设用地使用权"&amp;B9</f>
        <v>云南省玉溪市红塔区李棋街道新康井路以西出让国有建设用地使用权抵押价格</v>
      </c>
      <c r="L1" s="1704"/>
      <c r="M1" s="1704"/>
      <c r="N1" s="1675"/>
      <c r="O1" s="1676"/>
      <c r="P1" s="1675"/>
      <c r="Q1" s="1675"/>
      <c r="R1" s="1675"/>
      <c r="S1" s="1675"/>
      <c r="T1" s="1675"/>
      <c r="U1" s="1675"/>
    </row>
    <row r="2" spans="1:21">
      <c r="A2" s="1642" t="s">
        <v>1938</v>
      </c>
      <c r="B2" s="1823"/>
      <c r="D2" s="1675"/>
      <c r="E2" s="1675"/>
      <c r="F2" s="1675"/>
      <c r="G2" s="1675"/>
      <c r="H2" s="1642"/>
      <c r="I2" s="1676"/>
      <c r="J2" s="1675"/>
      <c r="K2" s="2416" t="str">
        <f>IF(B10="北京市","北京市",C10)&amp;F10&amp;B16&amp;"国有建设用地使用权"</f>
        <v>云南省玉溪市红塔区李棋街道新康井路以西出让国有建设用地使用权</v>
      </c>
      <c r="L2" s="1704"/>
      <c r="M2" s="1704"/>
      <c r="N2" s="1675"/>
      <c r="O2" s="1676"/>
      <c r="P2" s="1675"/>
      <c r="Q2" s="1675"/>
      <c r="R2" s="1675"/>
      <c r="S2" s="1675"/>
      <c r="T2" s="1675"/>
      <c r="U2" s="1675"/>
    </row>
    <row r="3" spans="1:21">
      <c r="A3" s="1643" t="s">
        <v>1939</v>
      </c>
      <c r="B3" s="1644">
        <v>43763</v>
      </c>
      <c r="C3" s="1645" t="s">
        <v>1994</v>
      </c>
      <c r="D3" s="1644">
        <f>B3</f>
        <v>43763</v>
      </c>
      <c r="E3" s="1675"/>
      <c r="F3" s="1675"/>
      <c r="G3" s="1675"/>
      <c r="H3" s="1642"/>
      <c r="I3" s="1676"/>
      <c r="J3" s="1675"/>
      <c r="K3" s="1755"/>
      <c r="L3" s="1704"/>
      <c r="M3" s="1704"/>
      <c r="N3" s="1675"/>
      <c r="O3" s="1676"/>
      <c r="P3" s="1675"/>
      <c r="Q3" s="1675"/>
      <c r="R3" s="1675"/>
      <c r="S3" s="1675"/>
      <c r="T3" s="1675"/>
      <c r="U3" s="1675"/>
    </row>
    <row r="4" spans="1:21" ht="15" thickBot="1">
      <c r="A4" s="1646" t="s">
        <v>1940</v>
      </c>
      <c r="B4" s="1824" t="s">
        <v>3192</v>
      </c>
      <c r="C4" s="1827">
        <f ca="1">SUMIF(土地估价师,B4,估价师及机构信息!E3:E24)</f>
        <v>2002110030</v>
      </c>
      <c r="D4" s="1824" t="s">
        <v>3193</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7" t="s">
        <v>1941</v>
      </c>
      <c r="B5" s="1770" t="str">
        <f>B6</f>
        <v>五矿国际信托有限公司</v>
      </c>
      <c r="C5" s="1648"/>
      <c r="D5" s="1649"/>
      <c r="E5" s="1675"/>
      <c r="F5" s="1675"/>
      <c r="G5" s="1675"/>
      <c r="H5" s="1642"/>
      <c r="I5" s="1676"/>
      <c r="J5" s="1675"/>
      <c r="K5" s="1755"/>
      <c r="L5" s="1704"/>
      <c r="M5" s="1704"/>
      <c r="N5" s="1675"/>
      <c r="O5" s="1676"/>
      <c r="P5" s="1675"/>
      <c r="Q5" s="1675"/>
      <c r="R5" s="1675"/>
      <c r="S5" s="1675"/>
      <c r="T5" s="1675"/>
      <c r="U5" s="1675"/>
    </row>
    <row r="6" spans="1:21" ht="26.25">
      <c r="A6" s="1645" t="s">
        <v>2703</v>
      </c>
      <c r="B6" s="1770" t="s">
        <v>3194</v>
      </c>
      <c r="C6" s="1742"/>
      <c r="D6" s="1650"/>
      <c r="E6" s="1675"/>
      <c r="F6" s="1675"/>
      <c r="G6" s="1675"/>
      <c r="H6" s="1642"/>
      <c r="I6" s="1676"/>
      <c r="J6" s="1675"/>
      <c r="K6" s="3003" t="str">
        <f>IF(COUNTIF(B6,"*上海银行*"),"上海银行","")</f>
        <v/>
      </c>
      <c r="L6" s="1704"/>
      <c r="M6" s="1704"/>
      <c r="N6" s="1675"/>
      <c r="O6" s="1676"/>
      <c r="P6" s="1675"/>
      <c r="Q6" s="1675"/>
      <c r="R6" s="1675"/>
      <c r="S6" s="1675"/>
      <c r="T6" s="1675"/>
      <c r="U6" s="1675"/>
    </row>
    <row r="7" spans="1:21">
      <c r="A7" s="1651" t="s">
        <v>2704</v>
      </c>
      <c r="B7" s="1770" t="str">
        <f>C11</f>
        <v>玉溪润雅置业有限公司</v>
      </c>
      <c r="C7" s="1742"/>
      <c r="D7" s="1650"/>
      <c r="E7" s="1675"/>
      <c r="F7" s="1675"/>
      <c r="G7" s="1675"/>
      <c r="H7" s="1642"/>
      <c r="I7" s="1676"/>
      <c r="J7" s="1675"/>
      <c r="K7" s="1755"/>
      <c r="L7" s="1704"/>
      <c r="M7" s="1704"/>
      <c r="N7" s="1675"/>
      <c r="O7" s="1676"/>
      <c r="P7" s="1675"/>
      <c r="Q7" s="1675"/>
      <c r="R7" s="1675"/>
      <c r="S7" s="1675"/>
      <c r="T7" s="1675"/>
      <c r="U7" s="1675"/>
    </row>
    <row r="8" spans="1:21">
      <c r="A8" s="1651" t="s">
        <v>1942</v>
      </c>
      <c r="B8" s="1652" t="s">
        <v>2992</v>
      </c>
      <c r="C8" s="1653"/>
      <c r="D8" s="3298" t="s">
        <v>1944</v>
      </c>
      <c r="E8" s="1825" t="s">
        <v>3195</v>
      </c>
      <c r="F8" s="1654"/>
      <c r="G8" s="1642"/>
      <c r="H8" s="1642"/>
      <c r="I8" s="1688"/>
      <c r="J8" s="1675"/>
      <c r="K8" s="1755"/>
      <c r="L8" s="1704"/>
      <c r="M8" s="1704"/>
      <c r="N8" s="1675"/>
      <c r="O8" s="1676"/>
      <c r="P8" s="1675"/>
      <c r="Q8" s="1675"/>
      <c r="R8" s="1675"/>
      <c r="S8" s="1675"/>
      <c r="T8" s="1675"/>
      <c r="U8" s="1675"/>
    </row>
    <row r="9" spans="1:21" ht="15" thickBot="1">
      <c r="A9" s="1655" t="s">
        <v>1943</v>
      </c>
      <c r="B9" s="1656" t="s">
        <v>3195</v>
      </c>
      <c r="C9" s="1657"/>
      <c r="D9" s="3299"/>
      <c r="E9" s="1656"/>
      <c r="F9" s="1728"/>
      <c r="G9" s="1723"/>
      <c r="H9" s="1723"/>
      <c r="I9" s="1724"/>
      <c r="J9" s="1675"/>
      <c r="K9" s="1755"/>
      <c r="L9" s="1704"/>
      <c r="M9" s="1704"/>
      <c r="N9" s="1675"/>
      <c r="O9" s="1676"/>
      <c r="P9" s="1675"/>
      <c r="Q9" s="1675"/>
      <c r="R9" s="1675"/>
      <c r="S9" s="1675"/>
      <c r="T9" s="1675"/>
      <c r="U9" s="1675"/>
    </row>
    <row r="10" spans="1:21" ht="15" thickTop="1">
      <c r="A10" s="1725" t="s">
        <v>1998</v>
      </c>
      <c r="B10" s="1700" t="s">
        <v>3196</v>
      </c>
      <c r="C10" s="1658" t="s">
        <v>3198</v>
      </c>
      <c r="D10" s="1649"/>
      <c r="E10" s="1659" t="s">
        <v>1946</v>
      </c>
      <c r="F10" s="3217" t="str">
        <f>抵押物汇总!G4</f>
        <v>玉溪市红塔区李棋街道新康井路以西</v>
      </c>
      <c r="G10" s="1726"/>
      <c r="H10" s="1727"/>
      <c r="I10" s="1649"/>
      <c r="J10" s="1675"/>
      <c r="K10" s="1755"/>
      <c r="L10" s="1704"/>
      <c r="M10" s="1704"/>
      <c r="N10" s="1675"/>
      <c r="O10" s="1676"/>
      <c r="P10" s="1675"/>
      <c r="Q10" s="1675"/>
      <c r="R10" s="1675"/>
      <c r="S10" s="1675"/>
      <c r="T10" s="1675"/>
      <c r="U10" s="1675"/>
    </row>
    <row r="11" spans="1:21" ht="28.5">
      <c r="A11" s="1678" t="s">
        <v>1999</v>
      </c>
      <c r="B11" s="1679" t="s">
        <v>3197</v>
      </c>
      <c r="C11" s="1660" t="str">
        <f>抵押物汇总!E4</f>
        <v>玉溪润雅置业有限公司</v>
      </c>
      <c r="D11" s="1743"/>
      <c r="E11" s="1642"/>
      <c r="F11" s="1642"/>
      <c r="G11" s="1642"/>
      <c r="H11" s="1642"/>
      <c r="I11" s="1642"/>
      <c r="J11" s="1675"/>
      <c r="K11" s="1755"/>
      <c r="L11" s="1704"/>
      <c r="M11" s="1704"/>
      <c r="N11" s="1675"/>
      <c r="O11" s="1676"/>
      <c r="P11" s="1675"/>
      <c r="Q11" s="1675"/>
      <c r="R11" s="1675"/>
      <c r="S11" s="1675"/>
      <c r="T11" s="1675"/>
      <c r="U11" s="1675"/>
    </row>
    <row r="12" spans="1:21">
      <c r="A12" s="1766" t="s">
        <v>2057</v>
      </c>
      <c r="B12" s="3295" t="str">
        <f>抵押物汇总!J4</f>
        <v>城镇住宅用地</v>
      </c>
      <c r="C12" s="3296"/>
      <c r="D12" s="3297"/>
      <c r="E12" s="1680" t="s">
        <v>2060</v>
      </c>
      <c r="F12" s="3313" t="s">
        <v>2886</v>
      </c>
      <c r="G12" s="3314"/>
      <c r="H12" s="3314"/>
      <c r="I12" s="3315"/>
      <c r="J12" s="1675"/>
      <c r="K12" s="1755"/>
      <c r="L12" s="1704"/>
      <c r="M12" s="1704"/>
      <c r="N12" s="1675"/>
      <c r="O12" s="1676"/>
      <c r="P12" s="1675"/>
      <c r="Q12" s="1675"/>
      <c r="R12" s="1675"/>
      <c r="S12" s="1675"/>
      <c r="T12" s="1675"/>
      <c r="U12" s="1675"/>
    </row>
    <row r="13" spans="1:21">
      <c r="A13" s="1668" t="s">
        <v>2058</v>
      </c>
      <c r="B13" s="3295" t="s">
        <v>3200</v>
      </c>
      <c r="C13" s="3296"/>
      <c r="D13" s="3297"/>
      <c r="E13" s="1680" t="s">
        <v>2060</v>
      </c>
      <c r="F13" s="3313" t="s">
        <v>2887</v>
      </c>
      <c r="G13" s="3314"/>
      <c r="H13" s="3314"/>
      <c r="I13" s="3315"/>
      <c r="J13" s="1675"/>
      <c r="K13" s="1755"/>
      <c r="L13" s="1704"/>
      <c r="M13" s="1704"/>
      <c r="N13" s="1675"/>
      <c r="O13" s="1676"/>
      <c r="P13" s="1675"/>
      <c r="Q13" s="1675"/>
      <c r="R13" s="1675"/>
      <c r="S13" s="1675"/>
      <c r="T13" s="1675"/>
      <c r="U13" s="1675"/>
    </row>
    <row r="14" spans="1:21">
      <c r="A14" s="1643" t="s">
        <v>2061</v>
      </c>
      <c r="B14" s="1680"/>
      <c r="C14" s="1826" t="s">
        <v>3201</v>
      </c>
      <c r="D14" s="1714" t="str">
        <f>IF(C14="不一致","是否符合证载地类范围","")</f>
        <v/>
      </c>
      <c r="E14" s="1680"/>
      <c r="F14" s="1771" t="s">
        <v>3202</v>
      </c>
      <c r="G14" s="1709"/>
      <c r="H14" s="1709"/>
      <c r="I14" s="1818"/>
      <c r="J14" s="1675"/>
      <c r="K14" s="1755"/>
      <c r="L14" s="1704"/>
      <c r="M14" s="1704"/>
      <c r="N14" s="1675"/>
      <c r="O14" s="1676"/>
      <c r="P14" s="1675"/>
      <c r="Q14" s="1675"/>
      <c r="R14" s="1675"/>
      <c r="S14" s="1675"/>
      <c r="T14" s="1675"/>
      <c r="U14" s="1675"/>
    </row>
    <row r="15" spans="1:21" hidden="1">
      <c r="A15" s="2606"/>
      <c r="B15" s="1645"/>
      <c r="C15" s="1645"/>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42.75">
      <c r="A16" s="1661" t="s">
        <v>1947</v>
      </c>
      <c r="B16" s="1662" t="s">
        <v>2986</v>
      </c>
      <c r="C16" s="1680" t="s">
        <v>1948</v>
      </c>
      <c r="D16" s="2607" t="s">
        <v>1949</v>
      </c>
      <c r="E16" s="1703" t="s">
        <v>3145</v>
      </c>
      <c r="F16" s="1703"/>
      <c r="G16" s="1703" t="s">
        <v>35</v>
      </c>
      <c r="H16" s="1703"/>
      <c r="I16" s="1667" t="s">
        <v>1954</v>
      </c>
      <c r="J16" s="1675"/>
      <c r="K16" s="2417" t="str">
        <f>IF(D17="","",D16&amp;TEXT(D17,"yyyy年m月d日;;"))</f>
        <v>住宅2089年7月15日</v>
      </c>
      <c r="L16" s="1680" t="str">
        <f>IF(OR(K16="",M16=""),"","、")</f>
        <v>、</v>
      </c>
      <c r="M16" s="2417" t="str">
        <f>IF(E17="","",E16&amp;TEXT(E17,"yyyy年m月d日;;"))</f>
        <v>商业2059年7月15日</v>
      </c>
      <c r="N16" s="1680" t="str">
        <f>IF(OR(M16="",O16=""),"","、")</f>
        <v/>
      </c>
      <c r="O16" s="2417" t="str">
        <f>IF(F17="","",F16&amp;TEXT(F17,"yyyy年m月d日;;"))</f>
        <v/>
      </c>
      <c r="P16" s="1680" t="str">
        <f>IF(OR(O16="",Q16=""),"","、")</f>
        <v/>
      </c>
      <c r="Q16" s="2417" t="str">
        <f>IF(G17="","",G16&amp;TEXT(G17,"yyyy年m月d日;;"))</f>
        <v>地下车库2069年7月15日</v>
      </c>
      <c r="R16" s="1680" t="str">
        <f>IF(OR(Q16="",S16=""),"","、")</f>
        <v/>
      </c>
      <c r="S16" s="2417" t="str">
        <f>IF(H17="","",H16&amp;TEXT(H17,"yyyy年m月d日;;"))</f>
        <v/>
      </c>
      <c r="T16" s="1680" t="str">
        <f>IF(OR(S16="",U16=""),"","、")</f>
        <v/>
      </c>
      <c r="U16" s="2417" t="str">
        <f>IF(I17="","",I16&amp;TEXT(I17,"yyyy年m月d日;;"))</f>
        <v/>
      </c>
    </row>
    <row r="17" spans="1:21">
      <c r="A17" s="1744"/>
      <c r="B17" s="1663"/>
      <c r="C17" s="1664" t="s">
        <v>1955</v>
      </c>
      <c r="D17" s="1681">
        <v>69229</v>
      </c>
      <c r="E17" s="1681">
        <v>58271</v>
      </c>
      <c r="F17" s="1681"/>
      <c r="G17" s="1681">
        <v>61924</v>
      </c>
      <c r="H17" s="1681"/>
      <c r="I17" s="1681"/>
      <c r="J17" s="1675"/>
      <c r="K17" s="2416" t="str">
        <f>CONCATENATE(K16,L16,M16,N16,O16,P16,Q16,R16,S16,T16,,U16)</f>
        <v>住宅2089年7月15日、商业2059年7月15日地下车库2069年7月15日</v>
      </c>
      <c r="L17" s="1704"/>
      <c r="M17" s="1704"/>
      <c r="N17" s="1675"/>
      <c r="O17" s="1676"/>
      <c r="P17" s="1675"/>
      <c r="Q17" s="1675"/>
      <c r="R17" s="1675"/>
      <c r="S17" s="1675"/>
      <c r="T17" s="1675"/>
      <c r="U17" s="1675"/>
    </row>
    <row r="18" spans="1:21">
      <c r="A18" s="1744"/>
      <c r="B18" s="1663"/>
      <c r="C18" s="1664" t="s">
        <v>1956</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2" t="s">
        <v>1957</v>
      </c>
      <c r="D19" s="1739">
        <f>IF(B16="出让",IF(D17="","",ROUNDDOWN(MIN((D17-$D$3)/365,D18),2)),D18)</f>
        <v>69.760000000000005</v>
      </c>
      <c r="E19" s="1666">
        <f>IF(B16="出让",IF(E17="","",ROUNDDOWN(MIN((E17-$D$3)/365,E18),2)),E18)</f>
        <v>39.74</v>
      </c>
      <c r="F19" s="1666" t="str">
        <f>IF(B16="出让",IF(F17="","",ROUNDDOWN(MIN((F17-$D$3)/365,F18),2)),F18)</f>
        <v/>
      </c>
      <c r="G19" s="1666">
        <f>IF(B16="出让",IF(G17="","",ROUNDDOWN(MIN((G17-$D$3)/365,G18),2)),G18)</f>
        <v>49.75</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10"/>
      <c r="E20" s="3311"/>
      <c r="F20" s="3311"/>
      <c r="G20" s="3311"/>
      <c r="H20" s="3311"/>
      <c r="I20" s="3312"/>
      <c r="J20" s="1675"/>
      <c r="K20" s="1755"/>
      <c r="L20" s="1704"/>
      <c r="M20" s="1704"/>
      <c r="N20" s="1675"/>
      <c r="O20" s="1676"/>
      <c r="P20" s="1675"/>
      <c r="Q20" s="1675"/>
      <c r="R20" s="1675"/>
      <c r="S20" s="1675"/>
      <c r="T20" s="1675"/>
      <c r="U20" s="1675"/>
    </row>
    <row r="21" spans="1:21">
      <c r="A21" s="1744" t="s">
        <v>1958</v>
      </c>
      <c r="B21" s="1745" t="s">
        <v>1959</v>
      </c>
      <c r="C21" s="1740">
        <f>'数据-汇总表'!E3</f>
        <v>140701.99</v>
      </c>
      <c r="D21" s="1741" t="s">
        <v>1960</v>
      </c>
      <c r="E21" s="3300" t="s">
        <v>1997</v>
      </c>
      <c r="F21" s="3301"/>
      <c r="G21" s="3301"/>
      <c r="H21" s="3301"/>
      <c r="I21" s="3302"/>
      <c r="J21" s="1675"/>
      <c r="K21" s="1755"/>
      <c r="L21" s="1704"/>
      <c r="M21" s="1704"/>
      <c r="N21" s="1675"/>
      <c r="O21" s="1676"/>
      <c r="P21" s="1675"/>
      <c r="Q21" s="1675"/>
      <c r="R21" s="1675"/>
      <c r="S21" s="1675"/>
      <c r="T21" s="1675"/>
      <c r="U21" s="1675"/>
    </row>
    <row r="22" spans="1:21">
      <c r="A22" s="3093" t="s">
        <v>952</v>
      </c>
      <c r="B22" s="1643" t="s">
        <v>1961</v>
      </c>
      <c r="C22" s="1667">
        <f>'数据-汇总表'!D3</f>
        <v>36905.32</v>
      </c>
      <c r="D22" s="1668" t="s">
        <v>1960</v>
      </c>
      <c r="E22" s="3300" t="s">
        <v>2888</v>
      </c>
      <c r="F22" s="3301"/>
      <c r="G22" s="3301"/>
      <c r="H22" s="3301"/>
      <c r="I22" s="3302"/>
      <c r="J22" s="1675"/>
      <c r="K22" s="1755"/>
      <c r="L22" s="1704"/>
      <c r="M22" s="1704"/>
      <c r="N22" s="1675"/>
      <c r="O22" s="1676"/>
      <c r="P22" s="1675"/>
      <c r="Q22" s="1675"/>
      <c r="R22" s="1675"/>
      <c r="S22" s="1675"/>
      <c r="T22" s="1675"/>
      <c r="U22" s="1675"/>
    </row>
    <row r="23" spans="1:21" ht="43.5" thickBot="1">
      <c r="A23" s="1746" t="s">
        <v>1962</v>
      </c>
      <c r="B23" s="1682" t="s">
        <v>1963</v>
      </c>
      <c r="C23" s="1683" t="s">
        <v>3186</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303" t="s">
        <v>1966</v>
      </c>
      <c r="C24" s="3304"/>
      <c r="D24" s="3305" t="s">
        <v>1967</v>
      </c>
      <c r="E24" s="3306"/>
      <c r="F24" s="1689" t="s">
        <v>1968</v>
      </c>
      <c r="G24" s="1675"/>
      <c r="H24" s="1675"/>
      <c r="I24" s="1688"/>
      <c r="J24" s="1675"/>
      <c r="K24" s="3291" t="s">
        <v>1969</v>
      </c>
      <c r="L24" s="2418"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04"/>
      <c r="N24" s="1675"/>
      <c r="O24" s="1676"/>
      <c r="P24" s="1675"/>
      <c r="Q24" s="1675"/>
      <c r="R24" s="1675"/>
      <c r="S24" s="1675"/>
      <c r="T24" s="1675"/>
      <c r="U24" s="1675"/>
    </row>
    <row r="25" spans="1:21" ht="28.5">
      <c r="A25" s="1732"/>
      <c r="B25" s="1729" t="s">
        <v>2324</v>
      </c>
      <c r="C25" s="1690" t="s">
        <v>1970</v>
      </c>
      <c r="D25" s="1691"/>
      <c r="E25" s="1692"/>
      <c r="F25" s="1693"/>
      <c r="G25" s="1675"/>
      <c r="H25" s="1675"/>
      <c r="I25" s="1688"/>
      <c r="J25" s="1675"/>
      <c r="K25" s="329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2"/>
      <c r="E26" s="1642"/>
      <c r="F26" s="1669"/>
      <c r="G26" s="1675"/>
      <c r="H26" s="1675"/>
      <c r="I26" s="1688"/>
      <c r="J26" s="1675"/>
      <c r="K26" s="329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318" t="s">
        <v>2000</v>
      </c>
      <c r="B31" s="1745" t="s">
        <v>2001</v>
      </c>
      <c r="C31" s="3316" t="s">
        <v>3211</v>
      </c>
      <c r="D31" s="3317"/>
      <c r="E31" s="1675"/>
      <c r="F31" s="1675"/>
      <c r="G31" s="1675"/>
      <c r="H31" s="1675"/>
      <c r="I31" s="1688"/>
      <c r="J31" s="1675"/>
      <c r="K31" s="2419"/>
      <c r="L31" s="1675"/>
      <c r="M31" s="1675"/>
      <c r="N31" s="1675"/>
      <c r="O31" s="1675"/>
      <c r="P31" s="1675"/>
      <c r="Q31" s="1675"/>
      <c r="R31" s="1675"/>
      <c r="S31" s="1675"/>
      <c r="T31" s="1675"/>
      <c r="U31" s="1675"/>
    </row>
    <row r="32" spans="1:21">
      <c r="A32" s="3318"/>
      <c r="B32" s="1643" t="s">
        <v>2002</v>
      </c>
      <c r="C32" s="1700"/>
      <c r="D32" s="1701"/>
      <c r="E32" s="1675"/>
      <c r="F32" s="1675"/>
      <c r="G32" s="1675"/>
      <c r="H32" s="1675"/>
      <c r="I32" s="1688"/>
      <c r="J32" s="1675"/>
      <c r="K32" s="2419"/>
      <c r="L32" s="1675"/>
      <c r="M32" s="1675"/>
      <c r="N32" s="1675"/>
      <c r="O32" s="1675"/>
      <c r="P32" s="1675"/>
      <c r="Q32" s="1675"/>
      <c r="R32" s="1675"/>
      <c r="S32" s="1675"/>
      <c r="T32" s="1675"/>
      <c r="U32" s="1675"/>
    </row>
    <row r="33" spans="1:21">
      <c r="A33" s="3318"/>
      <c r="B33" s="1643" t="s">
        <v>2003</v>
      </c>
      <c r="C33" s="1702"/>
      <c r="D33" s="1819"/>
      <c r="E33" s="1675"/>
      <c r="F33" s="1675"/>
      <c r="G33" s="1675"/>
      <c r="H33" s="1675"/>
      <c r="I33" s="1688"/>
      <c r="J33" s="1675"/>
      <c r="K33" s="2419"/>
      <c r="L33" s="1675"/>
      <c r="M33" s="1675"/>
      <c r="N33" s="1675"/>
      <c r="O33" s="1675"/>
      <c r="P33" s="1675"/>
      <c r="Q33" s="1675"/>
      <c r="R33" s="1675"/>
      <c r="S33" s="1675"/>
      <c r="T33" s="1675"/>
      <c r="U33" s="1675"/>
    </row>
    <row r="34" spans="1:21">
      <c r="A34" s="3319"/>
      <c r="B34" s="1643" t="s">
        <v>2004</v>
      </c>
      <c r="C34" s="3320"/>
      <c r="D34" s="3321"/>
      <c r="E34" s="1675"/>
      <c r="F34" s="1675"/>
      <c r="G34" s="1675"/>
      <c r="H34" s="1675"/>
      <c r="I34" s="1688"/>
      <c r="J34" s="1675"/>
      <c r="K34" s="2419"/>
      <c r="L34" s="1675"/>
      <c r="M34" s="1675"/>
      <c r="N34" s="1675"/>
      <c r="O34" s="1675"/>
      <c r="P34" s="1675"/>
      <c r="Q34" s="1675"/>
      <c r="R34" s="1675"/>
      <c r="S34" s="1675"/>
      <c r="T34" s="1675"/>
      <c r="U34" s="1675"/>
    </row>
    <row r="35" spans="1:21" ht="28.5">
      <c r="A35" s="3322" t="s">
        <v>847</v>
      </c>
      <c r="B35" s="1703" t="s">
        <v>3210</v>
      </c>
      <c r="C35" s="1757" t="str">
        <f>IF(B35="场地平整","——","具体情况：")</f>
        <v>具体情况：</v>
      </c>
      <c r="D35" s="3324"/>
      <c r="E35" s="3325"/>
      <c r="F35" s="3325"/>
      <c r="G35" s="3325"/>
      <c r="H35" s="3325"/>
      <c r="I35" s="3326"/>
      <c r="J35" s="1675"/>
      <c r="K35" s="1756"/>
      <c r="L35" s="1704"/>
      <c r="M35" s="1704"/>
      <c r="N35" s="1675"/>
      <c r="O35" s="1676"/>
      <c r="P35" s="1675"/>
      <c r="Q35" s="1675"/>
      <c r="R35" s="1675"/>
      <c r="S35" s="1675"/>
      <c r="T35" s="1675"/>
      <c r="U35" s="1675"/>
    </row>
    <row r="36" spans="1:21">
      <c r="A36" s="3318"/>
      <c r="B36" s="3327" t="s">
        <v>2053</v>
      </c>
      <c r="C36" s="3328"/>
      <c r="D36" s="1773" t="s">
        <v>3209</v>
      </c>
      <c r="E36" s="3329"/>
      <c r="F36" s="3329"/>
      <c r="G36" s="1668" t="str">
        <f>IF(B35="场地未平整","估价结果处理","")</f>
        <v/>
      </c>
      <c r="H36" s="3330"/>
      <c r="I36" s="3330"/>
      <c r="J36" s="1675"/>
      <c r="K36" s="1756"/>
      <c r="L36" s="1704"/>
      <c r="M36" s="1704"/>
      <c r="N36" s="1675"/>
      <c r="O36" s="1676"/>
      <c r="P36" s="1675"/>
      <c r="Q36" s="1675"/>
      <c r="R36" s="1675"/>
      <c r="S36" s="1675"/>
      <c r="T36" s="1675"/>
      <c r="U36" s="1675"/>
    </row>
    <row r="37" spans="1:21" ht="28.5">
      <c r="A37" s="3318"/>
      <c r="B37" s="3307"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318"/>
      <c r="B38" s="3308"/>
      <c r="C38" s="1651" t="s">
        <v>850</v>
      </c>
      <c r="D38" s="1772">
        <f>ROUNDDOWN(MIN(('数据-取费表'!$B$2-D37)/365,D34),1)</f>
        <v>119.8</v>
      </c>
      <c r="E38" s="1708" t="s">
        <v>851</v>
      </c>
      <c r="F38" s="1675"/>
      <c r="G38" s="1675"/>
      <c r="H38" s="1675"/>
      <c r="I38" s="1688"/>
      <c r="J38" s="1675"/>
      <c r="K38" s="1756"/>
      <c r="L38" s="1675"/>
      <c r="M38" s="1675"/>
      <c r="N38" s="1675"/>
      <c r="O38" s="1675"/>
      <c r="P38" s="1675"/>
      <c r="Q38" s="1675"/>
      <c r="R38" s="1675"/>
      <c r="S38" s="1675"/>
      <c r="T38" s="1675"/>
      <c r="U38" s="1675"/>
    </row>
    <row r="39" spans="1:21">
      <c r="A39" s="3319"/>
      <c r="B39" s="3309"/>
      <c r="C39" s="1678" t="str">
        <f>IF(D38&lt;1,"不存在土地闲置",IF(B35="宗地内已开工建设","已开工，不存在土地闲置","估价对象已涉嫌土地闲置"))</f>
        <v>已开工，不存在土地闲置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3203</v>
      </c>
      <c r="C40" s="1671" t="s">
        <v>3204</v>
      </c>
      <c r="D40" s="1671" t="s">
        <v>3205</v>
      </c>
      <c r="E40" s="1671" t="s">
        <v>3206</v>
      </c>
      <c r="F40" s="1671" t="s">
        <v>3207</v>
      </c>
      <c r="G40" s="1671" t="s">
        <v>3208</v>
      </c>
      <c r="H40" s="1671" t="s">
        <v>952</v>
      </c>
      <c r="I40" s="1688"/>
      <c r="J40" s="1675"/>
      <c r="K40" s="1711">
        <f>COUNTIF(B40:H40,"——")</f>
        <v>1</v>
      </c>
      <c r="L40" s="1680" t="s">
        <v>1977</v>
      </c>
      <c r="M40" s="1677" t="s">
        <v>1978</v>
      </c>
      <c r="N40" s="1677" t="s">
        <v>1979</v>
      </c>
      <c r="O40" s="1677" t="s">
        <v>1980</v>
      </c>
      <c r="P40" s="1677" t="s">
        <v>1981</v>
      </c>
      <c r="Q40" s="1677" t="s">
        <v>1982</v>
      </c>
      <c r="R40" s="1677" t="s">
        <v>1983</v>
      </c>
      <c r="S40" s="3290" t="s">
        <v>1984</v>
      </c>
      <c r="T40" s="1712" t="str">
        <f>NUMBERSTRING(7-K40,1)&amp;"通"</f>
        <v>六通</v>
      </c>
      <c r="U40" s="1675"/>
    </row>
    <row r="41" spans="1:21">
      <c r="A41" s="1645"/>
      <c r="B41" s="3323" t="s">
        <v>1721</v>
      </c>
      <c r="C41" s="3323"/>
      <c r="D41" s="3323"/>
      <c r="E41" s="3323"/>
      <c r="F41" s="1713" t="str">
        <f>C10</f>
        <v>云南省</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通路、通电、通讯、通上水、通下水、燃气</v>
      </c>
      <c r="R41" s="1715" t="str">
        <f>B40&amp;"、"&amp;C40&amp;"、"&amp;D40&amp;"、"&amp;E40&amp;"、"&amp;F40&amp;"、"&amp;G40&amp;"、"&amp;H40</f>
        <v>通路、通电、通讯、通上水、通下水、燃气、——</v>
      </c>
      <c r="S41" s="3290"/>
      <c r="T41" s="1714" t="str">
        <f>IF(T40="一通",L41,IF(T40="二通",M41,IF(T40="三通",N41,IF(T40="四通",O41,IF(T40="五通",P41,IF(T40="六通",Q41,R41))))))</f>
        <v>通路、通电、通讯、通上水、通下水、燃气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2889</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H13" sqref="AH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2331</v>
      </c>
      <c r="BA2" s="2322" t="s">
        <v>2330</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抵押物汇总!K5</f>
        <v>36905.32</v>
      </c>
      <c r="B3" s="22">
        <f>IF(C3="否",G5-AT5,G5)</f>
        <v>140701.99</v>
      </c>
      <c r="C3" s="23" t="s">
        <v>3186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148814.49</v>
      </c>
      <c r="H5" s="27">
        <f t="shared" ref="H5:AT5" si="0">SUM(H13:H641)</f>
        <v>131649.16999999998</v>
      </c>
      <c r="I5" s="27">
        <f t="shared" si="0"/>
        <v>102713.52</v>
      </c>
      <c r="J5" s="27">
        <f t="shared" si="0"/>
        <v>0</v>
      </c>
      <c r="K5" s="27">
        <f t="shared" si="0"/>
        <v>0</v>
      </c>
      <c r="L5" s="27">
        <f t="shared" si="0"/>
        <v>0</v>
      </c>
      <c r="M5" s="27">
        <f t="shared" si="0"/>
        <v>2594.0100000000002</v>
      </c>
      <c r="N5" s="27">
        <f t="shared" si="0"/>
        <v>0</v>
      </c>
      <c r="O5" s="27">
        <f t="shared" si="0"/>
        <v>26341.64</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9052.82</v>
      </c>
      <c r="AD5" s="27">
        <f t="shared" si="0"/>
        <v>5124.8099999999995</v>
      </c>
      <c r="AE5" s="27">
        <f t="shared" si="0"/>
        <v>0</v>
      </c>
      <c r="AF5" s="27">
        <f t="shared" si="0"/>
        <v>860.29</v>
      </c>
      <c r="AG5" s="27">
        <f t="shared" si="0"/>
        <v>0</v>
      </c>
      <c r="AH5" s="27">
        <f t="shared" si="0"/>
        <v>168.33</v>
      </c>
      <c r="AI5" s="27">
        <f t="shared" si="0"/>
        <v>0</v>
      </c>
      <c r="AJ5" s="27">
        <f t="shared" si="0"/>
        <v>167.24</v>
      </c>
      <c r="AK5" s="27">
        <f t="shared" si="0"/>
        <v>0</v>
      </c>
      <c r="AL5" s="27">
        <f t="shared" si="0"/>
        <v>108.52</v>
      </c>
      <c r="AM5" s="27">
        <f t="shared" si="0"/>
        <v>0</v>
      </c>
      <c r="AN5" s="27">
        <f t="shared" si="0"/>
        <v>2623.63</v>
      </c>
      <c r="AO5" s="27">
        <f t="shared" si="0"/>
        <v>0</v>
      </c>
      <c r="AP5" s="27">
        <f t="shared" si="0"/>
        <v>0</v>
      </c>
      <c r="AQ5" s="27">
        <f t="shared" si="0"/>
        <v>0</v>
      </c>
      <c r="AR5" s="27">
        <f t="shared" si="0"/>
        <v>0</v>
      </c>
      <c r="AS5" s="27">
        <f t="shared" si="0"/>
        <v>0</v>
      </c>
      <c r="AT5" s="27">
        <f t="shared" si="0"/>
        <v>8112.5</v>
      </c>
      <c r="AU5" s="986"/>
      <c r="AV5" s="26" t="s">
        <v>168</v>
      </c>
      <c r="AW5" s="987"/>
      <c r="AX5" s="987"/>
      <c r="AY5" s="28" t="s">
        <v>3</v>
      </c>
      <c r="AZ5" s="29">
        <f t="shared" ref="AZ5:BT5" si="1">SUM(AZ13:AZ641)</f>
        <v>140701.99</v>
      </c>
      <c r="BA5" s="29">
        <f t="shared" si="1"/>
        <v>131649.16999999998</v>
      </c>
      <c r="BB5" s="29">
        <f t="shared" si="1"/>
        <v>102713.52</v>
      </c>
      <c r="BC5" s="29">
        <f t="shared" si="1"/>
        <v>0</v>
      </c>
      <c r="BD5" s="29">
        <f t="shared" si="1"/>
        <v>2594.0100000000002</v>
      </c>
      <c r="BE5" s="29">
        <f t="shared" si="1"/>
        <v>26341.64</v>
      </c>
      <c r="BF5" s="29">
        <f t="shared" si="1"/>
        <v>0</v>
      </c>
      <c r="BG5" s="29">
        <f t="shared" si="1"/>
        <v>0</v>
      </c>
      <c r="BH5" s="29">
        <f t="shared" si="1"/>
        <v>0</v>
      </c>
      <c r="BI5" s="29">
        <f t="shared" si="1"/>
        <v>0</v>
      </c>
      <c r="BJ5" s="29">
        <f t="shared" si="1"/>
        <v>0</v>
      </c>
      <c r="BK5" s="29">
        <f t="shared" si="1"/>
        <v>0</v>
      </c>
      <c r="BL5" s="29">
        <f t="shared" si="1"/>
        <v>9052.82</v>
      </c>
      <c r="BM5" s="29">
        <f t="shared" si="1"/>
        <v>5124.8099999999995</v>
      </c>
      <c r="BN5" s="29">
        <f t="shared" si="1"/>
        <v>860.29</v>
      </c>
      <c r="BO5" s="29">
        <f t="shared" si="1"/>
        <v>168.33</v>
      </c>
      <c r="BP5" s="29">
        <f t="shared" si="1"/>
        <v>167.24</v>
      </c>
      <c r="BQ5" s="29">
        <f t="shared" si="1"/>
        <v>108.52</v>
      </c>
      <c r="BR5" s="29">
        <f t="shared" si="1"/>
        <v>2623.63</v>
      </c>
      <c r="BS5" s="29">
        <f t="shared" si="1"/>
        <v>0</v>
      </c>
      <c r="BT5" s="30">
        <f t="shared" si="1"/>
        <v>0</v>
      </c>
    </row>
    <row r="6" spans="1:72" s="37" customFormat="1" ht="12.75">
      <c r="A6" s="26" t="s">
        <v>169</v>
      </c>
      <c r="B6" s="31"/>
      <c r="C6" s="31"/>
      <c r="D6" s="32"/>
      <c r="E6" s="27">
        <f>H6+AC6+AT6</f>
        <v>36905.31</v>
      </c>
      <c r="F6" s="27" t="s">
        <v>1</v>
      </c>
      <c r="G6" s="27" t="s">
        <v>2</v>
      </c>
      <c r="H6" s="33">
        <f>SUMIF(I$12:AB$12,"总值",I6:AB6)</f>
        <v>34530.81</v>
      </c>
      <c r="I6" s="27">
        <f t="shared" ref="I6:AB6" si="2">ROUND($A$3*I5/$B$3,2)</f>
        <v>26941.16</v>
      </c>
      <c r="J6" s="27">
        <f t="shared" si="2"/>
        <v>0</v>
      </c>
      <c r="K6" s="27">
        <f t="shared" si="2"/>
        <v>0</v>
      </c>
      <c r="L6" s="27">
        <f t="shared" si="2"/>
        <v>0</v>
      </c>
      <c r="M6" s="27">
        <f t="shared" si="2"/>
        <v>680.39</v>
      </c>
      <c r="N6" s="27">
        <f t="shared" si="2"/>
        <v>0</v>
      </c>
      <c r="O6" s="27">
        <f t="shared" si="2"/>
        <v>6909.26</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2374.5</v>
      </c>
      <c r="AD6" s="27">
        <f t="shared" ref="AD6:AS6" si="3">ROUND($A$3*AD5/$B$3,2)</f>
        <v>1344.21</v>
      </c>
      <c r="AE6" s="27">
        <f t="shared" si="3"/>
        <v>0</v>
      </c>
      <c r="AF6" s="27">
        <f t="shared" si="3"/>
        <v>225.65</v>
      </c>
      <c r="AG6" s="27">
        <f t="shared" si="3"/>
        <v>0</v>
      </c>
      <c r="AH6" s="27">
        <f t="shared" si="3"/>
        <v>44.15</v>
      </c>
      <c r="AI6" s="27">
        <f t="shared" si="3"/>
        <v>0</v>
      </c>
      <c r="AJ6" s="27">
        <f t="shared" si="3"/>
        <v>43.87</v>
      </c>
      <c r="AK6" s="27">
        <f t="shared" si="3"/>
        <v>0</v>
      </c>
      <c r="AL6" s="27">
        <f t="shared" si="3"/>
        <v>28.46</v>
      </c>
      <c r="AM6" s="27">
        <f t="shared" si="3"/>
        <v>0</v>
      </c>
      <c r="AN6" s="27">
        <f t="shared" si="3"/>
        <v>688.16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36905.32</v>
      </c>
      <c r="AZ6" s="27" t="s">
        <v>3</v>
      </c>
      <c r="BA6" s="27">
        <f>ROUND($AY$6*BA5/$AZ$5,2)</f>
        <v>34530.82</v>
      </c>
      <c r="BB6" s="27">
        <f>ROUND($AY$6*BB5/$AZ$5,2)</f>
        <v>26941.16</v>
      </c>
      <c r="BC6" s="27">
        <f t="shared" ref="BC6:BH6" si="4">ROUND($AY$6*BC5/$AZ$5,2)</f>
        <v>0</v>
      </c>
      <c r="BD6" s="27">
        <f t="shared" si="4"/>
        <v>680.39</v>
      </c>
      <c r="BE6" s="27">
        <f t="shared" si="4"/>
        <v>6909.26</v>
      </c>
      <c r="BF6" s="27">
        <f t="shared" si="4"/>
        <v>0</v>
      </c>
      <c r="BG6" s="27">
        <f t="shared" si="4"/>
        <v>0</v>
      </c>
      <c r="BH6" s="27">
        <f t="shared" si="4"/>
        <v>0</v>
      </c>
      <c r="BI6" s="27">
        <f t="shared" ref="BI6:BT6" si="5">ROUND($AY$6*BI5/$AZ$5,2)</f>
        <v>0</v>
      </c>
      <c r="BJ6" s="27">
        <f t="shared" si="5"/>
        <v>0</v>
      </c>
      <c r="BK6" s="27">
        <f t="shared" si="5"/>
        <v>0</v>
      </c>
      <c r="BL6" s="27">
        <f t="shared" si="5"/>
        <v>2374.5</v>
      </c>
      <c r="BM6" s="27">
        <f t="shared" si="5"/>
        <v>1344.21</v>
      </c>
      <c r="BN6" s="27">
        <f t="shared" si="5"/>
        <v>225.65</v>
      </c>
      <c r="BO6" s="27">
        <f t="shared" si="5"/>
        <v>44.15</v>
      </c>
      <c r="BP6" s="27">
        <f t="shared" si="5"/>
        <v>43.87</v>
      </c>
      <c r="BQ6" s="27">
        <f t="shared" si="5"/>
        <v>28.46</v>
      </c>
      <c r="BR6" s="27">
        <f t="shared" si="5"/>
        <v>688.16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3153</v>
      </c>
      <c r="J9" s="51"/>
      <c r="K9" s="2968" t="s">
        <v>3153</v>
      </c>
      <c r="L9" s="51"/>
      <c r="M9" s="2968" t="s">
        <v>3153</v>
      </c>
      <c r="N9" s="51"/>
      <c r="O9" s="59" t="s">
        <v>3160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923</v>
      </c>
      <c r="J10" s="51"/>
      <c r="K10" s="2968" t="s">
        <v>923</v>
      </c>
      <c r="L10" s="51"/>
      <c r="M10" s="2970" t="s">
        <v>3145</v>
      </c>
      <c r="N10" s="51"/>
      <c r="O10" s="66" t="s">
        <v>3171</v>
      </c>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2329</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6" t="s">
        <v>2328</v>
      </c>
      <c r="AE11" s="1000"/>
      <c r="AF11" s="2316" t="s">
        <v>2328</v>
      </c>
      <c r="AG11" s="1000"/>
      <c r="AH11" s="2316" t="s">
        <v>2327</v>
      </c>
      <c r="AI11" s="2317"/>
      <c r="AJ11" s="2316" t="s">
        <v>2327</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1678</v>
      </c>
      <c r="E13" s="27">
        <f t="shared" ref="E13:E20" si="6">IF($C$3="是",ROUND($A$3*G13/$B$3,2),ROUND($A$3*(G13-AT13)/$B$3,2))</f>
        <v>36905.32</v>
      </c>
      <c r="F13" s="81"/>
      <c r="G13" s="82">
        <f t="shared" ref="G13:G20" si="7">H13+AC13+AT13</f>
        <v>148814.49</v>
      </c>
      <c r="H13" s="33">
        <f t="shared" ref="H13:H20" si="8">SUMIF(I$12:AB$12,"总值",I13:AB13)</f>
        <v>131649.16999999998</v>
      </c>
      <c r="I13" s="2967">
        <f>规划!K4</f>
        <v>102713.52</v>
      </c>
      <c r="J13" s="2967"/>
      <c r="K13" s="2967"/>
      <c r="L13" s="2967"/>
      <c r="M13" s="2967">
        <f>规划!K6</f>
        <v>2594.0100000000002</v>
      </c>
      <c r="N13" s="83"/>
      <c r="O13" s="83">
        <f>规划!K11</f>
        <v>26341.64</v>
      </c>
      <c r="P13" s="83"/>
      <c r="Q13" s="83"/>
      <c r="R13" s="83"/>
      <c r="S13" s="83"/>
      <c r="T13" s="83"/>
      <c r="U13" s="83"/>
      <c r="V13" s="83"/>
      <c r="W13" s="83"/>
      <c r="X13" s="83"/>
      <c r="Y13" s="83"/>
      <c r="Z13" s="83"/>
      <c r="AA13" s="83"/>
      <c r="AB13" s="83"/>
      <c r="AC13" s="27">
        <f t="shared" ref="AC13:AC20" si="9">SUMIF(AD$12:AS$12,"总值",AD13:AS13)</f>
        <v>9052.82</v>
      </c>
      <c r="AD13" s="2971">
        <f>规划!K8</f>
        <v>5124.8099999999995</v>
      </c>
      <c r="AE13" s="2971"/>
      <c r="AF13" s="2971">
        <f>规划!N15+规划!N14+规划!N13</f>
        <v>860.29</v>
      </c>
      <c r="AG13" s="2971"/>
      <c r="AH13" s="2971">
        <f>规划!K7</f>
        <v>168.33</v>
      </c>
      <c r="AI13" s="2971"/>
      <c r="AJ13" s="2971">
        <f>规划!N12</f>
        <v>167.24</v>
      </c>
      <c r="AK13" s="2971"/>
      <c r="AL13" s="2971">
        <f>规划!K9</f>
        <v>108.52</v>
      </c>
      <c r="AM13" s="2971"/>
      <c r="AN13" s="2971">
        <f>规划!N10+规划!N11</f>
        <v>2623.63</v>
      </c>
      <c r="AO13" s="2971"/>
      <c r="AP13" s="2971"/>
      <c r="AQ13" s="2971"/>
      <c r="AR13" s="2971"/>
      <c r="AS13" s="2971"/>
      <c r="AT13" s="2972">
        <f>规划!K17</f>
        <v>8112.5</v>
      </c>
      <c r="AU13" s="2973"/>
      <c r="AV13" s="17">
        <f t="shared" ref="AV13:AX20" si="10">A13</f>
        <v>0</v>
      </c>
      <c r="AW13" s="17">
        <f t="shared" si="10"/>
        <v>0</v>
      </c>
      <c r="AX13" s="17">
        <f t="shared" si="10"/>
        <v>0</v>
      </c>
      <c r="AY13" s="994">
        <f t="shared" ref="AY13:AY20" si="11">ROUND($AY$6*AZ13/$AZ$5,2)</f>
        <v>36905.32</v>
      </c>
      <c r="AZ13" s="27">
        <f t="shared" ref="AZ13:AZ20" si="12">BA13+BL13</f>
        <v>140701.99</v>
      </c>
      <c r="BA13" s="27">
        <f t="shared" ref="BA13:BA20" si="13">SUM(BB13:BK13)</f>
        <v>131649.16999999998</v>
      </c>
      <c r="BB13" s="27">
        <f t="shared" ref="BB13:BB20" si="14">IF($D13="是",I13-J13,0)</f>
        <v>102713.52</v>
      </c>
      <c r="BC13" s="27">
        <f t="shared" ref="BC13:BC20" si="15">IF($D13="是",K13-L13,0)</f>
        <v>0</v>
      </c>
      <c r="BD13" s="27">
        <f t="shared" ref="BD13:BD20" si="16">IF($D13="是",M13-N13,0)</f>
        <v>2594.0100000000002</v>
      </c>
      <c r="BE13" s="27">
        <f t="shared" ref="BE13:BE20" si="17">IF($D13="是",O13-P13,0)</f>
        <v>26341.64</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9052.82</v>
      </c>
      <c r="BM13" s="27">
        <f t="shared" ref="BM13:BM20" si="25">IF($D13="是",AD13-AE13,0)</f>
        <v>5124.8099999999995</v>
      </c>
      <c r="BN13" s="27">
        <f t="shared" ref="BN13:BN20" si="26">IF($D13="是",AF13-AG13,0)</f>
        <v>860.29</v>
      </c>
      <c r="BO13" s="27">
        <f t="shared" ref="BO13:BO20" si="27">IF($D13="是",AH13-AI13,0)</f>
        <v>168.33</v>
      </c>
      <c r="BP13" s="27">
        <f t="shared" ref="BP13:BP20" si="28">IF($D13="是",AJ13-AK13,0)</f>
        <v>167.24</v>
      </c>
      <c r="BQ13" s="27">
        <f t="shared" ref="BQ13:BQ20" si="29">IF($D13="是",AL13-AM13,0)</f>
        <v>108.52</v>
      </c>
      <c r="BR13" s="27">
        <f t="shared" ref="BR13:BR20" si="30">IF($D13="是",AN13-AO13,0)</f>
        <v>2623.63</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1" t="s">
        <v>0</v>
      </c>
      <c r="B1" s="3331" t="s">
        <v>4</v>
      </c>
      <c r="C1" s="3331" t="s">
        <v>5</v>
      </c>
      <c r="D1" s="3332" t="s">
        <v>40</v>
      </c>
      <c r="E1" s="3332" t="s">
        <v>41</v>
      </c>
      <c r="F1" s="3332"/>
      <c r="G1" s="3332"/>
      <c r="H1" s="3332"/>
      <c r="I1" s="3332"/>
      <c r="J1" s="3332"/>
      <c r="K1" s="3332"/>
      <c r="L1" s="3332"/>
      <c r="M1" s="3332"/>
    </row>
    <row r="2" spans="1:13" ht="27" customHeight="1">
      <c r="A2" s="3331"/>
      <c r="B2" s="3331"/>
      <c r="C2" s="3331"/>
      <c r="D2" s="3332"/>
      <c r="E2" s="3332" t="s">
        <v>24</v>
      </c>
      <c r="F2" s="3332" t="s">
        <v>25</v>
      </c>
      <c r="G2" s="3332"/>
      <c r="H2" s="3332"/>
      <c r="I2" s="3332"/>
      <c r="J2" s="3332" t="s">
        <v>26</v>
      </c>
      <c r="K2" s="3332"/>
      <c r="L2" s="3332"/>
      <c r="M2" s="3332"/>
    </row>
    <row r="3" spans="1:13" ht="28.5">
      <c r="A3" s="3331"/>
      <c r="B3" s="3331"/>
      <c r="C3" s="3331"/>
      <c r="D3" s="3332"/>
      <c r="E3" s="33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2" t="s">
        <v>42</v>
      </c>
      <c r="B9" s="3332"/>
      <c r="C9" s="33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topLeftCell="G1" workbookViewId="0">
      <selection activeCell="P16" sqref="P16:T24"/>
    </sheetView>
  </sheetViews>
  <sheetFormatPr defaultRowHeight="14.25"/>
  <cols>
    <col min="1" max="1" width="1.125" style="3191" customWidth="1"/>
    <col min="2" max="3" width="5.875" style="3191" customWidth="1"/>
    <col min="4" max="4" width="16" style="3191" customWidth="1"/>
    <col min="5" max="5" width="11" style="3191" customWidth="1"/>
    <col min="6" max="6" width="7.25" style="3191" customWidth="1"/>
    <col min="7" max="7" width="20.375" style="3191" customWidth="1"/>
    <col min="8" max="8" width="14" style="3191" customWidth="1"/>
    <col min="9" max="9" width="9.875" style="3191" hidden="1" customWidth="1"/>
    <col min="10" max="10" width="7.625" style="3191" customWidth="1"/>
    <col min="11" max="11" width="9" style="3191" customWidth="1"/>
    <col min="12" max="12" width="11.875" style="3191" customWidth="1"/>
    <col min="13" max="14" width="10.5" style="3191" customWidth="1"/>
    <col min="15" max="15" width="11" style="3191" customWidth="1"/>
    <col min="16" max="16" width="10.625" style="3191" bestFit="1" customWidth="1"/>
    <col min="17" max="17" width="9" style="3191"/>
    <col min="18" max="18" width="9" style="3187"/>
    <col min="19" max="19" width="11.5" style="3187" customWidth="1"/>
    <col min="20" max="16384" width="9" style="3187"/>
  </cols>
  <sheetData>
    <row r="1" spans="2:20" ht="7.5" customHeight="1" thickBot="1"/>
    <row r="2" spans="2:20" ht="18.75" customHeight="1">
      <c r="D2" s="3333" t="s">
        <v>3114</v>
      </c>
      <c r="E2" s="3334"/>
      <c r="F2" s="3334"/>
      <c r="G2" s="3334"/>
      <c r="H2" s="3334"/>
      <c r="I2" s="3334"/>
      <c r="J2" s="3334"/>
      <c r="K2" s="3334"/>
      <c r="L2" s="3334"/>
      <c r="M2" s="3335" t="s">
        <v>3112</v>
      </c>
      <c r="N2" s="3335"/>
      <c r="O2" s="3335"/>
      <c r="P2" s="3335"/>
      <c r="Q2" s="3336"/>
    </row>
    <row r="3" spans="2:20" ht="18.75" customHeight="1" thickBot="1">
      <c r="D3" s="3196" t="s">
        <v>3115</v>
      </c>
      <c r="E3" s="3197" t="s">
        <v>3116</v>
      </c>
      <c r="F3" s="3197" t="s">
        <v>3118</v>
      </c>
      <c r="G3" s="3197" t="s">
        <v>3120</v>
      </c>
      <c r="H3" s="3197" t="s">
        <v>3121</v>
      </c>
      <c r="I3" s="3197" t="s">
        <v>3124</v>
      </c>
      <c r="J3" s="3197" t="s">
        <v>3126</v>
      </c>
      <c r="K3" s="3197" t="s">
        <v>3132</v>
      </c>
      <c r="L3" s="3197" t="s">
        <v>3128</v>
      </c>
      <c r="M3" s="3197" t="s">
        <v>3113</v>
      </c>
      <c r="N3" s="3198" t="s">
        <v>3168</v>
      </c>
      <c r="O3" s="3197" t="s">
        <v>3131</v>
      </c>
      <c r="P3" s="3197" t="s">
        <v>3134</v>
      </c>
      <c r="Q3" s="3199" t="s">
        <v>3135</v>
      </c>
      <c r="S3"/>
      <c r="T3"/>
    </row>
    <row r="4" spans="2:20" ht="40.5" customHeight="1">
      <c r="B4" s="3191" t="s">
        <v>3144</v>
      </c>
      <c r="C4" s="3191" t="s">
        <v>3290</v>
      </c>
      <c r="D4" s="3245" t="s">
        <v>3129</v>
      </c>
      <c r="E4" s="3243" t="s">
        <v>3117</v>
      </c>
      <c r="F4" s="3243" t="s">
        <v>3119</v>
      </c>
      <c r="G4" s="3243" t="s">
        <v>3122</v>
      </c>
      <c r="H4" s="3243" t="s">
        <v>3123</v>
      </c>
      <c r="I4" s="3243" t="s">
        <v>3125</v>
      </c>
      <c r="J4" s="3243" t="s">
        <v>3127</v>
      </c>
      <c r="K4" s="3243">
        <v>36868.65</v>
      </c>
      <c r="L4" s="3243" t="s">
        <v>3140</v>
      </c>
      <c r="M4" s="3243" t="s">
        <v>3130</v>
      </c>
      <c r="N4" s="3244" t="s">
        <v>3170</v>
      </c>
      <c r="O4" s="3243">
        <v>37100</v>
      </c>
      <c r="P4" s="3243">
        <f>ROUND(O4*10000/K4/Q4,0)</f>
        <v>3246</v>
      </c>
      <c r="Q4" s="3246">
        <v>3.1</v>
      </c>
      <c r="S4"/>
      <c r="T4"/>
    </row>
    <row r="5" spans="2:20" ht="40.5" customHeight="1">
      <c r="B5" s="3191" t="s">
        <v>3289</v>
      </c>
      <c r="C5" s="3191" t="s">
        <v>3290</v>
      </c>
      <c r="D5" s="3194" t="s">
        <v>3136</v>
      </c>
      <c r="E5" s="3192" t="s">
        <v>3117</v>
      </c>
      <c r="F5" s="3192" t="s">
        <v>3119</v>
      </c>
      <c r="G5" s="3192" t="s">
        <v>3137</v>
      </c>
      <c r="H5" s="3192" t="s">
        <v>3138</v>
      </c>
      <c r="I5" s="3192" t="s">
        <v>3125</v>
      </c>
      <c r="J5" s="3192" t="s">
        <v>3127</v>
      </c>
      <c r="K5" s="3192">
        <v>36905.32</v>
      </c>
      <c r="L5" s="3192" t="s">
        <v>3140</v>
      </c>
      <c r="M5" s="3192" t="s">
        <v>3141</v>
      </c>
      <c r="N5" s="3193" t="s">
        <v>3169</v>
      </c>
      <c r="O5" s="3192">
        <v>35020</v>
      </c>
      <c r="P5" s="3192">
        <f t="shared" ref="P5" si="0">ROUND(O5*10000/K5/Q5,0)</f>
        <v>3163</v>
      </c>
      <c r="Q5" s="3195">
        <v>3</v>
      </c>
      <c r="S5"/>
      <c r="T5"/>
    </row>
    <row r="6" spans="2:20" ht="40.5" customHeight="1" thickBot="1">
      <c r="B6" s="3187"/>
      <c r="D6" s="3196" t="s">
        <v>3281</v>
      </c>
      <c r="E6" s="3197" t="s">
        <v>3117</v>
      </c>
      <c r="F6" s="3197" t="s">
        <v>3119</v>
      </c>
      <c r="G6" s="3197" t="s">
        <v>3142</v>
      </c>
      <c r="H6" s="3197" t="s">
        <v>3139</v>
      </c>
      <c r="I6" s="3197" t="s">
        <v>3125</v>
      </c>
      <c r="J6" s="3197" t="s">
        <v>3127</v>
      </c>
      <c r="K6" s="3197">
        <v>57983.839999999997</v>
      </c>
      <c r="L6" s="3197" t="s">
        <v>3140</v>
      </c>
      <c r="M6" s="3197" t="s">
        <v>3143</v>
      </c>
      <c r="N6" s="3198" t="s">
        <v>3167</v>
      </c>
      <c r="O6" s="3197">
        <v>46720</v>
      </c>
      <c r="P6" s="3197">
        <f>ROUND(O6*10000/K6/Q6,0)</f>
        <v>3503</v>
      </c>
      <c r="Q6" s="3199">
        <v>2.2999999999999998</v>
      </c>
      <c r="S6"/>
      <c r="T6"/>
    </row>
    <row r="7" spans="2:20">
      <c r="S7"/>
      <c r="T7"/>
    </row>
    <row r="8" spans="2:20">
      <c r="S8"/>
      <c r="T8"/>
    </row>
    <row r="9" spans="2:20">
      <c r="S9"/>
      <c r="T9"/>
    </row>
    <row r="10" spans="2:20">
      <c r="S10"/>
      <c r="T10"/>
    </row>
    <row r="11" spans="2:20">
      <c r="S11"/>
      <c r="T11"/>
    </row>
    <row r="12" spans="2:20">
      <c r="S12"/>
      <c r="T12"/>
    </row>
    <row r="13" spans="2:20">
      <c r="S13"/>
      <c r="T13"/>
    </row>
  </sheetData>
  <mergeCells count="2">
    <mergeCell ref="D2:L2"/>
    <mergeCell ref="M2:Q2"/>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N18"/>
  <sheetViews>
    <sheetView workbookViewId="0">
      <selection activeCell="F19" sqref="F19"/>
    </sheetView>
  </sheetViews>
  <sheetFormatPr defaultRowHeight="13.5"/>
  <cols>
    <col min="1" max="1" width="2" customWidth="1"/>
    <col min="2" max="2" width="12.375" customWidth="1"/>
    <col min="3" max="3" width="15.375" customWidth="1"/>
    <col min="4" max="4" width="13.875" customWidth="1"/>
    <col min="5" max="5" width="1.625" customWidth="1"/>
    <col min="6" max="6" width="16.75" customWidth="1"/>
    <col min="8" max="8" width="1.375" customWidth="1"/>
    <col min="9" max="9" width="12.375" customWidth="1"/>
    <col min="10" max="10" width="15.375" customWidth="1"/>
    <col min="11" max="11" width="13.875" customWidth="1"/>
    <col min="12" max="12" width="1.5" customWidth="1"/>
    <col min="13" max="13" width="18.875" customWidth="1"/>
  </cols>
  <sheetData>
    <row r="1" spans="2:14" ht="12" customHeight="1" thickBot="1"/>
    <row r="2" spans="2:14" ht="28.5" customHeight="1">
      <c r="B2" s="3352" t="s">
        <v>3154</v>
      </c>
      <c r="C2" s="3353"/>
      <c r="D2" s="3354"/>
      <c r="F2" s="3202" t="s">
        <v>3147</v>
      </c>
      <c r="G2" s="3203">
        <v>234.16</v>
      </c>
      <c r="I2" s="3352" t="s">
        <v>3302</v>
      </c>
      <c r="J2" s="3353"/>
      <c r="K2" s="3354"/>
      <c r="M2" s="3202" t="s">
        <v>3147</v>
      </c>
      <c r="N2" s="3203">
        <v>224.96</v>
      </c>
    </row>
    <row r="3" spans="2:14" ht="28.5" customHeight="1">
      <c r="B3" s="3345" t="s">
        <v>3163</v>
      </c>
      <c r="C3" s="3346"/>
      <c r="D3" s="3200" t="s">
        <v>3164</v>
      </c>
      <c r="F3" s="3204" t="s">
        <v>3149</v>
      </c>
      <c r="G3" s="3205">
        <v>124.22</v>
      </c>
      <c r="I3" s="3345" t="s">
        <v>3163</v>
      </c>
      <c r="J3" s="3346"/>
      <c r="K3" s="3200" t="s">
        <v>3164</v>
      </c>
      <c r="M3" s="3204" t="s">
        <v>3310</v>
      </c>
      <c r="N3" s="3205">
        <v>124.4</v>
      </c>
    </row>
    <row r="4" spans="2:14" ht="28.5" customHeight="1">
      <c r="B4" s="3345" t="s">
        <v>3155</v>
      </c>
      <c r="C4" s="3249" t="s">
        <v>3165</v>
      </c>
      <c r="D4" s="3250">
        <v>108662.59</v>
      </c>
      <c r="F4" s="3204" t="s">
        <v>3150</v>
      </c>
      <c r="G4" s="3205">
        <v>344.32</v>
      </c>
      <c r="I4" s="3339" t="s">
        <v>3155</v>
      </c>
      <c r="J4" s="3249" t="s">
        <v>3303</v>
      </c>
      <c r="K4" s="3250">
        <v>102713.52</v>
      </c>
      <c r="M4" s="3204" t="s">
        <v>3304</v>
      </c>
      <c r="N4" s="3205">
        <v>554.55999999999995</v>
      </c>
    </row>
    <row r="5" spans="2:14" ht="28.5" customHeight="1">
      <c r="B5" s="3345"/>
      <c r="C5" s="3247" t="s">
        <v>3291</v>
      </c>
      <c r="D5" s="3248">
        <v>791</v>
      </c>
      <c r="F5" s="3206" t="s">
        <v>3157</v>
      </c>
      <c r="G5" s="3205">
        <v>237.26</v>
      </c>
      <c r="I5" s="3339"/>
      <c r="J5" s="3247" t="s">
        <v>3291</v>
      </c>
      <c r="K5" s="3248">
        <v>768</v>
      </c>
      <c r="M5" s="3204" t="s">
        <v>3150</v>
      </c>
      <c r="N5" s="3205">
        <v>336.65</v>
      </c>
    </row>
    <row r="6" spans="2:14" ht="28.5" customHeight="1">
      <c r="B6" s="3345"/>
      <c r="C6" s="3190" t="s">
        <v>3146</v>
      </c>
      <c r="D6" s="3201">
        <v>4346.8999999999996</v>
      </c>
      <c r="F6" s="3204" t="s">
        <v>3151</v>
      </c>
      <c r="G6" s="3205">
        <v>28.08</v>
      </c>
      <c r="I6" s="3339"/>
      <c r="J6" s="3190" t="s">
        <v>3146</v>
      </c>
      <c r="K6" s="3201">
        <v>2594.0100000000002</v>
      </c>
      <c r="M6" s="3206" t="s">
        <v>3157</v>
      </c>
      <c r="N6" s="3205">
        <f>341.3+524.48</f>
        <v>865.78</v>
      </c>
    </row>
    <row r="7" spans="2:14" ht="28.5" customHeight="1">
      <c r="B7" s="3345"/>
      <c r="C7" s="3190" t="s">
        <v>3148</v>
      </c>
      <c r="D7" s="3201">
        <v>175.7</v>
      </c>
      <c r="F7" s="3204" t="s">
        <v>3152</v>
      </c>
      <c r="G7" s="3205">
        <v>134.22999999999999</v>
      </c>
      <c r="I7" s="3339"/>
      <c r="J7" s="3190" t="s">
        <v>3148</v>
      </c>
      <c r="K7" s="3201">
        <v>168.33</v>
      </c>
      <c r="M7" s="3204" t="s">
        <v>3305</v>
      </c>
      <c r="N7" s="3205">
        <v>3018.46</v>
      </c>
    </row>
    <row r="8" spans="2:14" ht="28.5" customHeight="1" thickBot="1">
      <c r="B8" s="3345"/>
      <c r="C8" s="3190" t="s">
        <v>3156</v>
      </c>
      <c r="D8" s="3201">
        <f>G8</f>
        <v>1102.27</v>
      </c>
      <c r="F8" s="3207" t="s">
        <v>3158</v>
      </c>
      <c r="G8" s="3208">
        <f>SUM(G2:G7)</f>
        <v>1102.27</v>
      </c>
      <c r="I8" s="3339"/>
      <c r="J8" s="3190" t="s">
        <v>3156</v>
      </c>
      <c r="K8" s="3201">
        <f>N8</f>
        <v>5124.8099999999995</v>
      </c>
      <c r="M8" s="3207" t="s">
        <v>3158</v>
      </c>
      <c r="N8" s="3208">
        <f>SUM(N2:N7)</f>
        <v>5124.8099999999995</v>
      </c>
    </row>
    <row r="9" spans="2:14" ht="28.5" customHeight="1" thickBot="1">
      <c r="B9" s="3345"/>
      <c r="C9" s="3190" t="s">
        <v>3159</v>
      </c>
      <c r="D9" s="3201">
        <f>SUM(D4:D8)-D5</f>
        <v>114287.45999999999</v>
      </c>
      <c r="I9" s="3339"/>
      <c r="J9" s="3190" t="s">
        <v>3306</v>
      </c>
      <c r="K9" s="3201">
        <v>108.52</v>
      </c>
    </row>
    <row r="10" spans="2:14" ht="28.5" customHeight="1">
      <c r="B10" s="3349" t="s">
        <v>3161</v>
      </c>
      <c r="C10" s="3257" t="s">
        <v>3293</v>
      </c>
      <c r="D10" s="3250">
        <v>24887.54</v>
      </c>
      <c r="F10" s="3258" t="s">
        <v>3294</v>
      </c>
      <c r="G10" s="3259">
        <v>1526.71</v>
      </c>
      <c r="I10" s="3339"/>
      <c r="J10" s="3190" t="s">
        <v>3159</v>
      </c>
      <c r="K10" s="3201">
        <f>SUM(K4:K9)-K5</f>
        <v>110709.19</v>
      </c>
      <c r="M10" s="3258" t="s">
        <v>3294</v>
      </c>
      <c r="N10" s="3259">
        <v>1562.22</v>
      </c>
    </row>
    <row r="11" spans="2:14" ht="28.5" customHeight="1">
      <c r="B11" s="3350"/>
      <c r="C11" s="3247" t="s">
        <v>3298</v>
      </c>
      <c r="D11" s="3248">
        <v>891</v>
      </c>
      <c r="F11" s="3252" t="s">
        <v>3295</v>
      </c>
      <c r="G11" s="3201">
        <v>1762.42</v>
      </c>
      <c r="I11" s="3340" t="s">
        <v>3161</v>
      </c>
      <c r="J11" s="3257" t="s">
        <v>3293</v>
      </c>
      <c r="K11" s="3250">
        <v>26341.64</v>
      </c>
      <c r="M11" s="3252" t="s">
        <v>3295</v>
      </c>
      <c r="N11" s="3201">
        <v>1061.4100000000001</v>
      </c>
    </row>
    <row r="12" spans="2:14" ht="28.5" customHeight="1">
      <c r="B12" s="3350"/>
      <c r="C12" s="3251" t="s">
        <v>3300</v>
      </c>
      <c r="D12" s="3253">
        <f>G14</f>
        <v>3528.53</v>
      </c>
      <c r="F12" s="3252" t="s">
        <v>3296</v>
      </c>
      <c r="G12" s="3201">
        <v>174.73</v>
      </c>
      <c r="I12" s="3341"/>
      <c r="J12" s="3247" t="s">
        <v>3298</v>
      </c>
      <c r="K12" s="3248">
        <v>866</v>
      </c>
      <c r="M12" s="3252" t="s">
        <v>3309</v>
      </c>
      <c r="N12" s="3201">
        <v>167.24</v>
      </c>
    </row>
    <row r="13" spans="2:14" ht="28.5" customHeight="1">
      <c r="B13" s="3351"/>
      <c r="C13" s="3190" t="s">
        <v>3299</v>
      </c>
      <c r="D13" s="3201">
        <f>D10+D12</f>
        <v>28416.07</v>
      </c>
      <c r="F13" s="3252" t="s">
        <v>3297</v>
      </c>
      <c r="G13" s="3201">
        <v>64.67</v>
      </c>
      <c r="I13" s="3341"/>
      <c r="J13" s="3251" t="s">
        <v>3300</v>
      </c>
      <c r="K13" s="3253">
        <f>N16</f>
        <v>3651.16</v>
      </c>
      <c r="M13" s="3252" t="s">
        <v>3307</v>
      </c>
      <c r="N13" s="3201">
        <v>558.17999999999995</v>
      </c>
    </row>
    <row r="14" spans="2:14" ht="28.5" customHeight="1" thickBot="1">
      <c r="B14" s="3343" t="s">
        <v>3158</v>
      </c>
      <c r="C14" s="3344"/>
      <c r="D14" s="3201">
        <f>D9+D13</f>
        <v>142703.53</v>
      </c>
      <c r="F14" s="3255" t="s">
        <v>3158</v>
      </c>
      <c r="G14" s="3256">
        <f>SUM(G10:G13)</f>
        <v>3528.53</v>
      </c>
      <c r="I14" s="3342"/>
      <c r="J14" s="3190" t="s">
        <v>3299</v>
      </c>
      <c r="K14" s="3201">
        <f>K11+K13</f>
        <v>29992.799999999999</v>
      </c>
      <c r="M14" s="3252" t="s">
        <v>3297</v>
      </c>
      <c r="N14" s="3201">
        <v>41.38</v>
      </c>
    </row>
    <row r="15" spans="2:14" ht="28.5" customHeight="1">
      <c r="B15" s="3345" t="s">
        <v>3162</v>
      </c>
      <c r="C15" s="3346"/>
      <c r="D15" s="3254">
        <f>ROUND(D9/抵押物汇总!K4,2)</f>
        <v>3.1</v>
      </c>
      <c r="I15" s="3343" t="s">
        <v>3158</v>
      </c>
      <c r="J15" s="3344"/>
      <c r="K15" s="3201">
        <f>K10+K14</f>
        <v>140701.99</v>
      </c>
      <c r="M15" s="3261" t="s">
        <v>3308</v>
      </c>
      <c r="N15" s="3250">
        <v>260.73</v>
      </c>
    </row>
    <row r="16" spans="2:14" ht="28.5" customHeight="1" thickBot="1">
      <c r="B16" s="3347" t="s">
        <v>3301</v>
      </c>
      <c r="C16" s="3348"/>
      <c r="D16" s="3256">
        <v>7367.53</v>
      </c>
      <c r="I16" s="3343" t="s">
        <v>3135</v>
      </c>
      <c r="J16" s="3344"/>
      <c r="K16" s="3254">
        <f>ROUND(K10/抵押物汇总!K5,2)</f>
        <v>3</v>
      </c>
      <c r="M16" s="3255" t="s">
        <v>3158</v>
      </c>
      <c r="N16" s="3256">
        <f>SUM(N10:N15)</f>
        <v>3651.16</v>
      </c>
    </row>
    <row r="17" spans="9:11" ht="28.5" customHeight="1" thickBot="1">
      <c r="I17" s="3337" t="s">
        <v>3301</v>
      </c>
      <c r="J17" s="3338"/>
      <c r="K17" s="3260">
        <v>8112.5</v>
      </c>
    </row>
    <row r="18" spans="9:11" ht="28.5" customHeight="1"/>
  </sheetData>
  <mergeCells count="14">
    <mergeCell ref="I2:K2"/>
    <mergeCell ref="I3:J3"/>
    <mergeCell ref="I16:J16"/>
    <mergeCell ref="B3:C3"/>
    <mergeCell ref="B2:D2"/>
    <mergeCell ref="I17:J17"/>
    <mergeCell ref="I4:I10"/>
    <mergeCell ref="I11:I14"/>
    <mergeCell ref="I15:J15"/>
    <mergeCell ref="B4:B9"/>
    <mergeCell ref="B15:C15"/>
    <mergeCell ref="B14:C14"/>
    <mergeCell ref="B16:C16"/>
    <mergeCell ref="B10:B13"/>
  </mergeCells>
  <phoneticPr fontId="228"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F39" sqref="F39"/>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64" t="s">
        <v>203</v>
      </c>
      <c r="B2" s="3364"/>
      <c r="C2" s="3364"/>
      <c r="D2" s="1957" t="s">
        <v>204</v>
      </c>
      <c r="E2" s="106" t="s">
        <v>205</v>
      </c>
      <c r="F2" s="1966"/>
      <c r="G2" s="1192"/>
      <c r="H2" s="1193"/>
      <c r="I2" s="1194" t="s">
        <v>857</v>
      </c>
      <c r="J2" s="1966"/>
      <c r="K2" s="1966"/>
      <c r="L2" s="1966"/>
    </row>
    <row r="3" spans="1:16" ht="15.75" thickBot="1">
      <c r="A3" s="3365" t="s">
        <v>206</v>
      </c>
      <c r="B3" s="3365"/>
      <c r="C3" s="3365"/>
      <c r="D3" s="107">
        <f>'数据-基础表'!AY6</f>
        <v>36905.32</v>
      </c>
      <c r="E3" s="107">
        <f>'数据-基础表'!AZ5</f>
        <v>140701.99</v>
      </c>
      <c r="F3" s="1966"/>
      <c r="G3" s="279" t="s">
        <v>858</v>
      </c>
      <c r="H3" s="274" t="s">
        <v>859</v>
      </c>
      <c r="I3" s="1958">
        <f>ROUND('数据-基础表'!B3/'数据-基础表'!A3,2)</f>
        <v>3.81</v>
      </c>
      <c r="J3" s="1966"/>
      <c r="K3" s="1966"/>
      <c r="L3" s="1966"/>
    </row>
    <row r="4" spans="1:16" ht="15">
      <c r="A4" s="3366"/>
      <c r="B4" s="3367"/>
      <c r="C4" s="3368"/>
      <c r="D4" s="108" t="s">
        <v>204</v>
      </c>
      <c r="E4" s="109" t="s">
        <v>205</v>
      </c>
      <c r="F4" s="1966"/>
      <c r="G4" s="1195"/>
      <c r="H4" s="274" t="s">
        <v>860</v>
      </c>
      <c r="I4" s="1958">
        <f>ROUND(SUMIF('数据-基础表'!I9:AS9,"地上",'数据-基础表'!I5:AS5)/'数据-基础表'!A3,2)</f>
        <v>3</v>
      </c>
      <c r="J4" s="1966"/>
      <c r="K4" s="1966"/>
      <c r="L4" s="1966"/>
    </row>
    <row r="5" spans="1:16">
      <c r="A5" s="110" t="s">
        <v>207</v>
      </c>
      <c r="B5" s="3369" t="s">
        <v>230</v>
      </c>
      <c r="C5" s="3369"/>
      <c r="D5" s="111">
        <f>ROUND($D$3*E5/$E$3,2)</f>
        <v>26941.16</v>
      </c>
      <c r="E5" s="112">
        <f>SUMIF('数据-基础表'!$11:$11,"住宅",'数据-基础表'!$5:$5)</f>
        <v>102713.52</v>
      </c>
      <c r="F5" s="1966"/>
      <c r="G5" s="279" t="s">
        <v>861</v>
      </c>
      <c r="H5" s="274" t="s">
        <v>859</v>
      </c>
      <c r="I5" s="1958">
        <f>ROUND(E31/D31,2)</f>
        <v>3.81</v>
      </c>
      <c r="J5" s="1966"/>
      <c r="K5" s="1966"/>
      <c r="L5" s="1966"/>
    </row>
    <row r="6" spans="1:16" ht="15" thickBot="1">
      <c r="A6" s="113"/>
      <c r="B6" s="3369" t="s">
        <v>208</v>
      </c>
      <c r="C6" s="3369"/>
      <c r="D6" s="111">
        <f>ROUND($D$3*E6/$E$3,2)</f>
        <v>9964.16</v>
      </c>
      <c r="E6" s="112">
        <f>E3-E5</f>
        <v>37988.469999999987</v>
      </c>
      <c r="F6" s="1966"/>
      <c r="G6" s="1195"/>
      <c r="H6" s="274" t="s">
        <v>860</v>
      </c>
      <c r="I6" s="1958">
        <f>ROUND(F31/D31,2)</f>
        <v>3</v>
      </c>
      <c r="J6" s="1966"/>
      <c r="K6" s="1966"/>
      <c r="L6" s="1966"/>
    </row>
    <row r="7" spans="1:16" ht="15">
      <c r="A7" s="3361"/>
      <c r="B7" s="3362"/>
      <c r="C7" s="3363"/>
      <c r="D7" s="108" t="s">
        <v>204</v>
      </c>
      <c r="E7" s="114" t="s">
        <v>231</v>
      </c>
      <c r="F7" s="1966"/>
      <c r="G7" s="1150" t="s">
        <v>1645</v>
      </c>
      <c r="H7" s="1151"/>
      <c r="I7" s="1828"/>
      <c r="J7" s="1966"/>
      <c r="K7" s="1966"/>
      <c r="L7" s="1966"/>
    </row>
    <row r="8" spans="1:16">
      <c r="A8" s="110" t="s">
        <v>209</v>
      </c>
      <c r="B8" s="115" t="s">
        <v>210</v>
      </c>
      <c r="C8" s="111" t="s">
        <v>211</v>
      </c>
      <c r="D8" s="111">
        <f t="shared" ref="D8:D15" si="0">ROUND($D$3*E8/$E$3,2)</f>
        <v>27621.56</v>
      </c>
      <c r="E8" s="116">
        <f>SUMIF('数据-基础表'!BB10:BK10,"地上",'数据-基础表'!BB5:BK5)</f>
        <v>105307.53</v>
      </c>
      <c r="F8" s="1966"/>
      <c r="G8" s="1968"/>
      <c r="H8" s="1968"/>
      <c r="I8" s="1966"/>
      <c r="J8" s="1966"/>
      <c r="K8" s="1966"/>
      <c r="L8" s="1966"/>
    </row>
    <row r="9" spans="1:16">
      <c r="A9" s="117"/>
      <c r="B9" s="118"/>
      <c r="C9" s="111" t="s">
        <v>212</v>
      </c>
      <c r="D9" s="111">
        <f t="shared" si="0"/>
        <v>1416.82</v>
      </c>
      <c r="E9" s="119">
        <f>'数据-基础表'!AD13+'数据-基础表'!AH13+'数据-基础表'!AL13</f>
        <v>5401.66</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2325</v>
      </c>
      <c r="D11" s="111">
        <f t="shared" si="0"/>
        <v>43.87</v>
      </c>
      <c r="E11" s="116">
        <f>SUMPRODUCT(('数据-基础表'!BB10:BK10="地下")*('数据-基础表'!BB11:BK11="办公")*('数据-基础表'!BB5:BK5))+'数据-基础表'!AJ5</f>
        <v>167.24</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2332</v>
      </c>
      <c r="D13" s="111">
        <f t="shared" si="0"/>
        <v>6909.26</v>
      </c>
      <c r="E13" s="116">
        <f>SUMPRODUCT(('数据-基础表'!BB10:BK10="地下")*('数据-基础表'!BB11:BK11="车库")*('数据-基础表'!BB5:BK5))</f>
        <v>26341.64</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35991.51</v>
      </c>
      <c r="E16" s="120">
        <f>SUM(E8:E15)</f>
        <v>137218.07</v>
      </c>
      <c r="F16" s="1966"/>
      <c r="G16" s="1968"/>
      <c r="H16" s="966" t="s">
        <v>219</v>
      </c>
      <c r="I16" s="967"/>
      <c r="J16" s="1966"/>
      <c r="K16" s="3355" t="s">
        <v>2564</v>
      </c>
      <c r="L16" s="3356"/>
      <c r="M16" s="3356"/>
      <c r="N16" s="3356"/>
      <c r="O16" s="3356"/>
      <c r="P16" s="3357"/>
    </row>
    <row r="17" spans="1:19" ht="15">
      <c r="A17" s="121" t="s">
        <v>216</v>
      </c>
      <c r="B17" s="122" t="s">
        <v>217</v>
      </c>
      <c r="C17" s="2280" t="s">
        <v>2312</v>
      </c>
      <c r="D17" s="108" t="s">
        <v>204</v>
      </c>
      <c r="E17" s="124" t="s">
        <v>205</v>
      </c>
      <c r="F17" s="125"/>
      <c r="G17" s="1360"/>
      <c r="H17" s="968" t="s">
        <v>218</v>
      </c>
      <c r="I17" s="969" t="s">
        <v>2311</v>
      </c>
      <c r="J17" s="1966"/>
      <c r="K17" s="3358" t="s">
        <v>2565</v>
      </c>
      <c r="L17" s="3359"/>
      <c r="M17" s="3360"/>
      <c r="N17" s="3358" t="s">
        <v>2566</v>
      </c>
      <c r="O17" s="3359"/>
      <c r="P17" s="3360"/>
      <c r="R17" s="2281" t="s">
        <v>2310</v>
      </c>
      <c r="S17" s="144"/>
    </row>
    <row r="18" spans="1:19" ht="15">
      <c r="A18" s="117"/>
      <c r="B18" s="128"/>
      <c r="C18" s="129"/>
      <c r="D18" s="2603"/>
      <c r="E18" s="130" t="s">
        <v>220</v>
      </c>
      <c r="F18" s="131" t="s">
        <v>221</v>
      </c>
      <c r="G18" s="1361" t="s">
        <v>222</v>
      </c>
      <c r="H18" s="970" t="s">
        <v>223</v>
      </c>
      <c r="I18" s="971" t="s">
        <v>224</v>
      </c>
      <c r="J18" s="1966"/>
      <c r="K18" s="2566" t="s">
        <v>2567</v>
      </c>
      <c r="L18" s="2567" t="s">
        <v>2568</v>
      </c>
      <c r="M18" s="2568" t="s">
        <v>2569</v>
      </c>
      <c r="N18" s="2566" t="s">
        <v>2567</v>
      </c>
      <c r="O18" s="2567" t="s">
        <v>2568</v>
      </c>
      <c r="P18" s="2568" t="s">
        <v>2569</v>
      </c>
      <c r="R18" s="2282" t="s">
        <v>2308</v>
      </c>
      <c r="S18" s="2282" t="s">
        <v>2309</v>
      </c>
    </row>
    <row r="19" spans="1:19">
      <c r="A19" s="133"/>
      <c r="B19" s="115" t="s">
        <v>225</v>
      </c>
      <c r="C19" s="2974" t="str">
        <f>规划!J4</f>
        <v>住宅</v>
      </c>
      <c r="D19" s="111">
        <f t="shared" ref="D19:D26" si="1">ROUND($D$3*E19/$E$3,2)</f>
        <v>26941.16</v>
      </c>
      <c r="E19" s="134">
        <f t="shared" ref="E19:E26" si="2">SUM(F19:G19)</f>
        <v>102713.52</v>
      </c>
      <c r="F19" s="135">
        <f>'数据-基础表'!I13</f>
        <v>102713.52</v>
      </c>
      <c r="G19" s="1362"/>
      <c r="H19" s="972">
        <f>ROUND($D$3*I19/$E$3,2)</f>
        <v>2216.9899999999998</v>
      </c>
      <c r="I19" s="116">
        <f>IF($I$17="自定义",P19,M19)</f>
        <v>8452.31</v>
      </c>
      <c r="J19" s="1966"/>
      <c r="K19" s="2569">
        <f t="shared" ref="K19:K26" si="3">ROUND(E$28*E19/E$27,2)</f>
        <v>2131.64</v>
      </c>
      <c r="L19" s="274">
        <f t="shared" ref="L19:L26" si="4">ROUND(IF(COUNTIF(C19,"*住宅*")&gt;0,E$29*E19/E$32,0),2)</f>
        <v>6320.67</v>
      </c>
      <c r="M19" s="2570">
        <f>K19+L19</f>
        <v>8452.31</v>
      </c>
      <c r="N19" s="2571"/>
      <c r="O19" s="2572"/>
      <c r="P19" s="2573">
        <f>N19+O19</f>
        <v>0</v>
      </c>
      <c r="R19" s="274">
        <f t="shared" ref="R19:S26" si="5">D19+H19</f>
        <v>29158.15</v>
      </c>
      <c r="S19" s="2283">
        <f t="shared" si="5"/>
        <v>111165.83</v>
      </c>
    </row>
    <row r="20" spans="1:19">
      <c r="A20" s="138"/>
      <c r="B20" s="115" t="s">
        <v>226</v>
      </c>
      <c r="C20" s="2974" t="str">
        <f>规划!J6</f>
        <v>商业</v>
      </c>
      <c r="D20" s="111">
        <f t="shared" si="1"/>
        <v>680.39</v>
      </c>
      <c r="E20" s="134">
        <f t="shared" si="2"/>
        <v>2594.0100000000002</v>
      </c>
      <c r="F20" s="135">
        <f>'数据-基础表'!M13</f>
        <v>2594.0100000000002</v>
      </c>
      <c r="G20" s="1362"/>
      <c r="H20" s="972">
        <f t="shared" ref="H20:H26" si="6">ROUND($D$3*I20/$E$3,2)</f>
        <v>14.12</v>
      </c>
      <c r="I20" s="116">
        <f t="shared" ref="I20:I26" si="7">IF($I$17="自定义",P20,M20)</f>
        <v>53.83</v>
      </c>
      <c r="J20" s="1966"/>
      <c r="K20" s="2569">
        <f t="shared" si="3"/>
        <v>53.83</v>
      </c>
      <c r="L20" s="274">
        <f t="shared" si="4"/>
        <v>0</v>
      </c>
      <c r="M20" s="2570">
        <f t="shared" ref="M20:M26" si="8">K20+L20</f>
        <v>53.83</v>
      </c>
      <c r="N20" s="2571"/>
      <c r="O20" s="2572"/>
      <c r="P20" s="2573">
        <f t="shared" ref="P20:P26" si="9">N20+O20</f>
        <v>0</v>
      </c>
      <c r="R20" s="274">
        <f t="shared" si="5"/>
        <v>694.51</v>
      </c>
      <c r="S20" s="2283">
        <f t="shared" si="5"/>
        <v>2647.84</v>
      </c>
    </row>
    <row r="21" spans="1:19">
      <c r="A21" s="138"/>
      <c r="B21" s="115" t="s">
        <v>226</v>
      </c>
      <c r="C21" s="2974" t="str">
        <f>规划!J11</f>
        <v>地下机动车库</v>
      </c>
      <c r="D21" s="111">
        <f t="shared" si="1"/>
        <v>6909.26</v>
      </c>
      <c r="E21" s="134">
        <f t="shared" si="2"/>
        <v>26341.64</v>
      </c>
      <c r="F21" s="135"/>
      <c r="G21" s="1362">
        <f>'数据-基础表'!O13</f>
        <v>26341.64</v>
      </c>
      <c r="H21" s="972">
        <f t="shared" si="6"/>
        <v>143.38999999999999</v>
      </c>
      <c r="I21" s="116">
        <f t="shared" si="7"/>
        <v>546.67999999999995</v>
      </c>
      <c r="J21" s="1966"/>
      <c r="K21" s="2569">
        <f t="shared" si="3"/>
        <v>546.67999999999995</v>
      </c>
      <c r="L21" s="274">
        <f t="shared" si="4"/>
        <v>0</v>
      </c>
      <c r="M21" s="2570">
        <f t="shared" si="8"/>
        <v>546.67999999999995</v>
      </c>
      <c r="N21" s="2571"/>
      <c r="O21" s="2572"/>
      <c r="P21" s="2573">
        <f t="shared" si="9"/>
        <v>0</v>
      </c>
      <c r="R21" s="274">
        <f t="shared" si="5"/>
        <v>7052.6500000000005</v>
      </c>
      <c r="S21" s="2283">
        <f t="shared" si="5"/>
        <v>26888.32</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29.25" thickBot="1">
      <c r="A27" s="138"/>
      <c r="B27" s="111"/>
      <c r="C27" s="127" t="s">
        <v>215</v>
      </c>
      <c r="D27" s="134">
        <f>SUM(D19:D26)</f>
        <v>34530.81</v>
      </c>
      <c r="E27" s="143">
        <f>IF(SUM(E19:E26)='数据-基础表'!BA5,SUM(E19:E26),IF(F27="地上面积有误","面积有误","地下面积有误"))</f>
        <v>131649.16999999998</v>
      </c>
      <c r="F27" s="134">
        <f>IF(SUM(F19:F26)=E8,SUM(F19:F26),"地上面积有误")</f>
        <v>105307.53</v>
      </c>
      <c r="G27" s="112">
        <f>SUM(G19:G26)</f>
        <v>26341.64</v>
      </c>
      <c r="H27" s="973">
        <f>SUM(H19:H26)</f>
        <v>2374.4999999999995</v>
      </c>
      <c r="I27" s="974">
        <f>SUM(I19:I26)</f>
        <v>9052.82</v>
      </c>
      <c r="J27" s="1966"/>
      <c r="K27" s="2578">
        <f>SUM(K19:K26)</f>
        <v>2732.1499999999996</v>
      </c>
      <c r="L27" s="2579">
        <f>SUM(L19:L26)</f>
        <v>6320.67</v>
      </c>
      <c r="M27" s="2580">
        <f>SUM(M19:M26)</f>
        <v>9052.82</v>
      </c>
      <c r="N27" s="2578">
        <f t="shared" ref="N27:O27" si="10">SUM(N19:N26)</f>
        <v>0</v>
      </c>
      <c r="O27" s="2579">
        <f t="shared" si="10"/>
        <v>0</v>
      </c>
      <c r="P27" s="2581">
        <f>SUM(P19:P26)</f>
        <v>0</v>
      </c>
      <c r="R27" s="2287" t="str">
        <f>IF(SUM(R19:R26)=$D$3,SUM(R19:R26),SUM(R19:R26)&amp;"误差"&amp;ROUND(SUM(R19:R26)-$D$3,2))</f>
        <v>36905.31误差-0.01</v>
      </c>
      <c r="S27" s="274">
        <f>IF(SUM(S19:S26)=$E$3,SUM(S19:S26),SUM(S19:S26)&amp;"误差"&amp;ROUND(SUM(S19:S26)-E3,2))</f>
        <v>140701.99</v>
      </c>
    </row>
    <row r="28" spans="1:19">
      <c r="A28" s="138"/>
      <c r="B28" s="115" t="s">
        <v>227</v>
      </c>
      <c r="C28" s="136" t="s">
        <v>228</v>
      </c>
      <c r="D28" s="111">
        <f>ROUND($D$3*E28/$E$3,2)</f>
        <v>716.63</v>
      </c>
      <c r="E28" s="134">
        <f>SUM(F28:G28)</f>
        <v>2732.15</v>
      </c>
      <c r="F28" s="144">
        <f>'数据-基础表'!BQ5+'数据-基础表'!BS5</f>
        <v>108.52</v>
      </c>
      <c r="G28" s="145">
        <f>'数据-基础表'!BR5+'数据-基础表'!BT5</f>
        <v>2623.63</v>
      </c>
      <c r="H28" s="1966"/>
      <c r="I28" s="1966"/>
      <c r="J28" s="1966"/>
      <c r="K28" s="1966"/>
      <c r="L28" s="1966"/>
    </row>
    <row r="29" spans="1:19">
      <c r="A29" s="138"/>
      <c r="B29" s="115" t="s">
        <v>227</v>
      </c>
      <c r="C29" s="2295" t="s">
        <v>2319</v>
      </c>
      <c r="D29" s="111">
        <f>ROUND($D$3*E29/$E$3,2)</f>
        <v>1657.88</v>
      </c>
      <c r="E29" s="134">
        <f>SUM(F29:G29)</f>
        <v>6320.6699999999992</v>
      </c>
      <c r="F29" s="144">
        <f>'数据-基础表'!BM5+'数据-基础表'!BO5</f>
        <v>5293.1399999999994</v>
      </c>
      <c r="G29" s="146">
        <f>'数据-基础表'!BN5+'数据-基础表'!BP5</f>
        <v>1027.53</v>
      </c>
      <c r="H29" s="1966"/>
      <c r="I29" s="1966"/>
      <c r="J29" s="1966"/>
      <c r="K29" s="1966"/>
      <c r="L29" s="1966"/>
    </row>
    <row r="30" spans="1:19">
      <c r="A30" s="138"/>
      <c r="B30" s="111"/>
      <c r="C30" s="147" t="s">
        <v>215</v>
      </c>
      <c r="D30" s="134">
        <f>SUM(D28:D29)</f>
        <v>2374.5100000000002</v>
      </c>
      <c r="E30" s="134">
        <f>SUM(E28:E29)</f>
        <v>9052.82</v>
      </c>
      <c r="F30" s="134">
        <f>SUM(F28:F29)</f>
        <v>5401.66</v>
      </c>
      <c r="G30" s="112">
        <f>SUM(G28:G29)</f>
        <v>3651.16</v>
      </c>
      <c r="H30" s="1966"/>
      <c r="I30" s="1966"/>
      <c r="J30" s="1966"/>
      <c r="K30" s="1966"/>
      <c r="L30" s="1966"/>
    </row>
    <row r="31" spans="1:19" ht="32.25" customHeight="1" thickBot="1">
      <c r="A31" s="1364"/>
      <c r="B31" s="1365" t="s">
        <v>229</v>
      </c>
      <c r="C31" s="2312" t="s">
        <v>2321</v>
      </c>
      <c r="D31" s="1366">
        <f>D27+D30</f>
        <v>36905.32</v>
      </c>
      <c r="E31" s="1366">
        <f>E27+E30</f>
        <v>140701.99</v>
      </c>
      <c r="F31" s="1367">
        <f>F27+F30</f>
        <v>110709.19</v>
      </c>
      <c r="G31" s="1368">
        <f>G27+G30</f>
        <v>29992.799999999999</v>
      </c>
      <c r="H31" s="1966"/>
      <c r="I31" s="1966"/>
      <c r="J31" s="1966"/>
      <c r="K31" s="1966"/>
      <c r="L31" s="1966"/>
    </row>
    <row r="32" spans="1:19">
      <c r="A32" s="1966"/>
      <c r="B32" s="2324" t="s">
        <v>2320</v>
      </c>
      <c r="C32" s="2608"/>
      <c r="D32" s="1195"/>
      <c r="E32" s="1195">
        <f>SUMIF(C19:C26,"*住宅*",E19:E26)</f>
        <v>102713.52</v>
      </c>
      <c r="F32" s="1195"/>
      <c r="G32" s="1195"/>
    </row>
    <row r="33" spans="4:6">
      <c r="D33" s="1970"/>
    </row>
    <row r="35" spans="4:6">
      <c r="E35" s="3588" t="s">
        <v>3311</v>
      </c>
      <c r="F35" s="1967">
        <f>G31/E31</f>
        <v>0.21316542857709406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AE27" sqref="X27:AE29"/>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hidden="1"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43763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2825</v>
      </c>
      <c r="O5" s="163" t="s">
        <v>246</v>
      </c>
      <c r="P5" s="165" t="s">
        <v>247</v>
      </c>
      <c r="Q5" s="166" t="s">
        <v>248</v>
      </c>
      <c r="R5" s="167" t="s">
        <v>249</v>
      </c>
      <c r="S5" s="2582" t="s">
        <v>2570</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2371</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69229</v>
      </c>
      <c r="F6" s="174">
        <f>SUMIF(项目基本情况!D$15:I$15,C6,项目基本情况!D$19:I$19)</f>
        <v>69.760000000000005</v>
      </c>
      <c r="G6" s="175">
        <f>IF(ISERROR(ROUND(POWER(1+H6,D6-F6)*(POWER(1+H6,F6)-1)/(POWER(1+H6,D6)-1),3)),0,ROUND(POWER(1+H6,D6-F6)*(POWER(1+H6,F6)-1)/(POWER(1+H6,D6)-1),3))</f>
        <v>0.999</v>
      </c>
      <c r="H6" s="2975">
        <v>4.4999999999999998E-2</v>
      </c>
      <c r="I6" s="2975">
        <v>0.05</v>
      </c>
      <c r="J6" s="176"/>
      <c r="K6" s="179">
        <f>SUMIF('数据-汇总表'!C$19:C$33,'数据-取费表'!A6,'数据-汇总表'!E$19:E$33)</f>
        <v>102713.52</v>
      </c>
      <c r="L6" s="3589">
        <v>2200</v>
      </c>
      <c r="M6" s="177">
        <f t="shared" ref="M6:M14" si="0">ROUND(K6*L6/10000,0)</f>
        <v>22597</v>
      </c>
      <c r="N6" s="2976">
        <v>0</v>
      </c>
      <c r="O6" s="177">
        <f>IF($N$5="成新度","——",ROUND(M6*N6,0))</f>
        <v>0</v>
      </c>
      <c r="P6" s="178">
        <f>IF($N$5="成新度","——",M6-O6)</f>
        <v>22597</v>
      </c>
      <c r="Q6" s="2977">
        <v>0.1</v>
      </c>
      <c r="R6" s="179">
        <f>SUMIF('数据-汇总表'!C$19:C$33,A6,'数据-汇总表'!R$19:R$33)</f>
        <v>29158.15</v>
      </c>
      <c r="S6" s="132">
        <f>IF('数据-汇总表'!$I$17="按面积比例",SUMIF('数据-汇总表'!C$19:C$33,A6,'数据-汇总表'!K$19:K$33),SUMIF('数据-汇总表'!C$19:C$33,A6,'数据-汇总表'!N$19:N$33))</f>
        <v>2131.64</v>
      </c>
      <c r="T6" s="2216">
        <f>IF($T$4="按面积比例",IF(ISERROR(ROUND($M$14*S6/S$16,0)),"0",ROUND($M$14*S6/S$16,0)),"需自行计算录入")</f>
        <v>469</v>
      </c>
      <c r="U6" s="180"/>
      <c r="V6" s="181"/>
      <c r="W6" s="181"/>
      <c r="X6" s="2303"/>
      <c r="Y6" s="182"/>
      <c r="Z6" s="183"/>
      <c r="AA6" s="176"/>
      <c r="AB6" s="176"/>
      <c r="AC6" s="2306"/>
      <c r="AD6" s="184"/>
      <c r="AE6" s="970">
        <f ca="1">IF(AN6="",0,SUMIF(INDIRECT("'"&amp;AN6&amp;"'"&amp;"!E:E"),$AE$5,INDIRECT("'"&amp;AN6&amp;"'"&amp;"!F:F")))</f>
        <v>0</v>
      </c>
      <c r="AF6" s="141"/>
      <c r="AG6" s="1207">
        <f>IF(AF6="",0,AE6-AF6)</f>
        <v>0</v>
      </c>
      <c r="AH6" s="141"/>
      <c r="AI6" s="187"/>
      <c r="AJ6" s="188"/>
      <c r="AK6" s="189"/>
      <c r="AL6" s="190"/>
      <c r="AM6" s="2988"/>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商业</v>
      </c>
      <c r="B7" s="2319" t="str">
        <f t="shared" ref="B7:B13" si="1">IF(A7=0,"","经营性")</f>
        <v>经营性</v>
      </c>
      <c r="C7" s="173" t="s">
        <v>3145</v>
      </c>
      <c r="D7" s="2290">
        <f>SUMIF(项目基本情况!D$15:I$15,C7,项目基本情况!D$18:I$18)</f>
        <v>40</v>
      </c>
      <c r="E7" s="2291">
        <f>IF(B7="","",SUMIF(项目基本情况!D$15:I$15,C7,项目基本情况!D$17:I$17))</f>
        <v>58271</v>
      </c>
      <c r="F7" s="174">
        <f>SUMIF(项目基本情况!D$15:I$15,C7,项目基本情况!D$19:I$19)</f>
        <v>39.74</v>
      </c>
      <c r="G7" s="175">
        <f t="shared" ref="G7:G11" si="2">IF(ISERROR(ROUND(POWER(1+H7,D7-F7)*(POWER(1+H7,F7)-1)/(POWER(1+H7,D7)-1),3)),0,ROUND(POWER(1+H7,D7-F7)*(POWER(1+H7,F7)-1)/(POWER(1+H7,D7)-1),3))</f>
        <v>0.998</v>
      </c>
      <c r="H7" s="2975">
        <v>0.05</v>
      </c>
      <c r="I7" s="2975">
        <v>5.5E-2</v>
      </c>
      <c r="J7" s="176"/>
      <c r="K7" s="179">
        <f>SUMIF('数据-汇总表'!C$19:C$33,'数据-取费表'!A7,'数据-汇总表'!E$19:E$33)</f>
        <v>2594.0100000000002</v>
      </c>
      <c r="L7" s="3589">
        <f>L6</f>
        <v>2200</v>
      </c>
      <c r="M7" s="177">
        <f t="shared" si="0"/>
        <v>571</v>
      </c>
      <c r="N7" s="2976">
        <v>0</v>
      </c>
      <c r="O7" s="177">
        <f t="shared" ref="O7:O14" si="3">IF($N$5="成新度","——",ROUND(M7*N7,0))</f>
        <v>0</v>
      </c>
      <c r="P7" s="178">
        <f t="shared" ref="P7:P14" si="4">IF($N$5="成新度","——",M7-O7)</f>
        <v>571</v>
      </c>
      <c r="Q7" s="2977">
        <v>0.1</v>
      </c>
      <c r="R7" s="179">
        <f>SUMIF('数据-汇总表'!C$19:C$33,A7,'数据-汇总表'!R$19:R$33)</f>
        <v>694.51</v>
      </c>
      <c r="S7" s="132">
        <f>IF('数据-汇总表'!$I$17="按面积比例",SUMIF('数据-汇总表'!C$19:C$33,A7,'数据-汇总表'!K$19:K$33),SUMIF('数据-汇总表'!C$19:C$33,A7,'数据-汇总表'!N$19:N$33))</f>
        <v>53.83</v>
      </c>
      <c r="T7" s="2216">
        <f t="shared" ref="T7:T13" si="5">IF($T$4="按面积比例",IF(ISERROR(ROUND($M$14*S7/S$16,0)),"0",ROUND($M$14*S7/S$16,0)),"需自行计算录入")</f>
        <v>12</v>
      </c>
      <c r="U7" s="180">
        <v>1.5</v>
      </c>
      <c r="V7" s="181">
        <v>0.03</v>
      </c>
      <c r="W7" s="181">
        <v>0.1</v>
      </c>
      <c r="X7" s="2303"/>
      <c r="Y7" s="182">
        <v>1</v>
      </c>
      <c r="Z7" s="183"/>
      <c r="AA7" s="176"/>
      <c r="AB7" s="176"/>
      <c r="AC7" s="2306"/>
      <c r="AD7" s="184"/>
      <c r="AE7" s="970">
        <f t="shared" ref="AE7:AE13" ca="1" si="6">IF(AN7="",0,SUMIF(INDIRECT("'"&amp;AN7&amp;"'"&amp;"!E:E"),$AE$5,INDIRECT("'"&amp;AN7&amp;"'"&amp;"!F:F")))</f>
        <v>37.74</v>
      </c>
      <c r="AF7" s="141"/>
      <c r="AG7" s="1207">
        <f t="shared" ref="AG7:AG13" si="7">IF(AF7="",0,AE7-AF7)</f>
        <v>0</v>
      </c>
      <c r="AH7" s="141"/>
      <c r="AI7" s="187">
        <v>365</v>
      </c>
      <c r="AJ7" s="188"/>
      <c r="AK7" s="189">
        <v>0.01</v>
      </c>
      <c r="AL7" s="190">
        <v>1E-3</v>
      </c>
      <c r="AM7" s="2351">
        <v>0.01</v>
      </c>
      <c r="AN7" s="2353" t="s">
        <v>3187</v>
      </c>
      <c r="AO7" s="1982"/>
      <c r="AP7" s="1198">
        <f t="shared" ref="AP7:AP13" si="8">ROUND(1-1/(1+H7)^F7,3)</f>
        <v>0.85599999999999998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地下机动车库</v>
      </c>
      <c r="B8" s="2319" t="str">
        <f t="shared" si="1"/>
        <v>经营性</v>
      </c>
      <c r="C8" s="173" t="s">
        <v>3171</v>
      </c>
      <c r="D8" s="2290">
        <f>SUMIF(项目基本情况!D$15:I$15,C8,项目基本情况!D$18:I$18)</f>
        <v>50</v>
      </c>
      <c r="E8" s="2291">
        <f>IF(B8="","",SUMIF(项目基本情况!D$15:I$15,C8,项目基本情况!D$17:I$17))</f>
        <v>61924</v>
      </c>
      <c r="F8" s="174">
        <f>SUMIF(项目基本情况!D$15:I$15,C8,项目基本情况!D$19:I$19)</f>
        <v>49.75</v>
      </c>
      <c r="G8" s="175">
        <f t="shared" si="2"/>
        <v>0.999</v>
      </c>
      <c r="H8" s="2975">
        <v>4.4999999999999998E-2</v>
      </c>
      <c r="I8" s="2975">
        <v>0.05</v>
      </c>
      <c r="J8" s="176"/>
      <c r="K8" s="179">
        <f>SUMIF('数据-汇总表'!C$19:C$33,'数据-取费表'!A8,'数据-汇总表'!E$19:E$33)</f>
        <v>26341.64</v>
      </c>
      <c r="L8" s="3589">
        <f>L6</f>
        <v>2200</v>
      </c>
      <c r="M8" s="177">
        <f>ROUND(K8*L8/10000,0)</f>
        <v>5795</v>
      </c>
      <c r="N8" s="2976">
        <v>0</v>
      </c>
      <c r="O8" s="177">
        <f t="shared" si="3"/>
        <v>0</v>
      </c>
      <c r="P8" s="178">
        <f t="shared" si="4"/>
        <v>5795</v>
      </c>
      <c r="Q8" s="2977">
        <v>0.05</v>
      </c>
      <c r="R8" s="179">
        <f>SUMIF('数据-汇总表'!C$19:C$33,A8,'数据-汇总表'!R$19:R$33)</f>
        <v>7052.6500000000005</v>
      </c>
      <c r="S8" s="132">
        <f>IF('数据-汇总表'!$I$17="按面积比例",SUMIF('数据-汇总表'!C$19:C$33,A8,'数据-汇总表'!K$19:K$33),SUMIF('数据-汇总表'!C$19:C$33,A8,'数据-汇总表'!N$19:N$33))</f>
        <v>546.67999999999995</v>
      </c>
      <c r="T8" s="2216">
        <f t="shared" si="5"/>
        <v>120</v>
      </c>
      <c r="U8" s="180">
        <v>400</v>
      </c>
      <c r="V8" s="181">
        <v>0.03</v>
      </c>
      <c r="W8" s="181">
        <v>0.1</v>
      </c>
      <c r="X8" s="2303"/>
      <c r="Y8" s="182">
        <v>1</v>
      </c>
      <c r="Z8" s="183"/>
      <c r="AA8" s="176"/>
      <c r="AB8" s="176"/>
      <c r="AC8" s="2306"/>
      <c r="AD8" s="184"/>
      <c r="AE8" s="970">
        <f t="shared" ca="1" si="6"/>
        <v>47.75</v>
      </c>
      <c r="AF8" s="141"/>
      <c r="AG8" s="1207">
        <f t="shared" si="7"/>
        <v>0</v>
      </c>
      <c r="AH8" s="141">
        <f>规划!K12</f>
        <v>866</v>
      </c>
      <c r="AI8" s="187">
        <v>12</v>
      </c>
      <c r="AJ8" s="188"/>
      <c r="AK8" s="189">
        <v>0.01</v>
      </c>
      <c r="AL8" s="190">
        <v>1E-3</v>
      </c>
      <c r="AM8" s="2351">
        <v>0.01</v>
      </c>
      <c r="AN8" s="2353" t="s">
        <v>3188</v>
      </c>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1679</v>
      </c>
      <c r="C14" s="2289" t="s">
        <v>2313</v>
      </c>
      <c r="D14" s="2290"/>
      <c r="E14" s="2291"/>
      <c r="F14" s="174"/>
      <c r="G14" s="175"/>
      <c r="H14" s="2292"/>
      <c r="I14" s="2292"/>
      <c r="J14" s="2292"/>
      <c r="K14" s="179">
        <f>SUMIF('数据-汇总表'!C$19:C$33,'数据-取费表'!A14,'数据-汇总表'!E$19:E$33)</f>
        <v>2732.15</v>
      </c>
      <c r="L14" s="3589">
        <f>L6</f>
        <v>2200</v>
      </c>
      <c r="M14" s="177">
        <f t="shared" si="0"/>
        <v>601</v>
      </c>
      <c r="N14" s="194">
        <v>0</v>
      </c>
      <c r="O14" s="177">
        <f t="shared" si="3"/>
        <v>0</v>
      </c>
      <c r="P14" s="178">
        <f t="shared" si="4"/>
        <v>601</v>
      </c>
      <c r="Q14" s="2300"/>
      <c r="R14" s="179"/>
      <c r="S14" s="132"/>
      <c r="T14" s="2299"/>
      <c r="U14" s="972"/>
      <c r="V14" s="2302"/>
      <c r="W14" s="2302"/>
      <c r="X14" s="2303"/>
      <c r="Y14" s="2304"/>
      <c r="Z14" s="136"/>
      <c r="AA14" s="2305"/>
      <c r="AB14" s="2305"/>
      <c r="AC14" s="2306"/>
      <c r="AD14" s="2303"/>
      <c r="AE14" s="970"/>
      <c r="AF14" s="2278"/>
      <c r="AG14" s="1207"/>
      <c r="AH14" s="2278"/>
      <c r="AI14" s="1556"/>
      <c r="AJ14" s="1556"/>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1679</v>
      </c>
      <c r="C15" s="2289" t="s">
        <v>2314</v>
      </c>
      <c r="D15" s="2290"/>
      <c r="E15" s="2291"/>
      <c r="F15" s="174"/>
      <c r="G15" s="175"/>
      <c r="H15" s="2292"/>
      <c r="I15" s="2292"/>
      <c r="J15" s="2292"/>
      <c r="K15" s="179">
        <f>SUMIF('数据-汇总表'!C$19:C$33,'数据-取费表'!A15,'数据-汇总表'!E$19:E$33)</f>
        <v>6320.6699999999992</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6"/>
      <c r="AJ15" s="1556"/>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4.4999999999999998E-2</v>
      </c>
      <c r="I16" s="204"/>
      <c r="J16" s="204"/>
      <c r="K16" s="205">
        <f>SUM(K6:K15)</f>
        <v>140701.99</v>
      </c>
      <c r="L16" s="206">
        <f>ROUND(M16*10000/SUM(K6:K14),0)</f>
        <v>2200</v>
      </c>
      <c r="M16" s="206">
        <f>SUM(M6:M14)</f>
        <v>29564</v>
      </c>
      <c r="N16" s="207">
        <f>ROUND(SUMPRODUCT(M6:M14,N6:N14)/M16,3)</f>
        <v>0</v>
      </c>
      <c r="O16" s="206">
        <f>SUM(O6:O14)</f>
        <v>0</v>
      </c>
      <c r="P16" s="206">
        <f>SUM(P6:P14)</f>
        <v>29564</v>
      </c>
      <c r="Q16" s="208">
        <f>ROUND(SUMPRODUCT(Q6:Q13,K6:K13)/SUMPRODUCT((Q6:Q13&gt;0)*(K6:K13)),2)</f>
        <v>0.09</v>
      </c>
      <c r="R16" s="2293">
        <f>SUM(R6:R13)</f>
        <v>36905.31</v>
      </c>
      <c r="S16" s="209">
        <f>SUM(S6:S13)</f>
        <v>2732.1499999999996</v>
      </c>
      <c r="T16" s="210">
        <f>IF(SUMIF(T6:T13,"&lt;9E307")=M14,SUMIF(T6:T13,"&lt;9E307"),"有误，请检查")</f>
        <v>601</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0.93899999999999995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3370" t="s">
        <v>3172</v>
      </c>
      <c r="L18" s="3370" t="s">
        <v>3173</v>
      </c>
      <c r="M18" s="3370"/>
      <c r="N18" s="3370"/>
      <c r="O18" s="3370" t="s">
        <v>3174</v>
      </c>
      <c r="P18" s="3370"/>
      <c r="Q18" s="3240">
        <f>Q16/B20</f>
        <v>4.4999999999999998E-2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2334</v>
      </c>
      <c r="D19" s="1975"/>
      <c r="E19" s="1974"/>
      <c r="F19" s="1974"/>
      <c r="G19" s="1974"/>
      <c r="H19" s="1974"/>
      <c r="I19" s="1974"/>
      <c r="J19" s="1974"/>
      <c r="K19" s="3370"/>
      <c r="L19" s="3209" t="s">
        <v>3175</v>
      </c>
      <c r="M19" s="3209" t="s">
        <v>3176</v>
      </c>
      <c r="N19" s="3209" t="s">
        <v>3177</v>
      </c>
      <c r="O19" s="3371"/>
      <c r="P19" s="33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2333</v>
      </c>
      <c r="D20" s="1975"/>
      <c r="E20" s="1974"/>
      <c r="F20" s="1974"/>
      <c r="G20" s="1974"/>
      <c r="H20" s="1974"/>
      <c r="I20" s="1974"/>
      <c r="J20" s="1974"/>
      <c r="K20" s="3210" t="s">
        <v>3178</v>
      </c>
      <c r="L20" s="3211" t="s">
        <v>3179</v>
      </c>
      <c r="M20" s="3211" t="s">
        <v>3180</v>
      </c>
      <c r="N20" s="3211" t="s">
        <v>3181</v>
      </c>
      <c r="O20" s="3372" t="s">
        <v>3182</v>
      </c>
      <c r="P20" s="3372"/>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2336</v>
      </c>
      <c r="B27" s="3241">
        <v>10</v>
      </c>
      <c r="C27" s="2328" t="s">
        <v>2340</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7" t="s">
        <v>2337</v>
      </c>
      <c r="B28" s="228">
        <v>15</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0" t="s">
        <v>2335</v>
      </c>
      <c r="B29" s="231"/>
      <c r="C29" s="1537" t="s">
        <v>2338</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1372"/>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3">
        <v>0.03</v>
      </c>
      <c r="C33" s="2326" t="s">
        <v>2890</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3591">
        <v>0.05</v>
      </c>
      <c r="C34" s="2326" t="s">
        <v>2891</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2892</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2893</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2894</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1.4999999999999999E-2</v>
      </c>
      <c r="C38" s="2326" t="s">
        <v>2894</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2454</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2455</v>
      </c>
      <c r="B40" s="2442">
        <f ca="1">存贷款利率!E2</f>
        <v>4.7500000000000001E-2</v>
      </c>
      <c r="C40" s="2326" t="s">
        <v>2339</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8">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2895</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2896</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2897</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2" t="s">
        <v>2898</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3" t="s">
        <v>2899</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3" t="s">
        <v>2900</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1096</v>
      </c>
      <c r="C53" s="3024" t="s">
        <v>2901</v>
      </c>
      <c r="D53" s="3025" t="s">
        <v>3231</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2902</v>
      </c>
      <c r="B54" s="3242">
        <v>6</v>
      </c>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2903</v>
      </c>
      <c r="B55" s="186"/>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2904</v>
      </c>
      <c r="B56" s="186"/>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2905</v>
      </c>
      <c r="B57" s="186"/>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2906</v>
      </c>
      <c r="B58" s="186"/>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2907</v>
      </c>
      <c r="B59" s="186"/>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2908</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2909</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2910</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2911</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mergeCells count="5">
    <mergeCell ref="K18:K19"/>
    <mergeCell ref="L18:N18"/>
    <mergeCell ref="O18:P18"/>
    <mergeCell ref="O19:P19"/>
    <mergeCell ref="O20:P20"/>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73" t="s">
        <v>1663</v>
      </c>
      <c r="B1" s="3374"/>
      <c r="C1" s="3374"/>
      <c r="D1" s="3374"/>
      <c r="E1" s="3374"/>
      <c r="F1" s="3374"/>
      <c r="G1" s="3374"/>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54">
      <c r="A3" s="1221" t="s">
        <v>1666</v>
      </c>
      <c r="B3" s="1222" t="s">
        <v>1653</v>
      </c>
      <c r="C3" s="3029" t="s">
        <v>2918</v>
      </c>
      <c r="D3" s="1991"/>
      <c r="E3" s="1223" t="s">
        <v>1666</v>
      </c>
      <c r="F3" s="1224" t="s">
        <v>1654</v>
      </c>
      <c r="G3" s="3033" t="s">
        <v>2917</v>
      </c>
      <c r="H3" s="1990"/>
      <c r="I3" s="1990"/>
      <c r="J3" s="1990"/>
      <c r="K3" s="1990"/>
      <c r="L3" s="1990"/>
      <c r="M3" s="1990"/>
      <c r="N3" s="1990"/>
      <c r="O3" s="1990"/>
      <c r="P3" s="1990"/>
      <c r="Q3" s="1990"/>
      <c r="R3" s="1990"/>
    </row>
    <row r="4" spans="1:18" ht="41.25">
      <c r="A4" s="1223"/>
      <c r="B4" s="1225" t="s">
        <v>1667</v>
      </c>
      <c r="C4" s="3030" t="s">
        <v>2919</v>
      </c>
      <c r="D4" s="1991"/>
      <c r="E4" s="1226"/>
      <c r="F4" s="1227" t="s">
        <v>1668</v>
      </c>
      <c r="G4" s="3031" t="s">
        <v>2914</v>
      </c>
      <c r="H4" s="1990"/>
      <c r="I4" s="1990"/>
      <c r="J4" s="1990"/>
      <c r="K4" s="1990"/>
      <c r="L4" s="1990"/>
      <c r="M4" s="1990"/>
      <c r="N4" s="1990"/>
      <c r="O4" s="1990"/>
      <c r="P4" s="1990"/>
      <c r="Q4" s="1990"/>
      <c r="R4" s="1990"/>
    </row>
    <row r="5" spans="1:18" ht="41.25">
      <c r="A5" s="1223"/>
      <c r="B5" s="1225" t="s">
        <v>1669</v>
      </c>
      <c r="C5" s="3030" t="s">
        <v>2920</v>
      </c>
      <c r="D5" s="1991"/>
      <c r="E5" s="1226"/>
      <c r="F5" s="1225" t="s">
        <v>2544</v>
      </c>
      <c r="G5" s="3031" t="s">
        <v>2915</v>
      </c>
      <c r="H5" s="1990"/>
      <c r="I5" s="1990"/>
      <c r="J5" s="1990"/>
      <c r="K5" s="1990"/>
      <c r="L5" s="1990"/>
      <c r="M5" s="1990"/>
      <c r="N5" s="1990"/>
      <c r="O5" s="1990"/>
      <c r="P5" s="1990"/>
      <c r="Q5" s="1990"/>
      <c r="R5" s="1990"/>
    </row>
    <row r="6" spans="1:18" ht="54">
      <c r="A6" s="1223"/>
      <c r="B6" s="1225" t="s">
        <v>1655</v>
      </c>
      <c r="C6" s="3031" t="s">
        <v>2914</v>
      </c>
      <c r="D6" s="1991"/>
      <c r="E6" s="1226"/>
      <c r="F6" s="1225" t="s">
        <v>2545</v>
      </c>
      <c r="G6" s="3031" t="s">
        <v>2912</v>
      </c>
      <c r="H6" s="1990"/>
      <c r="I6" s="1990"/>
      <c r="J6" s="1990"/>
      <c r="K6" s="1990"/>
      <c r="L6" s="1990"/>
      <c r="M6" s="1990"/>
      <c r="N6" s="1990"/>
      <c r="O6" s="1990"/>
      <c r="P6" s="1990"/>
      <c r="Q6" s="1990"/>
      <c r="R6" s="1990"/>
    </row>
    <row r="7" spans="1:18" ht="41.25" thickBot="1">
      <c r="A7" s="1223"/>
      <c r="B7" s="1225" t="s">
        <v>2544</v>
      </c>
      <c r="C7" s="3031" t="s">
        <v>2915</v>
      </c>
      <c r="D7" s="1992"/>
      <c r="E7" s="1228"/>
      <c r="F7" s="1229" t="s">
        <v>1670</v>
      </c>
      <c r="G7" s="3034" t="s">
        <v>2916</v>
      </c>
      <c r="H7" s="1990"/>
      <c r="I7" s="1990"/>
      <c r="J7" s="1990"/>
      <c r="K7" s="1990"/>
      <c r="L7" s="1990"/>
      <c r="M7" s="1990"/>
      <c r="N7" s="1990"/>
      <c r="O7" s="1990"/>
      <c r="P7" s="1990"/>
      <c r="Q7" s="1990"/>
      <c r="R7" s="1990"/>
    </row>
    <row r="8" spans="1:18" ht="27">
      <c r="A8" s="1223"/>
      <c r="B8" s="1225" t="s">
        <v>2545</v>
      </c>
      <c r="C8" s="3031" t="s">
        <v>2912</v>
      </c>
      <c r="D8" s="1992"/>
      <c r="E8" s="1992"/>
      <c r="F8" s="1538"/>
      <c r="G8" s="1538"/>
      <c r="H8" s="1990"/>
      <c r="I8" s="1990"/>
      <c r="J8" s="1990"/>
      <c r="K8" s="1990"/>
      <c r="L8" s="1990"/>
      <c r="M8" s="1990"/>
      <c r="N8" s="1990"/>
      <c r="O8" s="1990"/>
      <c r="P8" s="1990"/>
      <c r="Q8" s="1990"/>
      <c r="R8" s="1990"/>
    </row>
    <row r="9" spans="1:18" ht="40.5">
      <c r="A9" s="1223"/>
      <c r="B9" s="1225" t="s">
        <v>1656</v>
      </c>
      <c r="C9" s="3030" t="s">
        <v>2913</v>
      </c>
      <c r="D9" s="1991"/>
      <c r="E9" s="1992"/>
      <c r="F9" s="1538"/>
      <c r="G9" s="1538"/>
      <c r="H9" s="1990"/>
      <c r="I9" s="1990"/>
      <c r="J9" s="1990"/>
      <c r="K9" s="1990"/>
      <c r="L9" s="1990"/>
      <c r="M9" s="1990"/>
      <c r="N9" s="1990"/>
      <c r="O9" s="1990"/>
      <c r="P9" s="1990"/>
      <c r="Q9" s="1990"/>
      <c r="R9" s="1990"/>
    </row>
    <row r="10" spans="1:18" s="1998" customFormat="1" ht="15" thickBot="1">
      <c r="A10" s="1230"/>
      <c r="B10" s="1231" t="s">
        <v>1671</v>
      </c>
      <c r="C10" s="3032"/>
      <c r="D10" s="1991"/>
      <c r="E10" s="1991"/>
      <c r="F10" s="1538"/>
      <c r="G10" s="1538"/>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54">
      <c r="A15" s="2549" t="s">
        <v>1657</v>
      </c>
      <c r="B15" s="1236" t="s">
        <v>1653</v>
      </c>
      <c r="C15" s="1237" t="str">
        <f>C3</f>
        <v>估价对象周边居住用地比例、居住小区规模和社区发展完善程度，综合评价居住社区成熟度一般</v>
      </c>
      <c r="D15" s="1991"/>
      <c r="E15" s="2546" t="s">
        <v>1658</v>
      </c>
      <c r="F15" s="1236" t="s">
        <v>1673</v>
      </c>
      <c r="G15" s="1238" t="str">
        <f>G3</f>
        <v>估价对象位于XX开发区，园区建设成熟度XX，产业集聚程度XX</v>
      </c>
    </row>
    <row r="16" spans="1:18" ht="40.5">
      <c r="A16" s="2550"/>
      <c r="B16" s="1239" t="s">
        <v>1667</v>
      </c>
      <c r="C16" s="1240" t="str">
        <f>C4</f>
        <v>估价对象位于XX商圈，周边商业氛围成熟，人流量大，商业繁华度好</v>
      </c>
      <c r="D16" s="1991"/>
      <c r="E16" s="2547"/>
      <c r="F16" s="1241" t="s">
        <v>1668</v>
      </c>
      <c r="G16" s="1003" t="str">
        <f>G4</f>
        <v>估价对象周边道路状况、公共交通通达情况、停车便捷程度，综合评价交通便捷度较好</v>
      </c>
    </row>
    <row r="17" spans="1:7" ht="40.5">
      <c r="A17" s="2550"/>
      <c r="B17" s="1239" t="s">
        <v>1669</v>
      </c>
      <c r="C17" s="1240" t="str">
        <f>C5</f>
        <v>估价对象位于XX商圈，周边办公楼项目较多，入驻率高，办公集聚程度较好</v>
      </c>
      <c r="D17" s="1992"/>
      <c r="E17" s="2547"/>
      <c r="F17" s="1241" t="s">
        <v>1674</v>
      </c>
      <c r="G17" s="2747"/>
    </row>
    <row r="18" spans="1:7" ht="54">
      <c r="A18" s="2550"/>
      <c r="B18" s="1241" t="s">
        <v>1655</v>
      </c>
      <c r="C18" s="1003" t="str">
        <f>C6</f>
        <v>估价对象周边道路状况、公共交通通达情况、停车便捷程度，综合评价交通便捷度较好</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2544</v>
      </c>
      <c r="G19" s="1003" t="str">
        <f>G5</f>
        <v>估价对象所在区域公共配套设施齐备情况</v>
      </c>
    </row>
    <row r="20" spans="1:7" ht="40.5">
      <c r="A20" s="2550"/>
      <c r="B20" s="1241" t="s">
        <v>1660</v>
      </c>
      <c r="C20" s="1240" t="str">
        <f>C9</f>
        <v>区域自然环境：；人文环境；综合评价环境状况一般</v>
      </c>
      <c r="D20" s="1992"/>
      <c r="E20" s="2547"/>
      <c r="F20" s="1225" t="s">
        <v>2545</v>
      </c>
      <c r="G20" s="1003" t="str">
        <f>G6</f>
        <v>估价对象所在区域基础设施水平</v>
      </c>
    </row>
    <row r="21" spans="1:7" ht="27">
      <c r="A21" s="2550"/>
      <c r="B21" s="1225" t="s">
        <v>2544</v>
      </c>
      <c r="C21" s="1003" t="str">
        <f>C7</f>
        <v>估价对象所在区域公共配套设施齐备情况</v>
      </c>
      <c r="D21" s="1991"/>
      <c r="E21" s="2547"/>
      <c r="F21" s="1241" t="s">
        <v>1661</v>
      </c>
      <c r="G21" s="3035"/>
    </row>
    <row r="22" spans="1:7" ht="27">
      <c r="A22" s="2550"/>
      <c r="B22" s="1225" t="s">
        <v>2545</v>
      </c>
      <c r="C22" s="1003" t="str">
        <f>C8</f>
        <v>估价对象所在区域基础设施水平</v>
      </c>
      <c r="D22" s="1991"/>
      <c r="E22" s="2547"/>
      <c r="F22" s="1241" t="s">
        <v>1671</v>
      </c>
      <c r="G22" s="2747"/>
    </row>
    <row r="23" spans="1:7" ht="15" thickBot="1">
      <c r="A23" s="2550"/>
      <c r="B23" s="1241" t="s">
        <v>1661</v>
      </c>
      <c r="C23" s="3035"/>
      <c r="E23" s="2548"/>
      <c r="F23" s="1242" t="s">
        <v>1675</v>
      </c>
      <c r="G23" s="3036"/>
    </row>
    <row r="24" spans="1:7" ht="14.2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3" t="s">
        <v>2841</v>
      </c>
      <c r="B1" s="2993">
        <f>SUM(B14:B23)</f>
        <v>140701.99</v>
      </c>
      <c r="C1" s="2994"/>
      <c r="D1" s="2994"/>
      <c r="E1" s="2994"/>
      <c r="F1" s="2994"/>
    </row>
    <row r="2" spans="1:9" ht="16.5">
      <c r="A2" s="2993" t="s">
        <v>2842</v>
      </c>
      <c r="B2" s="2993">
        <f>SUM(C14:C23)</f>
        <v>36905.32</v>
      </c>
      <c r="C2" s="2994"/>
      <c r="D2" s="2994"/>
      <c r="E2" s="2994"/>
      <c r="F2" s="2994"/>
    </row>
    <row r="3" spans="1:9" ht="16.5">
      <c r="A3" s="2993" t="s">
        <v>2843</v>
      </c>
      <c r="B3" s="2995">
        <f>项目基本情况!D3</f>
        <v>43763</v>
      </c>
      <c r="C3" s="2994"/>
      <c r="D3" s="2994"/>
      <c r="E3" s="2994"/>
      <c r="F3" s="2994"/>
    </row>
    <row r="4" spans="1:9" ht="33">
      <c r="A4" s="2993" t="s">
        <v>2844</v>
      </c>
      <c r="B4" s="2993" t="s">
        <v>2845</v>
      </c>
      <c r="C4" s="2993" t="s">
        <v>2846</v>
      </c>
      <c r="D4" s="2993" t="s">
        <v>2847</v>
      </c>
      <c r="E4" s="2994"/>
      <c r="F4" s="2994"/>
    </row>
    <row r="5" spans="1:9" ht="16.5">
      <c r="A5" s="2993" t="s">
        <v>2848</v>
      </c>
      <c r="B5" s="2993">
        <f ca="1">SUM(D14:D23)</f>
        <v>36085</v>
      </c>
      <c r="C5" s="2993">
        <f ca="1">ROUND(B5*10000/$B$1,0)</f>
        <v>2565</v>
      </c>
      <c r="D5" s="2993">
        <f ca="1">ROUND(B5*10000/$B$2,0)</f>
        <v>9778</v>
      </c>
      <c r="E5" s="2994"/>
      <c r="F5" s="2994"/>
    </row>
    <row r="6" spans="1:9" ht="16.5">
      <c r="A6" s="2993" t="s">
        <v>2849</v>
      </c>
      <c r="B6" s="2993">
        <f ca="1">SUM(G14:G23)</f>
        <v>36085</v>
      </c>
      <c r="C6" s="2993">
        <f t="shared" ref="C6:C8" ca="1" si="0">ROUND(B6*10000/$B$1,0)</f>
        <v>2565</v>
      </c>
      <c r="D6" s="2993">
        <f t="shared" ref="D6:D8" ca="1" si="1">ROUND(B6*10000/$B$2,0)</f>
        <v>9778</v>
      </c>
      <c r="E6" s="2994"/>
      <c r="F6" s="2994"/>
    </row>
    <row r="7" spans="1:9" ht="16.5">
      <c r="A7" s="2993" t="s">
        <v>2850</v>
      </c>
      <c r="B7" s="2993">
        <f>SUM(H14:H23)</f>
        <v>0</v>
      </c>
      <c r="C7" s="2993">
        <f t="shared" si="0"/>
        <v>0</v>
      </c>
      <c r="D7" s="2993">
        <f t="shared" si="1"/>
        <v>0</v>
      </c>
      <c r="E7" s="2994"/>
      <c r="F7" s="2994"/>
    </row>
    <row r="8" spans="1:9" ht="16.5">
      <c r="A8" s="2993" t="s">
        <v>2851</v>
      </c>
      <c r="B8" s="2993">
        <f>SUM(I14:I23)</f>
        <v>0</v>
      </c>
      <c r="C8" s="2993">
        <f t="shared" si="0"/>
        <v>0</v>
      </c>
      <c r="D8" s="2993">
        <f t="shared" si="1"/>
        <v>0</v>
      </c>
      <c r="E8" s="2994"/>
      <c r="F8" s="2994"/>
    </row>
    <row r="9" spans="1:9" ht="16.5">
      <c r="A9" s="2993" t="s">
        <v>2852</v>
      </c>
      <c r="B9" s="2996"/>
      <c r="C9" s="2994"/>
      <c r="D9" s="2994"/>
      <c r="E9" s="2994"/>
      <c r="F9" s="2994"/>
    </row>
    <row r="10" spans="1:9" ht="16.5">
      <c r="A10" s="2993" t="s">
        <v>2853</v>
      </c>
      <c r="B10" s="2996"/>
      <c r="C10" s="2994"/>
      <c r="D10" s="2994"/>
      <c r="E10" s="2994"/>
      <c r="F10" s="2994"/>
    </row>
    <row r="11" spans="1:9" ht="16.5">
      <c r="A11" s="2993" t="s">
        <v>2870</v>
      </c>
      <c r="B11" s="2996"/>
      <c r="C11" s="2994"/>
      <c r="D11" s="2994"/>
      <c r="E11" s="2994"/>
      <c r="F11" s="2994"/>
    </row>
    <row r="12" spans="1:9" ht="16.5">
      <c r="A12" s="2994"/>
      <c r="B12" s="2994"/>
      <c r="C12" s="2994"/>
      <c r="D12" s="2994"/>
      <c r="E12" s="2994"/>
      <c r="F12" s="2994"/>
    </row>
    <row r="13" spans="1:9" ht="33">
      <c r="A13" s="2999" t="s">
        <v>2869</v>
      </c>
      <c r="B13" s="2997" t="s">
        <v>2841</v>
      </c>
      <c r="C13" s="2997" t="s">
        <v>2842</v>
      </c>
      <c r="D13" s="2997" t="s">
        <v>2854</v>
      </c>
      <c r="E13" s="2993" t="s">
        <v>2868</v>
      </c>
      <c r="F13" s="2993" t="s">
        <v>2847</v>
      </c>
      <c r="G13" s="2997" t="s">
        <v>2855</v>
      </c>
      <c r="H13" s="2997" t="s">
        <v>2856</v>
      </c>
      <c r="I13" s="2997" t="s">
        <v>2857</v>
      </c>
    </row>
    <row r="14" spans="1:9" ht="16.5">
      <c r="A14" s="3000" t="s">
        <v>2867</v>
      </c>
      <c r="B14" s="2997">
        <f>结果表!L38</f>
        <v>140701.99</v>
      </c>
      <c r="C14" s="2997">
        <f>结果表!K38</f>
        <v>36905.32</v>
      </c>
      <c r="D14" s="2997">
        <f ca="1">结果表!C42</f>
        <v>36085</v>
      </c>
      <c r="E14" s="2997">
        <f ca="1">ROUND(D14*10000/B14,0)</f>
        <v>2565</v>
      </c>
      <c r="F14" s="2997">
        <f ca="1">ROUND(D14*10000/C14,0)</f>
        <v>9778</v>
      </c>
      <c r="G14" s="2997">
        <f ca="1">结果表!C44</f>
        <v>36085</v>
      </c>
      <c r="H14" s="2997" t="str">
        <f>结果表!C45</f>
        <v>——</v>
      </c>
      <c r="I14" s="2997" t="str">
        <f>结果表!C46</f>
        <v>——</v>
      </c>
    </row>
    <row r="15" spans="1:9" ht="16.5">
      <c r="A15" s="3000" t="s">
        <v>2858</v>
      </c>
      <c r="B15" s="3001"/>
      <c r="C15" s="3001"/>
      <c r="D15" s="3001"/>
      <c r="E15" s="2997" t="e">
        <f t="shared" ref="E15:E23" si="2">ROUND(D15*10000/B15,0)</f>
        <v>#DIV/0!</v>
      </c>
      <c r="F15" s="2997" t="e">
        <f t="shared" ref="F15:F23" si="3">ROUND(D15*10000/C15,0)</f>
        <v>#DIV/0!</v>
      </c>
      <c r="G15" s="2998"/>
      <c r="H15" s="2998"/>
      <c r="I15" s="3001"/>
    </row>
    <row r="16" spans="1:9" ht="16.5">
      <c r="A16" s="3000" t="s">
        <v>2859</v>
      </c>
      <c r="B16" s="3001"/>
      <c r="C16" s="3001"/>
      <c r="D16" s="3001"/>
      <c r="E16" s="2997" t="e">
        <f t="shared" si="2"/>
        <v>#DIV/0!</v>
      </c>
      <c r="F16" s="2997" t="e">
        <f t="shared" si="3"/>
        <v>#DIV/0!</v>
      </c>
      <c r="G16" s="2998"/>
      <c r="H16" s="2998"/>
      <c r="I16" s="3001"/>
    </row>
    <row r="17" spans="1:9" ht="16.5">
      <c r="A17" s="3000" t="s">
        <v>2860</v>
      </c>
      <c r="B17" s="3001"/>
      <c r="C17" s="3001"/>
      <c r="D17" s="3001"/>
      <c r="E17" s="2997" t="e">
        <f t="shared" si="2"/>
        <v>#DIV/0!</v>
      </c>
      <c r="F17" s="2997" t="e">
        <f t="shared" si="3"/>
        <v>#DIV/0!</v>
      </c>
      <c r="G17" s="2998"/>
      <c r="H17" s="2998"/>
      <c r="I17" s="3001"/>
    </row>
    <row r="18" spans="1:9" ht="16.5">
      <c r="A18" s="3000" t="s">
        <v>2861</v>
      </c>
      <c r="B18" s="3001"/>
      <c r="C18" s="3001"/>
      <c r="D18" s="3001"/>
      <c r="E18" s="2997" t="e">
        <f t="shared" si="2"/>
        <v>#DIV/0!</v>
      </c>
      <c r="F18" s="2997" t="e">
        <f t="shared" si="3"/>
        <v>#DIV/0!</v>
      </c>
      <c r="G18" s="3001"/>
      <c r="H18" s="3001"/>
      <c r="I18" s="3001"/>
    </row>
    <row r="19" spans="1:9" ht="16.5">
      <c r="A19" s="3000" t="s">
        <v>2862</v>
      </c>
      <c r="B19" s="3001"/>
      <c r="C19" s="3001"/>
      <c r="D19" s="3001"/>
      <c r="E19" s="2997" t="e">
        <f t="shared" si="2"/>
        <v>#DIV/0!</v>
      </c>
      <c r="F19" s="2997" t="e">
        <f t="shared" si="3"/>
        <v>#DIV/0!</v>
      </c>
      <c r="G19" s="3001"/>
      <c r="H19" s="3001"/>
      <c r="I19" s="3001"/>
    </row>
    <row r="20" spans="1:9" ht="16.5">
      <c r="A20" s="3000" t="s">
        <v>2863</v>
      </c>
      <c r="B20" s="3001"/>
      <c r="C20" s="3001"/>
      <c r="D20" s="3001"/>
      <c r="E20" s="2997" t="e">
        <f t="shared" si="2"/>
        <v>#DIV/0!</v>
      </c>
      <c r="F20" s="2997" t="e">
        <f t="shared" si="3"/>
        <v>#DIV/0!</v>
      </c>
      <c r="G20" s="3001"/>
      <c r="H20" s="3001"/>
      <c r="I20" s="3001"/>
    </row>
    <row r="21" spans="1:9" ht="16.5">
      <c r="A21" s="3000" t="s">
        <v>2864</v>
      </c>
      <c r="B21" s="3001"/>
      <c r="C21" s="3001"/>
      <c r="D21" s="3001"/>
      <c r="E21" s="2997" t="e">
        <f t="shared" si="2"/>
        <v>#DIV/0!</v>
      </c>
      <c r="F21" s="2997" t="e">
        <f t="shared" si="3"/>
        <v>#DIV/0!</v>
      </c>
      <c r="G21" s="3001"/>
      <c r="H21" s="3001"/>
      <c r="I21" s="3001"/>
    </row>
    <row r="22" spans="1:9" ht="16.5">
      <c r="A22" s="3000" t="s">
        <v>2865</v>
      </c>
      <c r="B22" s="3001"/>
      <c r="C22" s="3001"/>
      <c r="D22" s="3001"/>
      <c r="E22" s="2997" t="e">
        <f t="shared" si="2"/>
        <v>#DIV/0!</v>
      </c>
      <c r="F22" s="2997" t="e">
        <f t="shared" si="3"/>
        <v>#DIV/0!</v>
      </c>
      <c r="G22" s="3001"/>
      <c r="H22" s="3001"/>
      <c r="I22" s="3001"/>
    </row>
    <row r="23" spans="1:9" ht="16.5">
      <c r="A23" s="3000" t="s">
        <v>2866</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8" t="s">
        <v>2054</v>
      </c>
      <c r="B1" s="1759"/>
      <c r="C1" s="1787" t="s">
        <v>2055</v>
      </c>
      <c r="D1" s="1788" t="s">
        <v>3248</v>
      </c>
      <c r="E1" s="1787" t="s">
        <v>2056</v>
      </c>
      <c r="F1" s="1789" t="s">
        <v>3249</v>
      </c>
      <c r="G1" s="310"/>
      <c r="H1" s="310"/>
      <c r="I1" s="310"/>
      <c r="J1" s="2011"/>
      <c r="K1" s="2011"/>
      <c r="L1" s="2011"/>
      <c r="M1" s="2011"/>
      <c r="N1" s="2011"/>
      <c r="O1" s="2011"/>
      <c r="P1" s="2011"/>
      <c r="Q1" s="2011"/>
      <c r="R1" s="2011"/>
      <c r="S1" s="2011"/>
      <c r="T1" s="2011"/>
      <c r="U1" s="2011"/>
      <c r="V1" s="2011"/>
    </row>
    <row r="2" spans="1:22" ht="21.75" customHeight="1" thickBot="1">
      <c r="A2" s="3420" t="str">
        <f>项目基本情况!K2</f>
        <v>云南省玉溪市红塔区李棋街道新康井路以西出让国有建设用地使用权</v>
      </c>
      <c r="B2" s="3421"/>
      <c r="C2" s="3422"/>
      <c r="D2" s="3422"/>
      <c r="E2" s="3422"/>
      <c r="F2" s="3422"/>
      <c r="G2" s="3421"/>
      <c r="H2" s="3421"/>
      <c r="I2" s="3423"/>
      <c r="J2" s="2012"/>
      <c r="K2" s="2011"/>
      <c r="L2" s="2011"/>
      <c r="M2" s="2011"/>
      <c r="N2" s="2011"/>
      <c r="O2" s="2011"/>
      <c r="P2" s="2011"/>
      <c r="Q2" s="2011"/>
      <c r="R2" s="2011"/>
      <c r="S2" s="2011"/>
      <c r="T2" s="2011"/>
      <c r="U2" s="2011"/>
      <c r="V2" s="2011"/>
    </row>
    <row r="3" spans="1:22" ht="14.25">
      <c r="A3" s="3431" t="s">
        <v>298</v>
      </c>
      <c r="B3" s="3432"/>
      <c r="C3" s="3432"/>
      <c r="D3" s="3432"/>
      <c r="E3" s="3432"/>
      <c r="F3" s="3432"/>
      <c r="G3" s="3432"/>
      <c r="H3" s="3432"/>
      <c r="I3" s="3432"/>
      <c r="J3" s="2012"/>
      <c r="K3" s="2011"/>
      <c r="L3" s="2011"/>
      <c r="M3" s="2011"/>
      <c r="N3" s="2011"/>
      <c r="O3" s="2011"/>
      <c r="P3" s="2011"/>
      <c r="Q3" s="2011"/>
      <c r="R3" s="2011"/>
      <c r="S3" s="2011"/>
      <c r="T3" s="2011"/>
      <c r="U3" s="2011"/>
      <c r="V3" s="2011"/>
    </row>
    <row r="4" spans="1:22" ht="14.25">
      <c r="A4" s="257" t="s">
        <v>299</v>
      </c>
      <c r="B4" s="258" t="s">
        <v>300</v>
      </c>
      <c r="C4" s="259" t="s">
        <v>3246</v>
      </c>
      <c r="D4" s="259" t="s">
        <v>3247</v>
      </c>
      <c r="E4" s="3395" t="s">
        <v>301</v>
      </c>
      <c r="F4" s="3437"/>
      <c r="G4" s="3437"/>
      <c r="H4" s="3437"/>
      <c r="I4" s="3396"/>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424" t="s">
        <v>302</v>
      </c>
      <c r="B5" s="3425">
        <v>25</v>
      </c>
      <c r="C5" s="3433"/>
      <c r="D5" s="3436"/>
      <c r="E5" s="260" t="s">
        <v>303</v>
      </c>
      <c r="F5" s="261"/>
      <c r="G5" s="261"/>
      <c r="H5" s="261"/>
      <c r="I5" s="262"/>
      <c r="J5" s="2012"/>
      <c r="K5" s="2011"/>
      <c r="L5" s="2011"/>
      <c r="M5" s="2011"/>
      <c r="N5" s="2011"/>
      <c r="O5" s="2011"/>
      <c r="P5" s="2011"/>
      <c r="Q5" s="2011"/>
      <c r="R5" s="2011"/>
      <c r="S5" s="2011"/>
      <c r="T5" s="2011"/>
      <c r="U5" s="2011"/>
      <c r="V5" s="2011"/>
    </row>
    <row r="6" spans="1:22" ht="14.25">
      <c r="A6" s="3424"/>
      <c r="B6" s="3425"/>
      <c r="C6" s="3434"/>
      <c r="D6" s="3436"/>
      <c r="E6" s="260" t="s">
        <v>304</v>
      </c>
      <c r="F6" s="261"/>
      <c r="G6" s="261"/>
      <c r="H6" s="261"/>
      <c r="I6" s="262"/>
      <c r="J6" s="2012"/>
      <c r="K6" s="2011"/>
      <c r="L6" s="2011"/>
      <c r="M6" s="2011"/>
      <c r="N6" s="2011"/>
      <c r="O6" s="2011"/>
      <c r="P6" s="2011"/>
      <c r="Q6" s="2011"/>
      <c r="R6" s="2011"/>
      <c r="S6" s="2011"/>
      <c r="T6" s="2011"/>
      <c r="U6" s="2011"/>
      <c r="V6" s="2011"/>
    </row>
    <row r="7" spans="1:22" ht="14.25">
      <c r="A7" s="3424"/>
      <c r="B7" s="3425"/>
      <c r="C7" s="3435"/>
      <c r="D7" s="3436"/>
      <c r="E7" s="260" t="s">
        <v>305</v>
      </c>
      <c r="F7" s="261"/>
      <c r="G7" s="261"/>
      <c r="H7" s="261"/>
      <c r="I7" s="262"/>
      <c r="J7" s="2012"/>
      <c r="K7" s="2011"/>
      <c r="L7" s="2011"/>
      <c r="M7" s="2011"/>
      <c r="N7" s="2011"/>
      <c r="O7" s="2011"/>
      <c r="P7" s="2011"/>
      <c r="Q7" s="2011"/>
      <c r="R7" s="2011"/>
      <c r="S7" s="2011"/>
      <c r="T7" s="2011"/>
      <c r="U7" s="2011"/>
      <c r="V7" s="2011"/>
    </row>
    <row r="8" spans="1:22" ht="14.25">
      <c r="A8" s="3424" t="s">
        <v>306</v>
      </c>
      <c r="B8" s="3425">
        <v>15</v>
      </c>
      <c r="C8" s="3433"/>
      <c r="D8" s="3436"/>
      <c r="E8" s="260" t="s">
        <v>307</v>
      </c>
      <c r="F8" s="261"/>
      <c r="G8" s="261"/>
      <c r="H8" s="261"/>
      <c r="I8" s="262"/>
      <c r="J8" s="2012"/>
      <c r="K8" s="2011"/>
      <c r="L8" s="2011"/>
      <c r="M8" s="2011"/>
      <c r="N8" s="2011"/>
      <c r="O8" s="2011"/>
      <c r="P8" s="2011"/>
      <c r="Q8" s="2011"/>
      <c r="R8" s="2011"/>
      <c r="S8" s="2011"/>
      <c r="T8" s="2011"/>
      <c r="U8" s="2011"/>
      <c r="V8" s="2011"/>
    </row>
    <row r="9" spans="1:22" ht="14.25">
      <c r="A9" s="3424"/>
      <c r="B9" s="3425"/>
      <c r="C9" s="3435"/>
      <c r="D9" s="3436"/>
      <c r="E9" s="260" t="s">
        <v>308</v>
      </c>
      <c r="F9" s="261"/>
      <c r="G9" s="261"/>
      <c r="H9" s="261"/>
      <c r="I9" s="262"/>
      <c r="J9" s="2012"/>
      <c r="K9" s="2011"/>
      <c r="L9" s="2011"/>
      <c r="M9" s="2011"/>
      <c r="N9" s="2011"/>
      <c r="O9" s="2011"/>
      <c r="P9" s="2011"/>
      <c r="Q9" s="2011"/>
      <c r="R9" s="2011"/>
      <c r="S9" s="2011"/>
      <c r="T9" s="2011"/>
      <c r="U9" s="2011"/>
      <c r="V9" s="2011"/>
    </row>
    <row r="10" spans="1:22" ht="14.25">
      <c r="A10" s="3424" t="s">
        <v>309</v>
      </c>
      <c r="B10" s="3425">
        <v>15</v>
      </c>
      <c r="C10" s="3433"/>
      <c r="D10" s="3436"/>
      <c r="E10" s="260" t="s">
        <v>310</v>
      </c>
      <c r="F10" s="261"/>
      <c r="G10" s="261"/>
      <c r="H10" s="261"/>
      <c r="I10" s="262"/>
      <c r="J10" s="2012"/>
      <c r="K10" s="2011"/>
      <c r="L10" s="2011"/>
      <c r="M10" s="2011"/>
      <c r="N10" s="2011"/>
      <c r="O10" s="2011"/>
      <c r="P10" s="2011"/>
      <c r="Q10" s="2011"/>
      <c r="R10" s="2011"/>
      <c r="S10" s="2011"/>
      <c r="T10" s="2011"/>
      <c r="U10" s="2011"/>
      <c r="V10" s="2011"/>
    </row>
    <row r="11" spans="1:22" ht="14.25">
      <c r="A11" s="3424"/>
      <c r="B11" s="3425"/>
      <c r="C11" s="3435"/>
      <c r="D11" s="3436"/>
      <c r="E11" s="260" t="s">
        <v>311</v>
      </c>
      <c r="F11" s="261"/>
      <c r="G11" s="261"/>
      <c r="H11" s="261"/>
      <c r="I11" s="262"/>
      <c r="J11" s="2012"/>
      <c r="K11" s="2011"/>
      <c r="L11" s="2011"/>
      <c r="M11" s="2011"/>
      <c r="N11" s="2011"/>
      <c r="O11" s="2011"/>
      <c r="P11" s="2011"/>
      <c r="Q11" s="2011"/>
      <c r="R11" s="2011"/>
      <c r="S11" s="2011"/>
      <c r="T11" s="2011"/>
      <c r="U11" s="2011"/>
      <c r="V11" s="2011"/>
    </row>
    <row r="12" spans="1:22" ht="14.25">
      <c r="A12" s="3424" t="s">
        <v>312</v>
      </c>
      <c r="B12" s="3425">
        <v>15</v>
      </c>
      <c r="C12" s="3433"/>
      <c r="D12" s="3436"/>
      <c r="E12" s="260" t="s">
        <v>313</v>
      </c>
      <c r="F12" s="261"/>
      <c r="G12" s="261"/>
      <c r="H12" s="261"/>
      <c r="I12" s="262"/>
      <c r="J12" s="2012"/>
      <c r="K12" s="2011"/>
      <c r="L12" s="2011"/>
      <c r="M12" s="2011"/>
      <c r="N12" s="2011"/>
      <c r="O12" s="2011"/>
      <c r="P12" s="2011"/>
      <c r="Q12" s="2011"/>
      <c r="R12" s="2011"/>
      <c r="S12" s="2011"/>
      <c r="T12" s="2011"/>
      <c r="U12" s="2011"/>
      <c r="V12" s="2011"/>
    </row>
    <row r="13" spans="1:22" ht="14.25">
      <c r="A13" s="3424"/>
      <c r="B13" s="3425"/>
      <c r="C13" s="3435"/>
      <c r="D13" s="3436"/>
      <c r="E13" s="260" t="s">
        <v>314</v>
      </c>
      <c r="F13" s="261"/>
      <c r="G13" s="261"/>
      <c r="H13" s="261"/>
      <c r="I13" s="262"/>
      <c r="J13" s="2012"/>
      <c r="K13" s="2011"/>
      <c r="L13" s="2011"/>
      <c r="M13" s="2011"/>
      <c r="N13" s="2011"/>
      <c r="O13" s="2011"/>
      <c r="P13" s="2011"/>
      <c r="Q13" s="2011"/>
      <c r="R13" s="2011"/>
      <c r="S13" s="2011"/>
      <c r="T13" s="2011"/>
      <c r="U13" s="2011"/>
      <c r="V13" s="2011"/>
    </row>
    <row r="14" spans="1:22" ht="14.25">
      <c r="A14" s="3424" t="s">
        <v>315</v>
      </c>
      <c r="B14" s="3425">
        <v>30</v>
      </c>
      <c r="C14" s="3433">
        <v>5</v>
      </c>
      <c r="D14" s="343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424"/>
      <c r="B15" s="3425"/>
      <c r="C15" s="3434"/>
      <c r="D15" s="3436"/>
      <c r="E15" s="260" t="s">
        <v>317</v>
      </c>
      <c r="F15" s="261"/>
      <c r="G15" s="261"/>
      <c r="H15" s="261"/>
      <c r="I15" s="262"/>
      <c r="J15" s="2012"/>
      <c r="K15" s="2011"/>
      <c r="L15" s="2011"/>
      <c r="M15" s="2011"/>
      <c r="N15" s="2011"/>
      <c r="O15" s="2011"/>
      <c r="P15" s="2011"/>
      <c r="Q15" s="2011"/>
      <c r="R15" s="2011"/>
      <c r="S15" s="2011"/>
      <c r="T15" s="2011"/>
      <c r="U15" s="2011"/>
      <c r="V15" s="2011"/>
    </row>
    <row r="16" spans="1:22" ht="14.25">
      <c r="A16" s="3424"/>
      <c r="B16" s="3425"/>
      <c r="C16" s="3435"/>
      <c r="D16" s="343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36977</v>
      </c>
      <c r="D19" s="270">
        <f ca="1">SUMIF(INDIRECT("'"&amp;D4&amp;"'"&amp;"!A:A"),结果表!B19,INDIRECT("'"&amp;D4&amp;"'"&amp;"!B:B"))</f>
        <v>35193</v>
      </c>
      <c r="E19" s="267" t="s">
        <v>323</v>
      </c>
      <c r="F19" s="268" t="s">
        <v>322</v>
      </c>
      <c r="G19" s="271">
        <f ca="1">ROUND(C19*$C$18+D19*$D$18,0)</f>
        <v>36085</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2628</v>
      </c>
      <c r="D20" s="276">
        <f ca="1">SUMIF(INDIRECT("'"&amp;D4&amp;"'"&amp;"!A:A"),结果表!B20,INDIRECT("'"&amp;D4&amp;"'"&amp;"!B:B"))</f>
        <v>2501</v>
      </c>
      <c r="E20" s="273"/>
      <c r="F20" s="274" t="s">
        <v>325</v>
      </c>
      <c r="G20" s="277">
        <f ca="1">ROUND(C20*$C$18+D20*$D$18,0)</f>
        <v>2565</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10019</v>
      </c>
      <c r="D21" s="151">
        <f ca="1">SUMIF(INDIRECT("'"&amp;D4&amp;"'"&amp;"!A:A"),结果表!B21,INDIRECT("'"&amp;D4&amp;"'"&amp;"!B:B"))</f>
        <v>9536</v>
      </c>
      <c r="E21" s="273"/>
      <c r="F21" s="279" t="s">
        <v>327</v>
      </c>
      <c r="G21" s="281">
        <f ca="1">ROUND(C21*$C$18+D21*$D$18,0)</f>
        <v>9778</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5.069189895717896E-2</v>
      </c>
      <c r="E22" s="283"/>
      <c r="F22" s="284"/>
      <c r="G22" s="285">
        <f ca="1">ROUND(G19/('数据-汇总表'!D3/666.67),0)</f>
        <v>652</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97"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439"/>
      <c r="B25" s="1315" t="s">
        <v>331</v>
      </c>
      <c r="C25" s="289">
        <f>IF(B30=0,0,C30)</f>
        <v>0</v>
      </c>
      <c r="D25" s="290"/>
      <c r="E25" s="310"/>
      <c r="F25" s="310"/>
      <c r="G25" s="310"/>
      <c r="H25" s="310"/>
      <c r="I25" s="310"/>
      <c r="J25" s="2011"/>
      <c r="K25" s="1249" t="str">
        <f ca="1">项目基本情况!B16&amp;"国有建设用地使用权价格："&amp;O38&amp;"万元"</f>
        <v>出让国有建设用地使用权价格：36085万元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大写金额：人民币叁亿陆仟零捌拾伍万元整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单位面积地价：9778元/平方米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楼面地价：2565元/平方米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抵押价格：36085万元</v>
      </c>
      <c r="L29" s="1246"/>
      <c r="M29" s="1246"/>
      <c r="N29" s="1246"/>
      <c r="O29" s="1245"/>
      <c r="P29" s="2011"/>
      <c r="V29" s="2011"/>
    </row>
    <row r="30" spans="1:26" ht="18.75" thickBot="1">
      <c r="A30" s="3078" t="s">
        <v>336</v>
      </c>
      <c r="B30" s="308"/>
      <c r="C30" s="308"/>
      <c r="D30" s="309"/>
      <c r="E30" s="3079" t="s">
        <v>2964</v>
      </c>
      <c r="F30" s="310"/>
      <c r="G30" s="310"/>
      <c r="H30" s="310"/>
      <c r="I30" s="310"/>
      <c r="J30" s="2011"/>
      <c r="K30" s="1252" t="str">
        <f ca="1">IF(K29="——","——","大写金额：人民币"&amp;NUMBERSTRING(INT(O39*10000),2)&amp;"元整")</f>
        <v>大写金额：人民币叁亿陆仟零捌拾伍万元整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6" t="s">
        <v>1688</v>
      </c>
      <c r="C32" s="1377">
        <f ca="1">G19-C24</f>
        <v>36085</v>
      </c>
      <c r="D32" s="1378"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9" t="s">
        <v>1690</v>
      </c>
      <c r="C33" s="263">
        <f ca="1">ROUND(C32*10000/'数据-汇总表'!E3,0)</f>
        <v>2565</v>
      </c>
      <c r="D33" s="1380" t="s">
        <v>1691</v>
      </c>
      <c r="E33" s="3397"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1" t="s">
        <v>1692</v>
      </c>
      <c r="C34" s="263">
        <f ca="1">ROUND(C32*10000/'数据-汇总表'!D3,0)</f>
        <v>9778</v>
      </c>
      <c r="D34" s="1382" t="s">
        <v>1691</v>
      </c>
      <c r="E34" s="3398"/>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3"/>
      <c r="C35" s="1384">
        <f ca="1">ROUND(C32/('数据-汇总表'!D3/666.67),0)</f>
        <v>652</v>
      </c>
      <c r="D35" s="1385" t="s">
        <v>1693</v>
      </c>
      <c r="E35" s="3399"/>
      <c r="F35" s="300" t="s">
        <v>342</v>
      </c>
      <c r="G35" s="980"/>
      <c r="H35" s="979" t="s">
        <v>343</v>
      </c>
      <c r="I35" s="310"/>
      <c r="J35" s="2011"/>
      <c r="K35" s="3403" t="s">
        <v>350</v>
      </c>
      <c r="L35" s="3403" t="s">
        <v>351</v>
      </c>
      <c r="M35" s="1258" t="s">
        <v>352</v>
      </c>
      <c r="N35" s="3403" t="s">
        <v>353</v>
      </c>
      <c r="O35" s="3403" t="s">
        <v>354</v>
      </c>
      <c r="P35" s="2011"/>
      <c r="V35" s="2011"/>
    </row>
    <row r="36" spans="1:26" ht="16.5" customHeight="1">
      <c r="A36" s="302" t="s">
        <v>344</v>
      </c>
      <c r="B36" s="303" t="s">
        <v>333</v>
      </c>
      <c r="C36" s="304" t="s">
        <v>345</v>
      </c>
      <c r="D36" s="304" t="s">
        <v>346</v>
      </c>
      <c r="E36" s="305" t="s">
        <v>347</v>
      </c>
      <c r="F36" s="310"/>
      <c r="G36" s="310"/>
      <c r="H36" s="310"/>
      <c r="I36" s="310"/>
      <c r="J36" s="2013"/>
      <c r="K36" s="3404"/>
      <c r="L36" s="3404"/>
      <c r="M36" s="1260" t="s">
        <v>355</v>
      </c>
      <c r="N36" s="3404"/>
      <c r="O36" s="3404"/>
      <c r="P36" s="2011"/>
      <c r="V36" s="2011"/>
    </row>
    <row r="37" spans="1:26" ht="16.5" customHeight="1" thickBot="1">
      <c r="A37" s="1254" t="s">
        <v>348</v>
      </c>
      <c r="B37" s="306"/>
      <c r="C37" s="293"/>
      <c r="D37" s="293"/>
      <c r="E37" s="294"/>
      <c r="F37" s="310"/>
      <c r="G37" s="310"/>
      <c r="H37" s="310"/>
      <c r="I37" s="310"/>
      <c r="J37" s="2013"/>
      <c r="K37" s="3405"/>
      <c r="L37" s="3405"/>
      <c r="M37" s="1261"/>
      <c r="N37" s="3405"/>
      <c r="O37" s="3405"/>
      <c r="P37" s="2011"/>
      <c r="V37" s="2011"/>
    </row>
    <row r="38" spans="1:26" ht="16.5" customHeight="1" thickBot="1">
      <c r="A38" s="1254" t="s">
        <v>349</v>
      </c>
      <c r="B38" s="306"/>
      <c r="C38" s="293"/>
      <c r="D38" s="293"/>
      <c r="E38" s="294"/>
      <c r="F38" s="310"/>
      <c r="G38" s="310"/>
      <c r="H38" s="310"/>
      <c r="I38" s="310"/>
      <c r="J38" s="2013"/>
      <c r="K38" s="1262">
        <f>'数据-汇总表'!D3</f>
        <v>36905.32</v>
      </c>
      <c r="L38" s="1263">
        <f>'数据-汇总表'!E3</f>
        <v>140701.99</v>
      </c>
      <c r="M38" s="1263">
        <f ca="1">C34</f>
        <v>9778</v>
      </c>
      <c r="N38" s="1263">
        <f ca="1">C33</f>
        <v>2565</v>
      </c>
      <c r="O38" s="1264">
        <f ca="1">C32</f>
        <v>36085</v>
      </c>
      <c r="P38" s="2011"/>
      <c r="V38" s="2011"/>
    </row>
    <row r="39" spans="1:26" ht="16.5" customHeight="1" thickBot="1">
      <c r="A39" s="1259"/>
      <c r="B39" s="307"/>
      <c r="C39" s="308"/>
      <c r="D39" s="308"/>
      <c r="E39" s="309"/>
      <c r="F39" s="310"/>
      <c r="G39" s="310"/>
      <c r="H39" s="310"/>
      <c r="I39" s="310"/>
      <c r="J39" s="2013"/>
      <c r="K39" s="3380" t="str">
        <f>MID(A44,3,LEN(A44)-2)</f>
        <v>抵押价格</v>
      </c>
      <c r="L39" s="3381"/>
      <c r="M39" s="3381"/>
      <c r="N39" s="3382"/>
      <c r="O39" s="1387">
        <f ca="1">C44</f>
        <v>36085</v>
      </c>
      <c r="P39" s="2011"/>
      <c r="V39" s="2011"/>
    </row>
    <row r="40" spans="1:26" ht="19.5" thickBot="1">
      <c r="A40" s="104" t="s">
        <v>873</v>
      </c>
      <c r="B40" s="310"/>
      <c r="C40" s="310"/>
      <c r="D40" s="310"/>
      <c r="E40" s="310"/>
      <c r="F40" s="310"/>
      <c r="G40" s="310"/>
      <c r="H40" s="310"/>
      <c r="I40" s="310"/>
      <c r="J40" s="2013"/>
      <c r="K40" s="3380" t="str">
        <f t="shared" ref="K40:K41" si="0">MID(A45,3,LEN(A45)-2)</f>
        <v/>
      </c>
      <c r="L40" s="3381"/>
      <c r="M40" s="3381"/>
      <c r="N40" s="3382"/>
      <c r="O40" s="1387" t="str">
        <f>C45</f>
        <v>——</v>
      </c>
      <c r="P40" s="2011"/>
      <c r="V40" s="2011"/>
    </row>
    <row r="41" spans="1:26" ht="16.5" thickBot="1">
      <c r="A41" s="311" t="s">
        <v>356</v>
      </c>
      <c r="B41" s="312"/>
      <c r="C41" s="313" t="s">
        <v>357</v>
      </c>
      <c r="D41" s="314" t="s">
        <v>358</v>
      </c>
      <c r="E41" s="314" t="s">
        <v>359</v>
      </c>
      <c r="F41" s="315" t="s">
        <v>360</v>
      </c>
      <c r="G41" s="310"/>
      <c r="H41" s="310"/>
      <c r="I41" s="310"/>
      <c r="J41" s="2013"/>
      <c r="K41" s="3380" t="str">
        <f t="shared" si="0"/>
        <v/>
      </c>
      <c r="L41" s="3381"/>
      <c r="M41" s="3381"/>
      <c r="N41" s="3382"/>
      <c r="O41" s="1387" t="str">
        <f>C46</f>
        <v>——</v>
      </c>
      <c r="P41" s="2011"/>
      <c r="V41" s="2011"/>
    </row>
    <row r="42" spans="1:26" ht="29.25">
      <c r="A42" s="3440" t="s">
        <v>2066</v>
      </c>
      <c r="B42" s="3441"/>
      <c r="C42" s="263">
        <f ca="1">C32</f>
        <v>36085</v>
      </c>
      <c r="D42" s="316">
        <f ca="1">C33</f>
        <v>2565</v>
      </c>
      <c r="E42" s="316">
        <f ca="1">C34</f>
        <v>9778</v>
      </c>
      <c r="F42" s="317">
        <f ca="1">C35</f>
        <v>652</v>
      </c>
      <c r="G42" s="310"/>
      <c r="H42" s="310"/>
      <c r="I42" s="318"/>
      <c r="J42" s="2013"/>
      <c r="K42" s="1265" t="s">
        <v>361</v>
      </c>
      <c r="L42" s="2030" t="s">
        <v>362</v>
      </c>
      <c r="M42" s="1266" t="s">
        <v>363</v>
      </c>
      <c r="N42" s="2031" t="s">
        <v>364</v>
      </c>
      <c r="O42" s="2032" t="s">
        <v>365</v>
      </c>
      <c r="P42" s="2011"/>
      <c r="V42" s="2011"/>
    </row>
    <row r="43" spans="1:26" ht="30">
      <c r="A43" s="3450" t="s">
        <v>2727</v>
      </c>
      <c r="B43" s="3451"/>
      <c r="C43" s="263">
        <f>IF(H33="正常操作",G33+G34+G35,G34+G35)</f>
        <v>0</v>
      </c>
      <c r="D43" s="316" t="s">
        <v>43</v>
      </c>
      <c r="E43" s="316" t="s">
        <v>44</v>
      </c>
      <c r="F43" s="317" t="s">
        <v>44</v>
      </c>
      <c r="G43" s="2819" t="s">
        <v>952</v>
      </c>
      <c r="H43" s="310"/>
      <c r="I43" s="318"/>
      <c r="J43" s="2013"/>
      <c r="K43" s="1267" t="str">
        <f>C4</f>
        <v>比较法-住宅、综合</v>
      </c>
      <c r="L43" s="1268">
        <f ca="1">IF(L42="估价结果/万元",C19,C20)</f>
        <v>36977</v>
      </c>
      <c r="M43" s="1269">
        <f>C18</f>
        <v>0.5</v>
      </c>
      <c r="N43" s="1270">
        <f ca="1">IF(N42="测算结果/万元",G19,G20)</f>
        <v>36085</v>
      </c>
      <c r="O43" s="1271">
        <f ca="1">IF(O42="最终结果/万元",C32,C33)</f>
        <v>36085</v>
      </c>
      <c r="P43" s="2011"/>
      <c r="V43" s="2011"/>
    </row>
    <row r="44" spans="1:26" ht="30.75" thickBot="1">
      <c r="A44" s="3440" t="str">
        <f>IF(OR(项目基本情况!E8="抵押价格",项目基本情况!E8="已注销及未注销"),"3.抵押价格","——")</f>
        <v>3.抵押价格</v>
      </c>
      <c r="B44" s="3441"/>
      <c r="C44" s="263">
        <f ca="1">IF(A44="——","——",C42-C43)</f>
        <v>36085</v>
      </c>
      <c r="D44" s="316">
        <f ca="1">ROUND(C44*10000/'数据-汇总表'!E3,0)</f>
        <v>2565</v>
      </c>
      <c r="E44" s="316">
        <f ca="1">ROUND(C44*10000/'数据-汇总表'!D3,0)</f>
        <v>9778</v>
      </c>
      <c r="F44" s="317">
        <f ca="1">ROUND(C44/('数据-汇总表'!D3/666.67),0)</f>
        <v>652</v>
      </c>
      <c r="G44" s="310"/>
      <c r="H44" s="310"/>
      <c r="I44" s="318"/>
      <c r="J44" s="2013"/>
      <c r="K44" s="1272" t="str">
        <f>D4</f>
        <v>剩余法-待开发</v>
      </c>
      <c r="L44" s="1273">
        <f ca="1">IF(L42="估价结果/万元",D19,D20)</f>
        <v>35193</v>
      </c>
      <c r="M44" s="1274">
        <f>D18</f>
        <v>0.5</v>
      </c>
      <c r="N44" s="1275"/>
      <c r="O44" s="1276"/>
      <c r="P44" s="2011"/>
      <c r="V44" s="2011"/>
    </row>
    <row r="45" spans="1:26" ht="15">
      <c r="A45" s="3445" t="str">
        <f>IF(项目基本情况!E8="已注销及未注销","4.抵押担保权已注销时的抵押价格",IF(项目基本情况!E8="已注销","3.抵押担保权已注销时的抵押价格","——"))</f>
        <v>——</v>
      </c>
      <c r="B45" s="3446"/>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442" t="str">
        <f>IF(项目基本情况!E9="抵押净值",IF(A45="——","4.抵押净值","5.抵押净值"),"——")</f>
        <v>——</v>
      </c>
      <c r="B46" s="3443"/>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08" t="s">
        <v>374</v>
      </c>
      <c r="B63" s="3409"/>
      <c r="C63" s="3410"/>
      <c r="D63" s="340">
        <f ca="1">ROUND(C42*F63,0)</f>
        <v>21651</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447" t="s">
        <v>378</v>
      </c>
      <c r="B64" s="3448"/>
      <c r="C64" s="3448"/>
      <c r="D64" s="3448"/>
      <c r="E64" s="3448"/>
      <c r="F64" s="3448"/>
      <c r="G64" s="3449"/>
      <c r="H64" s="1282"/>
      <c r="I64" s="946"/>
      <c r="J64" s="1973"/>
      <c r="K64" s="1546"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444" t="s">
        <v>386</v>
      </c>
      <c r="B66" s="3415"/>
      <c r="C66" s="3415"/>
      <c r="D66" s="260">
        <f ca="1">IF(H66="情况1",0,IF(H66="情况2",D70,IF(H66="情况3",D71,IF(H66="情况4",D72))))</f>
        <v>1155</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384" t="s">
        <v>385</v>
      </c>
      <c r="M66" s="3385"/>
      <c r="N66" s="2420"/>
      <c r="O66" s="2421"/>
      <c r="P66" s="2422"/>
      <c r="Q66" s="2011"/>
      <c r="R66" s="2011"/>
      <c r="S66" s="2011"/>
      <c r="T66" s="2011"/>
      <c r="U66" s="2011"/>
      <c r="V66" s="2011"/>
    </row>
    <row r="67" spans="1:22" ht="25.5" customHeight="1">
      <c r="A67" s="351" t="s">
        <v>390</v>
      </c>
      <c r="B67" s="3427" t="s">
        <v>391</v>
      </c>
      <c r="C67" s="3427"/>
      <c r="D67" s="352">
        <v>0</v>
      </c>
      <c r="E67" s="41" t="s">
        <v>392</v>
      </c>
      <c r="F67" s="62" t="s">
        <v>21</v>
      </c>
      <c r="G67" s="3411"/>
      <c r="H67" s="310"/>
      <c r="I67" s="1286"/>
      <c r="J67" s="2018"/>
      <c r="K67" s="1959">
        <v>2</v>
      </c>
      <c r="L67" s="3383" t="s">
        <v>389</v>
      </c>
      <c r="M67" s="3383"/>
      <c r="N67" s="1319">
        <f>'数据-取费表'!B2</f>
        <v>43763</v>
      </c>
      <c r="O67" s="1319"/>
      <c r="P67" s="1319"/>
      <c r="Q67" s="2011"/>
      <c r="R67" s="2011"/>
      <c r="S67" s="2011"/>
      <c r="T67" s="2011"/>
      <c r="U67" s="2011"/>
      <c r="V67" s="2011"/>
    </row>
    <row r="68" spans="1:22" ht="25.5" customHeight="1">
      <c r="A68" s="353"/>
      <c r="B68" s="3427" t="s">
        <v>394</v>
      </c>
      <c r="C68" s="3427"/>
      <c r="D68" s="354"/>
      <c r="E68" s="77"/>
      <c r="F68" s="355"/>
      <c r="G68" s="3412"/>
      <c r="H68" s="310"/>
      <c r="I68" s="1286"/>
      <c r="J68" s="2018"/>
      <c r="K68" s="1959">
        <v>3</v>
      </c>
      <c r="L68" s="3383" t="s">
        <v>393</v>
      </c>
      <c r="M68" s="3383"/>
      <c r="N68" s="1287">
        <f ca="1">C42</f>
        <v>36085</v>
      </c>
      <c r="O68" s="1287"/>
      <c r="P68" s="1287"/>
      <c r="Q68" s="2011"/>
      <c r="R68" s="2011"/>
      <c r="S68" s="2011"/>
      <c r="T68" s="2011"/>
      <c r="U68" s="2011"/>
      <c r="V68" s="2011"/>
    </row>
    <row r="69" spans="1:22" ht="12" customHeight="1">
      <c r="A69" s="356"/>
      <c r="B69" s="3427" t="s">
        <v>395</v>
      </c>
      <c r="C69" s="3427"/>
      <c r="D69" s="357"/>
      <c r="E69" s="73"/>
      <c r="F69" s="355"/>
      <c r="G69" s="3413"/>
      <c r="H69" s="310"/>
      <c r="I69" s="1286"/>
      <c r="J69" s="2018"/>
      <c r="K69" s="1288">
        <v>4</v>
      </c>
      <c r="L69" s="3389" t="s">
        <v>2880</v>
      </c>
      <c r="M69" s="3390"/>
      <c r="N69" s="1289">
        <f ca="1">C44</f>
        <v>36085</v>
      </c>
      <c r="O69" s="1289"/>
      <c r="P69" s="1289"/>
      <c r="Q69" s="2011"/>
      <c r="R69" s="2011"/>
      <c r="S69" s="2011"/>
      <c r="T69" s="2011"/>
      <c r="U69" s="2011"/>
      <c r="V69" s="2011"/>
    </row>
    <row r="70" spans="1:22" ht="24" customHeight="1">
      <c r="A70" s="358" t="s">
        <v>396</v>
      </c>
      <c r="B70" s="3427" t="s">
        <v>397</v>
      </c>
      <c r="C70" s="3427"/>
      <c r="D70" s="357">
        <f ca="1">ROUND(D63*'数据-取费表'!B41/(1+'数据-取费表'!C42),0)</f>
        <v>1155</v>
      </c>
      <c r="E70" s="17" t="s">
        <v>398</v>
      </c>
      <c r="F70" s="359">
        <f>'数据-取费表'!B41</f>
        <v>5.6000000000000001E-2</v>
      </c>
      <c r="G70" s="360"/>
      <c r="H70" s="310"/>
      <c r="I70" s="1286"/>
      <c r="J70" s="2018"/>
      <c r="K70" s="3010"/>
      <c r="L70" s="3011"/>
      <c r="M70" s="3011"/>
      <c r="N70" s="3012" t="s">
        <v>2885</v>
      </c>
      <c r="O70" s="3011"/>
      <c r="P70" s="3013"/>
      <c r="Q70" s="2011"/>
      <c r="R70" s="2011"/>
      <c r="S70" s="2011"/>
      <c r="T70" s="2011"/>
      <c r="U70" s="2011"/>
      <c r="V70" s="2011"/>
    </row>
    <row r="71" spans="1:22" ht="12" customHeight="1">
      <c r="A71" s="358" t="s">
        <v>404</v>
      </c>
      <c r="B71" s="3426" t="s">
        <v>405</v>
      </c>
      <c r="C71" s="3438"/>
      <c r="D71" s="357">
        <f ca="1">ROUND(D63*'数据-取费表'!B41/(1+'数据-取费表'!C42),0)</f>
        <v>1155</v>
      </c>
      <c r="E71" s="17" t="s">
        <v>398</v>
      </c>
      <c r="F71" s="359">
        <f>'数据-取费表'!B41</f>
        <v>5.6000000000000001E-2</v>
      </c>
      <c r="G71" s="360"/>
      <c r="H71" s="310"/>
      <c r="I71" s="1286"/>
      <c r="J71" s="2018"/>
      <c r="K71" s="3009" t="s">
        <v>399</v>
      </c>
      <c r="L71" s="3391" t="s">
        <v>400</v>
      </c>
      <c r="M71" s="3391"/>
      <c r="N71" s="3009" t="s">
        <v>401</v>
      </c>
      <c r="O71" s="3009" t="s">
        <v>402</v>
      </c>
      <c r="P71" s="3009" t="s">
        <v>403</v>
      </c>
      <c r="Q71" s="2011"/>
      <c r="R71" s="2011"/>
      <c r="S71" s="2011"/>
      <c r="T71" s="2011"/>
      <c r="U71" s="2011"/>
      <c r="V71" s="2011"/>
    </row>
    <row r="72" spans="1:22" ht="12" customHeight="1">
      <c r="A72" s="358" t="s">
        <v>407</v>
      </c>
      <c r="B72" s="3426" t="s">
        <v>408</v>
      </c>
      <c r="C72" s="3438"/>
      <c r="D72" s="357">
        <f ca="1">C86</f>
        <v>1043</v>
      </c>
      <c r="E72" s="73" t="s">
        <v>409</v>
      </c>
      <c r="F72" s="359">
        <f>'数据-取费表'!B41</f>
        <v>5.6000000000000001E-2</v>
      </c>
      <c r="G72" s="360"/>
      <c r="H72" s="1292"/>
      <c r="I72" s="1286"/>
      <c r="J72" s="2018"/>
      <c r="K72" s="1959">
        <v>1</v>
      </c>
      <c r="L72" s="3388" t="s">
        <v>406</v>
      </c>
      <c r="M72" s="3388"/>
      <c r="N72" s="1290">
        <f ca="1">D66</f>
        <v>1155</v>
      </c>
      <c r="O72" s="1842" t="str">
        <f>E66</f>
        <v>销售额×税（费）率</v>
      </c>
      <c r="P72" s="1291">
        <f>F66</f>
        <v>5.6000000000000001E-2</v>
      </c>
      <c r="Q72" s="2011"/>
      <c r="R72" s="2011"/>
      <c r="S72" s="2011"/>
      <c r="T72" s="2011"/>
      <c r="U72" s="2011"/>
      <c r="V72" s="2011"/>
    </row>
    <row r="73" spans="1:22" ht="24" customHeight="1">
      <c r="A73" s="3414" t="s">
        <v>411</v>
      </c>
      <c r="B73" s="3415"/>
      <c r="C73" s="3415"/>
      <c r="D73" s="361">
        <f>IF(H73="个人住宅",0,ROUND(D63*I73,0))</f>
        <v>0</v>
      </c>
      <c r="E73" s="17" t="s">
        <v>412</v>
      </c>
      <c r="F73" s="359" t="str">
        <f>IF(H73="正常",I73,"免征")</f>
        <v>免征</v>
      </c>
      <c r="G73" s="360"/>
      <c r="H73" s="191" t="s">
        <v>2453</v>
      </c>
      <c r="I73" s="359">
        <f>'数据-取费表'!B49</f>
        <v>5.0000000000000001E-4</v>
      </c>
      <c r="J73" s="2018"/>
      <c r="K73" s="1959">
        <v>2</v>
      </c>
      <c r="L73" s="3388" t="s">
        <v>410</v>
      </c>
      <c r="M73" s="3388"/>
      <c r="N73" s="1290">
        <f t="shared" ref="N73:P74" si="1">D73</f>
        <v>0</v>
      </c>
      <c r="O73" s="1842" t="str">
        <f t="shared" si="1"/>
        <v>销售额×税（费）率</v>
      </c>
      <c r="P73" s="1291" t="str">
        <f t="shared" si="1"/>
        <v>免征</v>
      </c>
      <c r="Q73" s="2011"/>
      <c r="R73" s="2011"/>
      <c r="S73" s="2011"/>
      <c r="T73" s="2011"/>
      <c r="U73" s="2011"/>
      <c r="V73" s="2011"/>
    </row>
    <row r="74" spans="1:22" ht="24.75">
      <c r="A74" s="3414" t="s">
        <v>415</v>
      </c>
      <c r="B74" s="3415"/>
      <c r="C74" s="3415"/>
      <c r="D74" s="361">
        <f ca="1">IF(H74="个人住宅",D75,D76)</f>
        <v>11599</v>
      </c>
      <c r="E74" s="17" t="s">
        <v>416</v>
      </c>
      <c r="F74" s="359" t="str">
        <f>IF(H74="正常",F76,"免征")</f>
        <v>——</v>
      </c>
      <c r="G74" s="981" t="s">
        <v>417</v>
      </c>
      <c r="H74" s="362" t="s">
        <v>413</v>
      </c>
      <c r="I74" s="42"/>
      <c r="J74" s="2018"/>
      <c r="K74" s="1959">
        <v>3</v>
      </c>
      <c r="L74" s="3388" t="s">
        <v>414</v>
      </c>
      <c r="M74" s="3388"/>
      <c r="N74" s="1290">
        <f t="shared" ca="1" si="1"/>
        <v>11599</v>
      </c>
      <c r="O74" s="1842" t="str">
        <f t="shared" si="1"/>
        <v>增值额×税（费）率</v>
      </c>
      <c r="P74" s="1293" t="str">
        <f t="shared" si="1"/>
        <v>——</v>
      </c>
      <c r="Q74" s="2011"/>
      <c r="R74" s="2011"/>
      <c r="S74" s="2011"/>
      <c r="T74" s="2011"/>
      <c r="U74" s="2011"/>
      <c r="V74" s="2011"/>
    </row>
    <row r="75" spans="1:22" ht="24">
      <c r="A75" s="358" t="s">
        <v>418</v>
      </c>
      <c r="B75" s="3395" t="s">
        <v>419</v>
      </c>
      <c r="C75" s="3396"/>
      <c r="D75" s="363">
        <v>0</v>
      </c>
      <c r="E75" s="41" t="s">
        <v>420</v>
      </c>
      <c r="F75" s="364"/>
      <c r="G75" s="360"/>
      <c r="H75" s="42"/>
      <c r="I75" s="42"/>
      <c r="J75" s="2018"/>
      <c r="K75" s="3002">
        <f>IF(H77="非个人房产","",4)</f>
        <v>4</v>
      </c>
      <c r="L75" s="3388" t="str">
        <f>IF(H77="非个人房产","——","个人所得税")</f>
        <v>个人所得税</v>
      </c>
      <c r="M75" s="3388"/>
      <c r="N75" s="1294">
        <f ca="1">D77</f>
        <v>217</v>
      </c>
      <c r="O75" s="1855" t="str">
        <f>E77</f>
        <v>销售额×税（费）率</v>
      </c>
      <c r="P75" s="1295">
        <f>F77</f>
        <v>0.01</v>
      </c>
      <c r="Q75" s="2011"/>
      <c r="R75" s="2011"/>
      <c r="S75" s="2011"/>
      <c r="T75" s="2011"/>
      <c r="U75" s="2011"/>
      <c r="V75" s="2011"/>
    </row>
    <row r="76" spans="1:22" ht="24.75">
      <c r="A76" s="358" t="s">
        <v>396</v>
      </c>
      <c r="B76" s="3395" t="s">
        <v>422</v>
      </c>
      <c r="C76" s="3437"/>
      <c r="D76" s="361">
        <f ca="1">IF(H76="转让取得",C99,C115)</f>
        <v>11599</v>
      </c>
      <c r="E76" s="17" t="s">
        <v>423</v>
      </c>
      <c r="F76" s="53" t="s">
        <v>21</v>
      </c>
      <c r="G76" s="360"/>
      <c r="H76" s="362" t="s">
        <v>424</v>
      </c>
      <c r="I76" s="42"/>
      <c r="J76" s="2018"/>
      <c r="K76" s="3002" t="str">
        <f>IF(项目基本情况!K6="上海银行",IF(K75="",4,K75+1),"")</f>
        <v/>
      </c>
      <c r="L76" s="3376" t="str">
        <f>IF(项目基本情况!K6="上海银行","其他处置费用","")</f>
        <v/>
      </c>
      <c r="M76" s="3377"/>
      <c r="N76" s="1290" t="str">
        <f>IF(项目基本情况!K6="上海银行",N89,"")</f>
        <v/>
      </c>
      <c r="O76" s="3378" t="str">
        <f>IF(项目基本情况!K6="上海银行","包含处置中涉及的律师、诉讼、拍卖、评估等费用","")</f>
        <v/>
      </c>
      <c r="P76" s="3379"/>
      <c r="Q76" s="2011"/>
      <c r="R76" s="2011"/>
      <c r="S76" s="2011"/>
      <c r="T76" s="2011"/>
      <c r="U76" s="2011"/>
      <c r="V76" s="2011"/>
    </row>
    <row r="77" spans="1:22" ht="26.25" thickBot="1">
      <c r="A77" s="3406" t="s">
        <v>426</v>
      </c>
      <c r="B77" s="3407"/>
      <c r="C77" s="3407"/>
      <c r="D77" s="365">
        <f ca="1">IF(H77="非个人房产","——",IF(H77="个人住宅",0,ROUND(D63*I77,0)))</f>
        <v>217</v>
      </c>
      <c r="E77" s="366" t="str">
        <f>IF(H77="非个人房产","——","销售额×税（费）率")</f>
        <v>销售额×税（费）率</v>
      </c>
      <c r="F77" s="367">
        <f>IF(H77="非个人房产","——",IF(H77="个人住宅","免征",I77))</f>
        <v>0.01</v>
      </c>
      <c r="G77" s="982" t="s">
        <v>417</v>
      </c>
      <c r="H77" s="362" t="s">
        <v>2881</v>
      </c>
      <c r="I77" s="368">
        <v>0.01</v>
      </c>
      <c r="J77" s="2018"/>
      <c r="K77" s="3402">
        <f>IF(AND(K75="",K76=""),4,IF(项目基本情况!K6="上海银行",K76+1,K75+1))</f>
        <v>5</v>
      </c>
      <c r="L77" s="3388" t="s">
        <v>2882</v>
      </c>
      <c r="M77" s="3008" t="s">
        <v>421</v>
      </c>
      <c r="N77" s="1296"/>
      <c r="O77" s="1297">
        <f ca="1">SUMIF(N72:N76,"&lt;9e307")</f>
        <v>12971</v>
      </c>
      <c r="P77" s="1298"/>
      <c r="Q77" s="3006">
        <f ca="1">O77/N69</f>
        <v>0.35945683802133849</v>
      </c>
      <c r="R77" s="2011"/>
      <c r="S77" s="2011"/>
      <c r="T77" s="2011"/>
      <c r="U77" s="2011"/>
      <c r="V77" s="2011"/>
    </row>
    <row r="78" spans="1:22" ht="12" customHeight="1">
      <c r="A78" s="1299"/>
      <c r="B78" s="310"/>
      <c r="C78" s="310"/>
      <c r="D78" s="310"/>
      <c r="E78" s="42"/>
      <c r="F78" s="42"/>
      <c r="G78" s="42"/>
      <c r="H78" s="1001"/>
      <c r="I78" s="310"/>
      <c r="J78" s="2018"/>
      <c r="K78" s="3402"/>
      <c r="L78" s="3388"/>
      <c r="M78" s="3008" t="s">
        <v>425</v>
      </c>
      <c r="N78" s="1296"/>
      <c r="O78" s="1297" t="str">
        <f ca="1">NUMBERSTRING(INT(O77*10000),2)&amp;"元整"</f>
        <v>壹亿贰仟玖佰柒拾壹万元整</v>
      </c>
      <c r="P78" s="1298"/>
      <c r="Q78" s="2011"/>
      <c r="R78" s="2011"/>
      <c r="S78" s="2011"/>
      <c r="T78" s="2011"/>
      <c r="U78" s="2011"/>
      <c r="V78" s="2011"/>
    </row>
    <row r="79" spans="1:22" ht="13.5" thickBot="1">
      <c r="A79" s="3392" t="s">
        <v>427</v>
      </c>
      <c r="B79" s="3392"/>
      <c r="C79" s="3392"/>
      <c r="D79" s="3392"/>
      <c r="E79" s="3392"/>
      <c r="F79" s="42"/>
      <c r="G79" s="42"/>
      <c r="H79" s="1001"/>
      <c r="I79" s="310"/>
      <c r="J79" s="2018"/>
      <c r="K79" s="3386">
        <f>K77+1</f>
        <v>6</v>
      </c>
      <c r="L79" s="3388" t="s">
        <v>2883</v>
      </c>
      <c r="M79" s="3008" t="s">
        <v>421</v>
      </c>
      <c r="N79" s="1296"/>
      <c r="O79" s="1297">
        <f ca="1">N69-O77</f>
        <v>23114</v>
      </c>
      <c r="P79" s="1298"/>
      <c r="Q79" s="2011"/>
      <c r="R79" s="2011"/>
      <c r="S79" s="2011"/>
      <c r="T79" s="2011"/>
      <c r="U79" s="2011"/>
      <c r="V79" s="2011"/>
    </row>
    <row r="80" spans="1:22" ht="25.5">
      <c r="A80" s="3393" t="s">
        <v>428</v>
      </c>
      <c r="B80" s="3394"/>
      <c r="C80" s="992"/>
      <c r="D80" s="992" t="s">
        <v>429</v>
      </c>
      <c r="E80" s="369" t="s">
        <v>430</v>
      </c>
      <c r="F80" s="42"/>
      <c r="G80" s="42"/>
      <c r="H80" s="1001"/>
      <c r="I80" s="310"/>
      <c r="J80" s="2011"/>
      <c r="K80" s="3387"/>
      <c r="L80" s="3388"/>
      <c r="M80" s="3008" t="s">
        <v>425</v>
      </c>
      <c r="N80" s="1296"/>
      <c r="O80" s="1297" t="str">
        <f ca="1">NUMBERSTRING(INT(O79*10000),2)&amp;"元整"</f>
        <v>贰亿叁仟壹佰壹拾肆万元整</v>
      </c>
      <c r="P80" s="1298"/>
      <c r="Q80" s="2011"/>
      <c r="R80" s="2011"/>
      <c r="S80" s="2011"/>
      <c r="T80" s="2011"/>
      <c r="U80" s="2011"/>
      <c r="V80" s="2011"/>
    </row>
    <row r="81" spans="1:26" ht="13.5" thickBot="1">
      <c r="A81" s="380" t="s">
        <v>1823</v>
      </c>
      <c r="B81" s="370" t="s">
        <v>431</v>
      </c>
      <c r="C81" s="371">
        <f ca="1">ROUND((C82+C83)/(1+'数据-取费表'!C42),0)</f>
        <v>20620</v>
      </c>
      <c r="D81" s="372"/>
      <c r="E81" s="373"/>
      <c r="F81" s="42"/>
      <c r="G81" s="42"/>
      <c r="H81" s="1001"/>
      <c r="I81" s="310"/>
      <c r="J81" s="2011"/>
      <c r="K81" s="3002">
        <f>K79+1</f>
        <v>7</v>
      </c>
      <c r="L81" s="3400" t="s">
        <v>2884</v>
      </c>
      <c r="M81" s="3401"/>
      <c r="N81" s="1300"/>
      <c r="O81" s="1301">
        <f ca="1">ROUND(O79*10000/'数据-汇总表'!E3,0)</f>
        <v>1643</v>
      </c>
      <c r="P81" s="1302"/>
      <c r="Q81" s="2011"/>
      <c r="R81" s="2011"/>
      <c r="S81" s="2011"/>
      <c r="T81" s="2011"/>
      <c r="U81" s="2011"/>
      <c r="V81" s="2011"/>
    </row>
    <row r="82" spans="1:26" ht="13.5" thickTop="1">
      <c r="A82" s="374" t="s">
        <v>1824</v>
      </c>
      <c r="B82" s="375" t="s">
        <v>432</v>
      </c>
      <c r="C82" s="376">
        <f ca="1">D63</f>
        <v>21651</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1"/>
      <c r="I83" s="310"/>
      <c r="J83" s="2011"/>
      <c r="K83" s="3375" t="s">
        <v>2871</v>
      </c>
      <c r="L83" s="3014" t="s">
        <v>2872</v>
      </c>
      <c r="M83" s="3004">
        <f ca="1">IF(N69&gt;10000,N69*0.5%,IF(AND(N69&gt;1000,N69&lt;=10000),N69*1%,IF(AND(N69&gt;100,N69&lt;=1000),N69*3%,IF(AND(N69&gt;10,N69&lt;=100),N69*5%,N69*8%))))</f>
        <v>180.42500000000001</v>
      </c>
      <c r="N83" s="53">
        <f ca="1">ROUND(M83,1)</f>
        <v>180.4</v>
      </c>
      <c r="O83" s="3007"/>
      <c r="P83" s="2011"/>
      <c r="Q83" s="2011"/>
      <c r="R83" s="2011"/>
      <c r="S83" s="2011"/>
      <c r="T83" s="2011"/>
      <c r="U83" s="2011"/>
      <c r="V83" s="2011"/>
    </row>
    <row r="84" spans="1:26" ht="12.75">
      <c r="A84" s="380" t="s">
        <v>1826</v>
      </c>
      <c r="B84" s="381" t="s">
        <v>434</v>
      </c>
      <c r="C84" s="382">
        <v>2000</v>
      </c>
      <c r="D84" s="383" t="s">
        <v>19</v>
      </c>
      <c r="E84" s="3049" t="s">
        <v>2937</v>
      </c>
      <c r="F84" s="42"/>
      <c r="G84" s="42"/>
      <c r="H84" s="1001"/>
      <c r="I84" s="310"/>
      <c r="J84" s="2011"/>
      <c r="K84" s="3375"/>
      <c r="L84" s="3014" t="s">
        <v>2873</v>
      </c>
      <c r="M84" s="3004">
        <f ca="1">IF(N69&gt;2000,N69*0.5%,IF(AND(N69&gt;1000,N69&lt;=2000),N69*0.6%,IF(AND(N69&gt;500,N69&lt;=1000),N69*0.7%,IF(AND(N69&gt;200,N69&lt;=500),N69*0.8%,IF(AND(N69&gt;100,N69&lt;=200),N69*0.9%,IF(AND(N69&gt;50,N69&lt;=100),N69*1%,IF(AND(N69&gt;20,N69&lt;=50),N69*1.5%,IF(AND(N69&gt;10,N69&lt;=20),N69*2%,IF(AND(N69&gt;1,N69&lt;=10),N69*2.5%)))))))))</f>
        <v>180.42500000000001</v>
      </c>
      <c r="N84" s="53">
        <f t="shared" ref="N84:N85" ca="1" si="2">ROUND(M84,1)</f>
        <v>180.4</v>
      </c>
      <c r="O84" s="2011" t="s">
        <v>2874</v>
      </c>
      <c r="P84" s="2011"/>
      <c r="Q84" s="2011"/>
      <c r="R84" s="2011"/>
      <c r="S84" s="2011"/>
      <c r="T84" s="2011"/>
      <c r="U84" s="2011"/>
      <c r="V84" s="2011"/>
    </row>
    <row r="85" spans="1:26" ht="12.75">
      <c r="A85" s="380" t="s">
        <v>1827</v>
      </c>
      <c r="B85" s="381" t="s">
        <v>435</v>
      </c>
      <c r="C85" s="384">
        <f ca="1">C81-C84</f>
        <v>18620</v>
      </c>
      <c r="D85" s="377" t="s">
        <v>19</v>
      </c>
      <c r="E85" s="378"/>
      <c r="F85" s="42"/>
      <c r="G85" s="42"/>
      <c r="H85" s="1001"/>
      <c r="I85" s="310"/>
      <c r="J85" s="2011"/>
      <c r="K85" s="3375"/>
      <c r="L85" s="3014" t="s">
        <v>2875</v>
      </c>
      <c r="M85" s="3004">
        <f ca="1">IF(N69&gt;1000,N69*0.1%,IF(AND(N69&gt;500,N69&lt;=1000),N69*0.5%,IF(AND(N69&gt;50,N69&lt;=500),N69*1%,IF(AND(N69&gt;1,N69&lt;=50),N69*1.5%))))</f>
        <v>36.085000000000001</v>
      </c>
      <c r="N85" s="53">
        <f t="shared" ca="1" si="2"/>
        <v>36.1</v>
      </c>
      <c r="O85" s="2011" t="s">
        <v>2874</v>
      </c>
      <c r="P85" s="2011"/>
      <c r="Q85" s="2011"/>
      <c r="R85" s="2011"/>
      <c r="S85" s="2011"/>
      <c r="T85" s="2011"/>
      <c r="U85" s="2011"/>
      <c r="V85" s="2011"/>
    </row>
    <row r="86" spans="1:26" ht="13.5" thickBot="1">
      <c r="A86" s="385" t="s">
        <v>1828</v>
      </c>
      <c r="B86" s="386" t="s">
        <v>436</v>
      </c>
      <c r="C86" s="387">
        <f ca="1">IF(C85&lt;=0,0,ROUND(C85*D86,0))</f>
        <v>1043</v>
      </c>
      <c r="D86" s="388">
        <f>'数据-取费表'!B41</f>
        <v>5.6000000000000001E-2</v>
      </c>
      <c r="E86" s="389"/>
      <c r="F86" s="42"/>
      <c r="G86" s="42"/>
      <c r="H86" s="1001"/>
      <c r="I86" s="310"/>
      <c r="J86" s="2011"/>
      <c r="K86" s="3375"/>
      <c r="L86" s="3014" t="s">
        <v>2876</v>
      </c>
      <c r="M86" s="3004">
        <f ca="1">N69*0.5%</f>
        <v>180.42500000000001</v>
      </c>
      <c r="N86" s="53">
        <f ca="1">IF(M86&gt;0.5,0.5,ROUND(M86,0))</f>
        <v>0.5</v>
      </c>
      <c r="O86" s="2011" t="s">
        <v>2877</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75"/>
      <c r="L87" s="3014" t="s">
        <v>2878</v>
      </c>
      <c r="M87" s="3004">
        <f ca="1">IF(N69&gt;=10000,(8.25+(N69-10000)*0.01%),IF(AND(N69&gt;=8000,N69&lt;10000),(7.85+(N69-8000)*0.02%),IF(AND(N69&gt;=5000,N69&lt;8000),(6.65+(N69-5000)*0.04%),IF(AND(N69&gt;=2000,N69&lt;5000),(4.25+(PN69-2000)*0.08%),IF(AND(N69&gt;=1000,N69&lt;2000),(2.75+(N69-1000)*0.15%),IF(AND(N69&gt;=100,N69&lt;1000),(0.5+(N69-100)*0.25%),IF(AND(N69&gt;0,N69&lt;100),N69*0.5%)))))))</f>
        <v>10.858499999999999</v>
      </c>
      <c r="N87" s="53">
        <f ca="1">ROUND(M87*0.9,1)</f>
        <v>9.8000000000000007</v>
      </c>
      <c r="O87" s="3007"/>
      <c r="P87" s="310"/>
      <c r="Q87" s="2011"/>
      <c r="R87" s="2011"/>
      <c r="S87" s="2011"/>
      <c r="T87" s="2011"/>
      <c r="U87" s="2011"/>
      <c r="V87" s="2011"/>
      <c r="W87" s="291"/>
      <c r="X87" s="291"/>
      <c r="Y87" s="291"/>
      <c r="Z87" s="291"/>
    </row>
    <row r="88" spans="1:26" s="1308" customFormat="1" ht="15" thickBot="1">
      <c r="A88" s="3429" t="s">
        <v>437</v>
      </c>
      <c r="B88" s="3430"/>
      <c r="C88" s="3430"/>
      <c r="D88" s="3430"/>
      <c r="E88" s="3430"/>
      <c r="F88" s="3430"/>
      <c r="G88" s="3430"/>
      <c r="H88" s="3430"/>
      <c r="I88" s="1309"/>
      <c r="J88" s="2019"/>
      <c r="K88" s="3375"/>
      <c r="L88" s="3014" t="s">
        <v>2879</v>
      </c>
      <c r="M88" s="3004">
        <f ca="1">IF(N69&gt;10000,N69*0.5%,IF(AND(N69&gt;5000,N69&lt;=10000),N69*1%,IF(AND(N69&gt;1000,N69&lt;=5000),N69*2%,IF(AND(N69&gt;200,N69&lt;=1000),N69*3%,N69*5%))))</f>
        <v>180.42500000000001</v>
      </c>
      <c r="N88" s="53">
        <f ca="1">ROUND(M88,1)</f>
        <v>180.4</v>
      </c>
      <c r="O88" s="3007"/>
      <c r="P88" s="11"/>
      <c r="Q88" s="2016"/>
      <c r="R88" s="2016"/>
      <c r="S88" s="2016"/>
      <c r="T88" s="2016"/>
      <c r="U88" s="2016"/>
      <c r="V88" s="2016"/>
      <c r="W88" s="2020"/>
      <c r="X88" s="2020"/>
      <c r="Y88" s="2020"/>
      <c r="Z88" s="2020"/>
    </row>
    <row r="89" spans="1:26" s="1308" customFormat="1" ht="14.25">
      <c r="A89" s="3393" t="s">
        <v>428</v>
      </c>
      <c r="B89" s="3394"/>
      <c r="C89" s="992"/>
      <c r="D89" s="992" t="s">
        <v>429</v>
      </c>
      <c r="E89" s="390" t="s">
        <v>438</v>
      </c>
      <c r="F89" s="391"/>
      <c r="G89" s="391"/>
      <c r="H89" s="392"/>
      <c r="I89" s="1310"/>
      <c r="J89" s="2021"/>
      <c r="K89" s="3375"/>
      <c r="L89" s="3014" t="s">
        <v>27</v>
      </c>
      <c r="M89" s="3005"/>
      <c r="N89" s="53">
        <f ca="1">ROUND(SUM(N83:N88),0)</f>
        <v>588</v>
      </c>
      <c r="O89" s="3015">
        <f ca="1">N89/N69</f>
        <v>1.6294859359844812E-2</v>
      </c>
      <c r="P89" s="2016"/>
      <c r="Q89" s="2016"/>
      <c r="R89" s="2016"/>
      <c r="S89" s="2016"/>
      <c r="T89" s="2016"/>
      <c r="U89" s="2016"/>
      <c r="V89" s="2016"/>
      <c r="W89" s="2020"/>
      <c r="X89" s="2020"/>
      <c r="Y89" s="2020"/>
      <c r="Z89" s="2020"/>
    </row>
    <row r="90" spans="1:26" s="1308" customFormat="1" ht="14.25">
      <c r="A90" s="380" t="s">
        <v>1823</v>
      </c>
      <c r="B90" s="381" t="s">
        <v>439</v>
      </c>
      <c r="C90" s="384">
        <f ca="1">ROUND(D63/(1+'数据-取费表'!C42),0)</f>
        <v>20620</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1829</v>
      </c>
      <c r="B91" s="347" t="s">
        <v>440</v>
      </c>
      <c r="C91" s="384">
        <f ca="1">C92+C96</f>
        <v>2685</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426" t="s">
        <v>447</v>
      </c>
      <c r="F94" s="3427"/>
      <c r="G94" s="3427"/>
      <c r="H94" s="3428"/>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124</v>
      </c>
      <c r="D96" s="405">
        <f>'数据-取费表'!B43</f>
        <v>6.000000000000001E-3</v>
      </c>
      <c r="E96" s="3416" t="s">
        <v>2426</v>
      </c>
      <c r="F96" s="3417"/>
      <c r="G96" s="3417"/>
      <c r="H96" s="3418"/>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1" t="s">
        <v>1835</v>
      </c>
      <c r="B97" s="381" t="s">
        <v>451</v>
      </c>
      <c r="C97" s="384">
        <f ca="1">C90-C91</f>
        <v>17935</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1" t="s">
        <v>1836</v>
      </c>
      <c r="B98" s="381" t="s">
        <v>452</v>
      </c>
      <c r="C98" s="406">
        <f ca="1">IF(C97&lt;=0,0,C97/C91)</f>
        <v>6.6797020484171323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2" t="s">
        <v>1837</v>
      </c>
      <c r="B99" s="386" t="s">
        <v>453</v>
      </c>
      <c r="C99" s="407">
        <f ca="1">ROUND(IF(C97&lt;=0,0,IF(C98&gt;=200%,C97*60%-C91*35%,IF(C98&gt;=100%,C97*50%-C91*15%,IF(C98&gt;=50%,C97*40%-C91*5%,IF(C98&lt;50%,C97*30%,0))))),0)</f>
        <v>9821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29" t="s">
        <v>454</v>
      </c>
      <c r="B101" s="3430"/>
      <c r="C101" s="3430"/>
      <c r="D101" s="3430"/>
      <c r="E101" s="3430"/>
      <c r="F101" s="3430"/>
      <c r="G101" s="3430"/>
      <c r="H101" s="3430"/>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93" t="s">
        <v>428</v>
      </c>
      <c r="B102" s="3394"/>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1823</v>
      </c>
      <c r="B103" s="381" t="s">
        <v>439</v>
      </c>
      <c r="C103" s="384">
        <f ca="1">ROUND(D63/(1+'数据-取费表'!C42),0)</f>
        <v>20620</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1829</v>
      </c>
      <c r="B104" s="347" t="s">
        <v>440</v>
      </c>
      <c r="C104" s="384">
        <f ca="1">IF(H106="仅含出让金",C105+C108+C109+C110+C111+C112,C105+C109+C110+C111+C112)</f>
        <v>814</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1830</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1831</v>
      </c>
      <c r="B106" s="375" t="s">
        <v>456</v>
      </c>
      <c r="C106" s="415">
        <v>555</v>
      </c>
      <c r="D106" s="405"/>
      <c r="E106" s="416" t="s">
        <v>457</v>
      </c>
      <c r="F106" s="984"/>
      <c r="G106" s="417" t="s">
        <v>458</v>
      </c>
      <c r="H106" s="418" t="s">
        <v>2437</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3" t="s">
        <v>1838</v>
      </c>
      <c r="B109" s="375" t="s">
        <v>461</v>
      </c>
      <c r="C109" s="404">
        <f>IF(H109="——",IF(F1="现房",'剩余法-现房'!C18,'剩余法-待开发'!C18),I109)</f>
        <v>55</v>
      </c>
      <c r="D109" s="405"/>
      <c r="E109" s="3419" t="s">
        <v>462</v>
      </c>
      <c r="F109" s="3417"/>
      <c r="G109" s="3417"/>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3" t="s">
        <v>1839</v>
      </c>
      <c r="B110" s="375" t="s">
        <v>463</v>
      </c>
      <c r="C110" s="404">
        <f>ROUND((C105+C108+C109)*D110,0)</f>
        <v>63</v>
      </c>
      <c r="D110" s="405">
        <v>0.1</v>
      </c>
      <c r="E110" s="3419" t="s">
        <v>464</v>
      </c>
      <c r="F110" s="3417"/>
      <c r="G110" s="3417"/>
      <c r="H110" s="3418"/>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3" t="s">
        <v>1840</v>
      </c>
      <c r="B111" s="375" t="s">
        <v>450</v>
      </c>
      <c r="C111" s="404">
        <f ca="1">ROUND(D63*D111/(1+'数据-取费表'!C42),0)</f>
        <v>124</v>
      </c>
      <c r="D111" s="405">
        <f>'数据-取费表'!B43</f>
        <v>6.000000000000001E-3</v>
      </c>
      <c r="E111" s="3416" t="s">
        <v>2426</v>
      </c>
      <c r="F111" s="3417"/>
      <c r="G111" s="3417"/>
      <c r="H111" s="3418"/>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3" t="s">
        <v>1841</v>
      </c>
      <c r="B112" s="375" t="s">
        <v>465</v>
      </c>
      <c r="C112" s="404">
        <f>ROUND(C108*D112,0)</f>
        <v>0</v>
      </c>
      <c r="D112" s="405">
        <v>0.2</v>
      </c>
      <c r="E112" s="3419" t="s">
        <v>2451</v>
      </c>
      <c r="F112" s="3417"/>
      <c r="G112" s="3417"/>
      <c r="H112" s="3418"/>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1" t="s">
        <v>1835</v>
      </c>
      <c r="B113" s="381" t="s">
        <v>451</v>
      </c>
      <c r="C113" s="384">
        <f ca="1">ROUND(C103-C104,0)</f>
        <v>19806</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1" t="s">
        <v>1836</v>
      </c>
      <c r="B114" s="381" t="s">
        <v>452</v>
      </c>
      <c r="C114" s="406">
        <f ca="1">IF(C113&lt;=0,0,C113/C104)</f>
        <v>24.331695331695332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2" t="s">
        <v>1837</v>
      </c>
      <c r="B115" s="386" t="s">
        <v>453</v>
      </c>
      <c r="C115" s="407">
        <f ca="1">ROUND(IF(C113&lt;=0,0,IF(C114&gt;=200%,C113*60%-C104*35%,IF(C114&gt;=100%,C113*50%-C104*15%,IF(C114&gt;=50%,C113*40%-C104*5%,IF(C114&lt;50%,C113*30%,0))))),0)</f>
        <v>11599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62" t="str">
        <f>项目基本情况!B1</f>
        <v>云南省玉溪市红塔区李棋街道新康井路以西出让国有建设用地使用权抵押价格预评估</v>
      </c>
      <c r="C37" s="3262"/>
      <c r="D37" s="3262"/>
      <c r="E37" s="3262"/>
      <c r="F37" s="3262"/>
      <c r="G37" s="3262"/>
      <c r="H37" s="3262"/>
      <c r="I37" s="3262"/>
    </row>
    <row r="38" spans="1:9">
      <c r="A38" s="1640"/>
      <c r="B38" s="1640"/>
    </row>
    <row r="39" spans="1:9">
      <c r="A39" s="1638" t="s">
        <v>1901</v>
      </c>
      <c r="B39" s="1638" t="s">
        <v>2045</v>
      </c>
    </row>
    <row r="40" spans="1:9">
      <c r="A40" s="1638"/>
      <c r="B40" s="1638" t="str">
        <f>项目基本情况!B5</f>
        <v>五矿国际信托有限公司</v>
      </c>
    </row>
    <row r="41" spans="1:9">
      <c r="A41" s="1638"/>
      <c r="B41" s="1638"/>
    </row>
    <row r="42" spans="1:9">
      <c r="A42" s="1638" t="s">
        <v>1901</v>
      </c>
      <c r="B42" s="1638" t="s">
        <v>2046</v>
      </c>
    </row>
    <row r="43" spans="1:9">
      <c r="A43" s="1638"/>
      <c r="B43" s="1638" t="s">
        <v>1903</v>
      </c>
    </row>
    <row r="44" spans="1:9">
      <c r="A44" s="1638"/>
      <c r="B44" s="1638"/>
    </row>
    <row r="45" spans="1:9">
      <c r="A45" s="1638" t="s">
        <v>1901</v>
      </c>
      <c r="B45" s="1638" t="s">
        <v>2044</v>
      </c>
    </row>
    <row r="46" spans="1:9" s="1638" customFormat="1" ht="12.75">
      <c r="B46" s="1638" t="str">
        <f>项目基本情况!K4</f>
        <v>王鹏、郑燚</v>
      </c>
    </row>
    <row r="47" spans="1:9">
      <c r="A47" s="1638"/>
      <c r="B47" s="1638"/>
    </row>
    <row r="48" spans="1:9">
      <c r="A48" s="1638" t="s">
        <v>1901</v>
      </c>
      <c r="B48" s="1638" t="s">
        <v>2047</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13" sqref="K13"/>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2" t="s">
        <v>467</v>
      </c>
      <c r="B2" s="507">
        <f>F68</f>
        <v>36977</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c r="AD2" s="1329"/>
    </row>
    <row r="3" spans="1:30" s="1330" customFormat="1" ht="28.5" customHeight="1">
      <c r="A3" s="1374" t="s">
        <v>1684</v>
      </c>
      <c r="B3" s="509">
        <f>ROUND(B2*10000/'数据-汇总表'!E3,0)</f>
        <v>2628</v>
      </c>
      <c r="C3" s="2044"/>
      <c r="D3" s="2532"/>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30" s="1330" customFormat="1" ht="28.5" customHeight="1">
      <c r="A4" s="510" t="s">
        <v>520</v>
      </c>
      <c r="B4" s="426">
        <f>IF(B48="单位面积地价",C50,ROUND(B2*10000/'数据-汇总表'!D3,0))</f>
        <v>10019</v>
      </c>
      <c r="C4" s="2044"/>
      <c r="D4" s="2532"/>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30" s="1330" customFormat="1" ht="28.5" customHeight="1" thickBot="1">
      <c r="A5" s="428"/>
      <c r="B5" s="429">
        <f>ROUND(B2/('数据-汇总表'!D3/666.67),0)</f>
        <v>668</v>
      </c>
      <c r="C5" s="430" t="s">
        <v>469</v>
      </c>
      <c r="D5" s="2044"/>
      <c r="E5" s="3219" t="s">
        <v>3213</v>
      </c>
      <c r="F5" s="2044"/>
      <c r="G5" s="3219" t="s">
        <v>3212</v>
      </c>
      <c r="H5" s="2111"/>
      <c r="I5" s="3219" t="s">
        <v>3212</v>
      </c>
      <c r="J5" s="2111"/>
      <c r="K5" s="2113"/>
      <c r="L5" s="2114"/>
      <c r="M5" s="2115"/>
      <c r="N5" s="2115"/>
      <c r="O5" s="2115"/>
      <c r="P5" s="1549"/>
      <c r="Q5" s="1549"/>
      <c r="R5" s="1549"/>
      <c r="S5" s="1549"/>
      <c r="T5" s="1549"/>
      <c r="U5" s="1549"/>
      <c r="V5" s="1549"/>
      <c r="W5" s="1549"/>
      <c r="X5" s="1549"/>
      <c r="Y5" s="1549"/>
      <c r="Z5" s="1549"/>
      <c r="AA5" s="1549"/>
      <c r="AB5" s="1549"/>
      <c r="AC5" s="427"/>
    </row>
    <row r="6" spans="1:30" ht="20.25">
      <c r="A6" s="511" t="s">
        <v>521</v>
      </c>
      <c r="B6" s="512"/>
      <c r="C6" s="3474" t="s">
        <v>522</v>
      </c>
      <c r="D6" s="3475"/>
      <c r="E6" s="3474" t="s">
        <v>523</v>
      </c>
      <c r="F6" s="3475"/>
      <c r="G6" s="3474" t="s">
        <v>524</v>
      </c>
      <c r="H6" s="3475"/>
      <c r="I6" s="3474" t="s">
        <v>525</v>
      </c>
      <c r="J6" s="3475"/>
      <c r="K6" s="513" t="s">
        <v>526</v>
      </c>
      <c r="L6" s="2116"/>
      <c r="M6" s="2115"/>
      <c r="N6" s="2115"/>
      <c r="O6" s="2117"/>
      <c r="P6" s="3476" t="s">
        <v>527</v>
      </c>
      <c r="Q6" s="3477"/>
      <c r="R6" s="3462" t="s">
        <v>523</v>
      </c>
      <c r="S6" s="3463"/>
      <c r="T6" s="3462" t="s">
        <v>524</v>
      </c>
      <c r="U6" s="3463"/>
      <c r="V6" s="3482" t="s">
        <v>525</v>
      </c>
      <c r="W6" s="3482"/>
      <c r="X6" s="1552"/>
      <c r="Y6" s="3462" t="s">
        <v>527</v>
      </c>
      <c r="Z6" s="3463"/>
      <c r="AA6" s="3457" t="s">
        <v>523</v>
      </c>
      <c r="AB6" s="3458" t="s">
        <v>524</v>
      </c>
      <c r="AC6" s="3457" t="s">
        <v>525</v>
      </c>
    </row>
    <row r="7" spans="1:30" ht="20.25">
      <c r="A7" s="514"/>
      <c r="B7" s="515"/>
      <c r="C7" s="3485" t="s">
        <v>2926</v>
      </c>
      <c r="D7" s="3486"/>
      <c r="E7" s="3485" t="str">
        <f>土地案例!E3</f>
        <v>玉溪市红塔区李棋街道办事处白龙路以东、王井村以南</v>
      </c>
      <c r="F7" s="3486"/>
      <c r="G7" s="3485" t="str">
        <f>土地案例!E8</f>
        <v>玉溪市红塔区泷水塘片区紫艺路以东、凤凰路以北。</v>
      </c>
      <c r="H7" s="3486"/>
      <c r="I7" s="3485" t="str">
        <f>土地案例!E12</f>
        <v>玉溪市红塔区泷水塘片区凤凰路以北、紫艺路以西</v>
      </c>
      <c r="J7" s="3486"/>
      <c r="K7" s="513"/>
      <c r="L7" s="2116"/>
      <c r="M7" s="2115"/>
      <c r="N7" s="2115"/>
      <c r="O7" s="2117"/>
      <c r="P7" s="3478"/>
      <c r="Q7" s="3479"/>
      <c r="R7" s="3464"/>
      <c r="S7" s="3465"/>
      <c r="T7" s="3464"/>
      <c r="U7" s="3465"/>
      <c r="V7" s="3482"/>
      <c r="W7" s="3482"/>
      <c r="X7" s="1552"/>
      <c r="Y7" s="3464"/>
      <c r="Z7" s="3465"/>
      <c r="AA7" s="3458"/>
      <c r="AB7" s="3458"/>
      <c r="AC7" s="3458"/>
    </row>
    <row r="8" spans="1:30" ht="21" thickBot="1">
      <c r="A8" s="514"/>
      <c r="B8" s="515"/>
      <c r="C8" s="3487" t="s">
        <v>2930</v>
      </c>
      <c r="D8" s="3488"/>
      <c r="E8" s="3487" t="str">
        <f>土地案例!G3</f>
        <v>YXTC(2011)1-18-1号</v>
      </c>
      <c r="F8" s="3488"/>
      <c r="G8" s="3483" t="str">
        <f>土地案例!G8</f>
        <v>YXTC(2014)1-2号</v>
      </c>
      <c r="H8" s="3484"/>
      <c r="I8" s="3483" t="str">
        <f>土地案例!G12</f>
        <v>YXTC(2014)1-6号</v>
      </c>
      <c r="J8" s="3484"/>
      <c r="K8" s="513" t="s">
        <v>528</v>
      </c>
      <c r="L8" s="2116"/>
      <c r="M8" s="2115"/>
      <c r="N8" s="2115"/>
      <c r="O8" s="2117"/>
      <c r="P8" s="3480"/>
      <c r="Q8" s="3481"/>
      <c r="R8" s="3464"/>
      <c r="S8" s="3465"/>
      <c r="T8" s="3466"/>
      <c r="U8" s="3467"/>
      <c r="V8" s="3482"/>
      <c r="W8" s="3482"/>
      <c r="X8" s="1552"/>
      <c r="Y8" s="3466"/>
      <c r="Z8" s="3467"/>
      <c r="AA8" s="3459"/>
      <c r="AB8" s="3459"/>
      <c r="AC8" s="3459"/>
    </row>
    <row r="9" spans="1:30" s="1214" customFormat="1" ht="21" thickBot="1">
      <c r="A9" s="2865"/>
      <c r="B9" s="2872" t="s">
        <v>529</v>
      </c>
      <c r="C9" s="2864">
        <f>'数据-取费表'!B2</f>
        <v>43763</v>
      </c>
      <c r="D9" s="519">
        <v>100</v>
      </c>
      <c r="E9" s="520" t="str">
        <f>土地案例!L3</f>
        <v>2019-05-21</v>
      </c>
      <c r="F9" s="521">
        <f>SUMIF(72:72,YEAR(E9)&amp;"-"&amp;INT((MONTH(E9)+2)/3),73:73)</f>
        <v>99</v>
      </c>
      <c r="G9" s="522" t="str">
        <f>土地案例!L8</f>
        <v>2019-03-19</v>
      </c>
      <c r="H9" s="519">
        <f>SUMIF(72:72,YEAR(G9)&amp;"-"&amp;INT((MONTH(G9)+2)/3),73:73)</f>
        <v>98.5</v>
      </c>
      <c r="I9" s="522" t="str">
        <f>土地案例!L12</f>
        <v>2019-03-11</v>
      </c>
      <c r="J9" s="519">
        <f>SUMIF(72:72,YEAR(I9)&amp;"-"&amp;INT((MONTH(I9)+2)/3),73:73)</f>
        <v>98.5</v>
      </c>
      <c r="K9" s="523"/>
      <c r="L9" s="2118"/>
      <c r="M9" s="2115"/>
      <c r="N9" s="2115"/>
      <c r="O9" s="2119"/>
      <c r="P9" s="3460" t="s">
        <v>530</v>
      </c>
      <c r="Q9" s="3469"/>
      <c r="R9" s="1553" t="s">
        <v>8</v>
      </c>
      <c r="S9" s="1554">
        <f t="shared" ref="S9:S17" si="0">F9</f>
        <v>99</v>
      </c>
      <c r="T9" s="1553" t="s">
        <v>8</v>
      </c>
      <c r="U9" s="1554">
        <f t="shared" ref="U9:U17" si="1">H9</f>
        <v>98.5</v>
      </c>
      <c r="V9" s="1553" t="s">
        <v>8</v>
      </c>
      <c r="W9" s="1554">
        <f t="shared" ref="W9:W17" si="2">J9</f>
        <v>98.5</v>
      </c>
      <c r="X9" s="1555"/>
      <c r="Y9" s="3460" t="s">
        <v>530</v>
      </c>
      <c r="Z9" s="3461"/>
      <c r="AA9" s="1556">
        <f>D9/F9</f>
        <v>1.0101010101010102</v>
      </c>
      <c r="AB9" s="1556">
        <f>D9/H9</f>
        <v>1.015228426395939</v>
      </c>
      <c r="AC9" s="1556">
        <f>D9/J9</f>
        <v>1.015228426395939</v>
      </c>
    </row>
    <row r="10" spans="1:30" s="1214" customFormat="1" ht="21" thickBot="1">
      <c r="A10" s="2866"/>
      <c r="B10" s="2873" t="s">
        <v>531</v>
      </c>
      <c r="C10" s="855" t="s">
        <v>532</v>
      </c>
      <c r="D10" s="519">
        <v>100</v>
      </c>
      <c r="E10" s="524" t="s">
        <v>3191</v>
      </c>
      <c r="F10" s="521">
        <f>SUMIF(75:75,E10,76:76)-SUMIF(75:75,C10,76:76)+100</f>
        <v>100</v>
      </c>
      <c r="G10" s="524" t="s">
        <v>3191</v>
      </c>
      <c r="H10" s="519">
        <f>SUMIF(75:75,G10,76:76)-SUMIF(75:75,C10,76:76)+100</f>
        <v>100</v>
      </c>
      <c r="I10" s="524" t="s">
        <v>3191</v>
      </c>
      <c r="J10" s="519">
        <f>SUMIF(75:75,I10,76:76)-SUMIF(75:75,C10,76:76)+100</f>
        <v>100</v>
      </c>
      <c r="K10" s="523"/>
      <c r="L10" s="2118"/>
      <c r="M10" s="2115"/>
      <c r="N10" s="2115"/>
      <c r="O10" s="2119"/>
      <c r="P10" s="3460" t="s">
        <v>533</v>
      </c>
      <c r="Q10" s="3461"/>
      <c r="R10" s="1553" t="s">
        <v>8</v>
      </c>
      <c r="S10" s="1554">
        <f t="shared" si="0"/>
        <v>100</v>
      </c>
      <c r="T10" s="1553" t="s">
        <v>8</v>
      </c>
      <c r="U10" s="1554">
        <f t="shared" si="1"/>
        <v>100</v>
      </c>
      <c r="V10" s="1553" t="s">
        <v>8</v>
      </c>
      <c r="W10" s="1554">
        <f t="shared" si="2"/>
        <v>100</v>
      </c>
      <c r="X10" s="1555"/>
      <c r="Y10" s="3460" t="s">
        <v>533</v>
      </c>
      <c r="Z10" s="3461"/>
      <c r="AA10" s="1556">
        <f t="shared" ref="AA10:AA47" si="3">D10/F10</f>
        <v>1</v>
      </c>
      <c r="AB10" s="1556">
        <f t="shared" ref="AB10:AB47" si="4">D10/H10</f>
        <v>1</v>
      </c>
      <c r="AC10" s="1556">
        <f t="shared" ref="AC10:AC47" si="5">D10/J10</f>
        <v>1</v>
      </c>
    </row>
    <row r="11" spans="1:30" s="1214" customFormat="1" ht="28.5">
      <c r="A11" s="2867"/>
      <c r="B11" s="2874" t="s">
        <v>2753</v>
      </c>
      <c r="C11" s="2861" t="s">
        <v>3199</v>
      </c>
      <c r="D11" s="253">
        <v>100</v>
      </c>
      <c r="E11" s="525" t="s">
        <v>3019</v>
      </c>
      <c r="F11" s="253">
        <f>SUMIF(77:77,E11,78:78)-SUMIF(77:77,C11,78:78)+100</f>
        <v>100</v>
      </c>
      <c r="G11" s="525" t="s">
        <v>3019</v>
      </c>
      <c r="H11" s="253">
        <f>SUMIF(77:77,G11,78:78)-SUMIF(77:77,C11,78:78)+100</f>
        <v>100</v>
      </c>
      <c r="I11" s="525" t="s">
        <v>3019</v>
      </c>
      <c r="J11" s="253">
        <f>SUMIF(77:77,I11,78:78)-SUMIF(77:77,C11,78:78)+100</f>
        <v>100</v>
      </c>
      <c r="K11" s="523"/>
      <c r="L11" s="2118"/>
      <c r="M11" s="2115"/>
      <c r="N11" s="2115"/>
      <c r="O11" s="2120"/>
      <c r="P11" s="3468" t="s">
        <v>535</v>
      </c>
      <c r="Q11" s="1145" t="str">
        <f t="shared" ref="Q11:Q17" si="6">B11</f>
        <v>用途</v>
      </c>
      <c r="R11" s="1553" t="s">
        <v>8</v>
      </c>
      <c r="S11" s="1554">
        <f t="shared" si="0"/>
        <v>100</v>
      </c>
      <c r="T11" s="1553" t="s">
        <v>8</v>
      </c>
      <c r="U11" s="1554">
        <f t="shared" si="1"/>
        <v>100</v>
      </c>
      <c r="V11" s="1553" t="s">
        <v>8</v>
      </c>
      <c r="W11" s="1554">
        <f t="shared" si="2"/>
        <v>100</v>
      </c>
      <c r="X11" s="1555"/>
      <c r="Y11" s="3425" t="s">
        <v>536</v>
      </c>
      <c r="Z11" s="1144" t="str">
        <f t="shared" ref="Z11:Z17" si="7">Q11</f>
        <v>用途</v>
      </c>
      <c r="AA11" s="1556">
        <f t="shared" si="3"/>
        <v>1</v>
      </c>
      <c r="AB11" s="1556">
        <f t="shared" si="4"/>
        <v>1</v>
      </c>
      <c r="AC11" s="1556">
        <f t="shared" si="5"/>
        <v>1</v>
      </c>
    </row>
    <row r="12" spans="1:30" s="1332" customFormat="1" ht="27">
      <c r="A12" s="2868"/>
      <c r="B12" s="2873" t="s">
        <v>2754</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468"/>
      <c r="Q12" s="1145" t="str">
        <f t="shared" si="6"/>
        <v>土地使用年限（年）</v>
      </c>
      <c r="R12" s="1553" t="s">
        <v>8</v>
      </c>
      <c r="S12" s="1554">
        <f t="shared" si="0"/>
        <v>100</v>
      </c>
      <c r="T12" s="1553" t="s">
        <v>8</v>
      </c>
      <c r="U12" s="1554">
        <f t="shared" si="1"/>
        <v>100</v>
      </c>
      <c r="V12" s="1553" t="s">
        <v>8</v>
      </c>
      <c r="W12" s="1554">
        <f t="shared" si="2"/>
        <v>100</v>
      </c>
      <c r="X12" s="1555"/>
      <c r="Y12" s="3425"/>
      <c r="Z12" s="1144" t="str">
        <f t="shared" si="7"/>
        <v>土地使用年限（年）</v>
      </c>
      <c r="AA12" s="1556">
        <f t="shared" si="3"/>
        <v>1</v>
      </c>
      <c r="AB12" s="1556">
        <f t="shared" si="4"/>
        <v>1</v>
      </c>
      <c r="AC12" s="1556">
        <f t="shared" si="5"/>
        <v>1</v>
      </c>
    </row>
    <row r="13" spans="1:30" ht="20.25">
      <c r="A13" s="2869"/>
      <c r="B13" s="2873" t="s">
        <v>2755</v>
      </c>
      <c r="C13" s="533">
        <f>'数据-汇总表'!I6</f>
        <v>3</v>
      </c>
      <c r="D13" s="254">
        <v>100</v>
      </c>
      <c r="E13" s="532">
        <v>2</v>
      </c>
      <c r="F13" s="254">
        <f>LOOKUP(E13,82:82,83:83)-LOOKUP(C13,82:82,83:83)+100</f>
        <v>106</v>
      </c>
      <c r="G13" s="533">
        <v>3.5</v>
      </c>
      <c r="H13" s="254">
        <f>LOOKUP(G13,82:82,83:83)-LOOKUP(C13,82:82,83:83)+100</f>
        <v>100</v>
      </c>
      <c r="I13" s="532">
        <v>3.5</v>
      </c>
      <c r="J13" s="254">
        <f>LOOKUP(I13,82:82,83:83)-LOOKUP(C13,82:82,83:83)+100</f>
        <v>100</v>
      </c>
      <c r="K13" s="3590">
        <v>6</v>
      </c>
      <c r="L13" s="2123"/>
      <c r="M13" s="2115"/>
      <c r="N13" s="2115"/>
      <c r="O13" s="2124"/>
      <c r="P13" s="3468"/>
      <c r="Q13" s="1145" t="str">
        <f t="shared" si="6"/>
        <v>容积率</v>
      </c>
      <c r="R13" s="1553" t="s">
        <v>8</v>
      </c>
      <c r="S13" s="1554">
        <f t="shared" si="0"/>
        <v>106</v>
      </c>
      <c r="T13" s="1553" t="s">
        <v>8</v>
      </c>
      <c r="U13" s="1554">
        <f t="shared" si="1"/>
        <v>100</v>
      </c>
      <c r="V13" s="1553" t="s">
        <v>8</v>
      </c>
      <c r="W13" s="1554">
        <f t="shared" si="2"/>
        <v>100</v>
      </c>
      <c r="X13" s="1555"/>
      <c r="Y13" s="3425"/>
      <c r="Z13" s="1144" t="str">
        <f t="shared" si="7"/>
        <v>容积率</v>
      </c>
      <c r="AA13" s="1556">
        <f t="shared" si="3"/>
        <v>0.94339622641509435</v>
      </c>
      <c r="AB13" s="1556">
        <f t="shared" si="4"/>
        <v>1</v>
      </c>
      <c r="AC13" s="1556">
        <f t="shared" si="5"/>
        <v>1</v>
      </c>
    </row>
    <row r="14" spans="1:30" s="1214" customFormat="1" ht="20.25">
      <c r="A14" s="2866"/>
      <c r="B14" s="2875" t="s">
        <v>2756</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68"/>
      <c r="Q14" s="1145" t="str">
        <f t="shared" si="6"/>
        <v>配建</v>
      </c>
      <c r="R14" s="1553" t="s">
        <v>8</v>
      </c>
      <c r="S14" s="1554">
        <f t="shared" si="0"/>
        <v>100</v>
      </c>
      <c r="T14" s="1553" t="s">
        <v>8</v>
      </c>
      <c r="U14" s="1554">
        <f t="shared" si="1"/>
        <v>100</v>
      </c>
      <c r="V14" s="1553" t="s">
        <v>8</v>
      </c>
      <c r="W14" s="1554">
        <f t="shared" si="2"/>
        <v>100</v>
      </c>
      <c r="X14" s="1555"/>
      <c r="Y14" s="3425"/>
      <c r="Z14" s="1144" t="str">
        <f t="shared" si="7"/>
        <v>配建</v>
      </c>
      <c r="AA14" s="1556">
        <f>D14/F14</f>
        <v>1</v>
      </c>
      <c r="AB14" s="1556">
        <f>D14/H14</f>
        <v>1</v>
      </c>
      <c r="AC14" s="1556">
        <f>D14/J14</f>
        <v>1</v>
      </c>
    </row>
    <row r="15" spans="1:30" ht="20.25">
      <c r="A15" s="2870"/>
      <c r="B15" s="2876"/>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68"/>
      <c r="Q15" s="1145">
        <f t="shared" si="6"/>
        <v>0</v>
      </c>
      <c r="R15" s="1553" t="s">
        <v>8</v>
      </c>
      <c r="S15" s="1554">
        <f t="shared" si="0"/>
        <v>100</v>
      </c>
      <c r="T15" s="1553" t="s">
        <v>8</v>
      </c>
      <c r="U15" s="1554">
        <f t="shared" si="1"/>
        <v>100</v>
      </c>
      <c r="V15" s="1553" t="s">
        <v>8</v>
      </c>
      <c r="W15" s="1554">
        <f t="shared" si="2"/>
        <v>100</v>
      </c>
      <c r="X15" s="1555"/>
      <c r="Y15" s="3425"/>
      <c r="Z15" s="1144">
        <f t="shared" si="7"/>
        <v>0</v>
      </c>
      <c r="AA15" s="1556">
        <f>D15/F15</f>
        <v>1</v>
      </c>
      <c r="AB15" s="1556">
        <f>D15/H15</f>
        <v>1</v>
      </c>
      <c r="AC15" s="1556">
        <f>D15/J15</f>
        <v>1</v>
      </c>
    </row>
    <row r="16" spans="1:30" ht="21" thickBot="1">
      <c r="A16" s="2871"/>
      <c r="B16" s="2877"/>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68"/>
      <c r="Q16" s="1145">
        <f t="shared" si="6"/>
        <v>0</v>
      </c>
      <c r="R16" s="1553" t="s">
        <v>8</v>
      </c>
      <c r="S16" s="1554">
        <f t="shared" si="0"/>
        <v>100</v>
      </c>
      <c r="T16" s="1553" t="s">
        <v>8</v>
      </c>
      <c r="U16" s="1554">
        <f t="shared" si="1"/>
        <v>100</v>
      </c>
      <c r="V16" s="1553" t="s">
        <v>8</v>
      </c>
      <c r="W16" s="1554">
        <f t="shared" si="2"/>
        <v>100</v>
      </c>
      <c r="X16" s="1555"/>
      <c r="Y16" s="3425"/>
      <c r="Z16" s="1144">
        <f t="shared" si="7"/>
        <v>0</v>
      </c>
      <c r="AA16" s="1556">
        <f>D16/F16</f>
        <v>1</v>
      </c>
      <c r="AB16" s="1556">
        <f>D16/H16</f>
        <v>1</v>
      </c>
      <c r="AC16" s="1556">
        <f>D16/J16</f>
        <v>1</v>
      </c>
    </row>
    <row r="17" spans="1:29" ht="99.75">
      <c r="A17" s="2863" t="s">
        <v>2751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103</v>
      </c>
      <c r="I17" s="551"/>
      <c r="J17" s="548">
        <f>SUMIF(90:90,I18,91:91)-SUMIF(90:90,C18,91:91)+100</f>
        <v>103</v>
      </c>
      <c r="K17" s="534">
        <v>3</v>
      </c>
      <c r="L17" s="2125"/>
      <c r="M17" s="2115"/>
      <c r="N17" s="2115"/>
      <c r="O17" s="2124"/>
      <c r="P17" s="3470" t="s">
        <v>540</v>
      </c>
      <c r="Q17" s="1557" t="str">
        <f t="shared" si="6"/>
        <v>居住社区成熟度</v>
      </c>
      <c r="R17" s="1558" t="s">
        <v>8</v>
      </c>
      <c r="S17" s="1559">
        <f t="shared" si="0"/>
        <v>100</v>
      </c>
      <c r="T17" s="1558" t="s">
        <v>8</v>
      </c>
      <c r="U17" s="1559">
        <f t="shared" si="1"/>
        <v>103</v>
      </c>
      <c r="V17" s="1558" t="s">
        <v>8</v>
      </c>
      <c r="W17" s="1559">
        <f t="shared" si="2"/>
        <v>103</v>
      </c>
      <c r="X17" s="1552"/>
      <c r="Y17" s="3470" t="s">
        <v>540</v>
      </c>
      <c r="Z17" s="1560" t="str">
        <f t="shared" si="7"/>
        <v>居住社区成熟度</v>
      </c>
      <c r="AA17" s="1561">
        <f t="shared" si="3"/>
        <v>1</v>
      </c>
      <c r="AB17" s="1561">
        <f t="shared" si="4"/>
        <v>0.970873786407767</v>
      </c>
      <c r="AC17" s="1561">
        <f t="shared" si="5"/>
        <v>0.970873786407767</v>
      </c>
    </row>
    <row r="18" spans="1:29" ht="20.25">
      <c r="A18" s="531"/>
      <c r="B18" s="552"/>
      <c r="C18" s="553" t="s">
        <v>3214</v>
      </c>
      <c r="D18" s="556"/>
      <c r="E18" s="557" t="s">
        <v>3214</v>
      </c>
      <c r="F18" s="554"/>
      <c r="G18" s="555" t="s">
        <v>3215</v>
      </c>
      <c r="H18" s="558"/>
      <c r="I18" s="557" t="s">
        <v>3215</v>
      </c>
      <c r="J18" s="554"/>
      <c r="K18" s="530"/>
      <c r="L18" s="2125"/>
      <c r="M18" s="2115"/>
      <c r="N18" s="2115"/>
      <c r="O18" s="2124"/>
      <c r="P18" s="3471"/>
      <c r="Q18" s="1557"/>
      <c r="R18" s="1558"/>
      <c r="S18" s="1559"/>
      <c r="T18" s="1558"/>
      <c r="U18" s="1559"/>
      <c r="V18" s="1558"/>
      <c r="W18" s="1559"/>
      <c r="X18" s="1552"/>
      <c r="Y18" s="3471"/>
      <c r="Z18" s="1560"/>
      <c r="AA18" s="1561">
        <v>1</v>
      </c>
      <c r="AB18" s="1561">
        <v>1</v>
      </c>
      <c r="AC18" s="1561">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v>
      </c>
      <c r="I19" s="563"/>
      <c r="J19" s="564">
        <f>SUMIF(92:92,I20,93:93)-SUMIF(92:92,C20,93:93)+100</f>
        <v>102</v>
      </c>
      <c r="K19" s="534">
        <v>2</v>
      </c>
      <c r="L19" s="2125"/>
      <c r="M19" s="2115"/>
      <c r="N19" s="2115"/>
      <c r="O19" s="2124"/>
      <c r="P19" s="3471"/>
      <c r="Q19" s="1557" t="str">
        <f>B19</f>
        <v>商业繁华度</v>
      </c>
      <c r="R19" s="1558" t="s">
        <v>8</v>
      </c>
      <c r="S19" s="1559">
        <f>F19</f>
        <v>100</v>
      </c>
      <c r="T19" s="1558" t="s">
        <v>8</v>
      </c>
      <c r="U19" s="1559">
        <f>H19</f>
        <v>102</v>
      </c>
      <c r="V19" s="1558" t="s">
        <v>8</v>
      </c>
      <c r="W19" s="1559">
        <f>J19</f>
        <v>102</v>
      </c>
      <c r="X19" s="1552"/>
      <c r="Y19" s="3471"/>
      <c r="Z19" s="1560" t="str">
        <f>Q19</f>
        <v>商业繁华度</v>
      </c>
      <c r="AA19" s="1561">
        <f t="shared" si="3"/>
        <v>1</v>
      </c>
      <c r="AB19" s="1561">
        <f t="shared" si="4"/>
        <v>0.98039215686274506</v>
      </c>
      <c r="AC19" s="1561">
        <f t="shared" si="5"/>
        <v>0.98039215686274506</v>
      </c>
    </row>
    <row r="20" spans="1:29" ht="20.25">
      <c r="A20" s="531"/>
      <c r="B20" s="565"/>
      <c r="C20" s="566" t="s">
        <v>3214</v>
      </c>
      <c r="D20" s="562"/>
      <c r="E20" s="566" t="s">
        <v>3214</v>
      </c>
      <c r="F20" s="558"/>
      <c r="G20" s="567" t="s">
        <v>3215</v>
      </c>
      <c r="H20" s="554"/>
      <c r="I20" s="567" t="s">
        <v>3215</v>
      </c>
      <c r="J20" s="554"/>
      <c r="K20" s="530"/>
      <c r="L20" s="2125"/>
      <c r="M20" s="2115"/>
      <c r="N20" s="2115"/>
      <c r="O20" s="2124"/>
      <c r="P20" s="3471"/>
      <c r="Q20" s="1557"/>
      <c r="R20" s="1558"/>
      <c r="S20" s="1559"/>
      <c r="T20" s="1558"/>
      <c r="U20" s="1559"/>
      <c r="V20" s="1558"/>
      <c r="W20" s="1559"/>
      <c r="X20" s="1552"/>
      <c r="Y20" s="3471"/>
      <c r="Z20" s="1560"/>
      <c r="AA20" s="1561">
        <v>1</v>
      </c>
      <c r="AB20" s="1561">
        <v>1</v>
      </c>
      <c r="AC20" s="1561">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71"/>
      <c r="Q21" s="1557" t="str">
        <f>B21</f>
        <v>办公集聚程度</v>
      </c>
      <c r="R21" s="1558" t="s">
        <v>8</v>
      </c>
      <c r="S21" s="1559">
        <f>F21</f>
        <v>100</v>
      </c>
      <c r="T21" s="1558" t="s">
        <v>8</v>
      </c>
      <c r="U21" s="1559">
        <f>H21</f>
        <v>100</v>
      </c>
      <c r="V21" s="1558" t="s">
        <v>8</v>
      </c>
      <c r="W21" s="1559">
        <f>J21</f>
        <v>100</v>
      </c>
      <c r="X21" s="1552"/>
      <c r="Y21" s="3471"/>
      <c r="Z21" s="1560" t="str">
        <f>Q21</f>
        <v>办公集聚程度</v>
      </c>
      <c r="AA21" s="1561">
        <f t="shared" si="3"/>
        <v>1</v>
      </c>
      <c r="AB21" s="1561">
        <f t="shared" si="4"/>
        <v>1</v>
      </c>
      <c r="AC21" s="1561">
        <f t="shared" si="5"/>
        <v>1</v>
      </c>
    </row>
    <row r="22" spans="1:29" ht="20.25" hidden="1">
      <c r="A22" s="531"/>
      <c r="B22" s="565"/>
      <c r="C22" s="553"/>
      <c r="D22" s="556"/>
      <c r="E22" s="557"/>
      <c r="F22" s="554"/>
      <c r="G22" s="555"/>
      <c r="H22" s="554"/>
      <c r="I22" s="557"/>
      <c r="J22" s="554"/>
      <c r="K22" s="530"/>
      <c r="L22" s="2125"/>
      <c r="M22" s="2115"/>
      <c r="N22" s="2115"/>
      <c r="O22" s="2124"/>
      <c r="P22" s="3471"/>
      <c r="Q22" s="1557"/>
      <c r="R22" s="1558"/>
      <c r="S22" s="1559"/>
      <c r="T22" s="1558"/>
      <c r="U22" s="1559"/>
      <c r="V22" s="1558"/>
      <c r="W22" s="1559"/>
      <c r="X22" s="1552"/>
      <c r="Y22" s="3471"/>
      <c r="Z22" s="1560"/>
      <c r="AA22" s="1561">
        <v>1</v>
      </c>
      <c r="AB22" s="1561">
        <v>1</v>
      </c>
      <c r="AC22" s="1561">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25"/>
      <c r="M23" s="2115"/>
      <c r="N23" s="2115"/>
      <c r="O23" s="2124"/>
      <c r="P23" s="3471"/>
      <c r="Q23" s="1557" t="str">
        <f>B23</f>
        <v>交通便捷度</v>
      </c>
      <c r="R23" s="1558" t="s">
        <v>8</v>
      </c>
      <c r="S23" s="1559">
        <f>F23</f>
        <v>100</v>
      </c>
      <c r="T23" s="1558" t="s">
        <v>8</v>
      </c>
      <c r="U23" s="1559">
        <f>H23</f>
        <v>100</v>
      </c>
      <c r="V23" s="1558" t="s">
        <v>8</v>
      </c>
      <c r="W23" s="1559">
        <f>J23</f>
        <v>100</v>
      </c>
      <c r="X23" s="1552"/>
      <c r="Y23" s="3471"/>
      <c r="Z23" s="1560" t="str">
        <f>Q23</f>
        <v>交通便捷度</v>
      </c>
      <c r="AA23" s="1561">
        <f t="shared" si="3"/>
        <v>1</v>
      </c>
      <c r="AB23" s="1561">
        <f t="shared" si="4"/>
        <v>1</v>
      </c>
      <c r="AC23" s="1561">
        <f t="shared" si="5"/>
        <v>1</v>
      </c>
    </row>
    <row r="24" spans="1:29" ht="20.25">
      <c r="A24" s="531"/>
      <c r="B24" s="577"/>
      <c r="C24" s="553" t="s">
        <v>3214</v>
      </c>
      <c r="D24" s="556"/>
      <c r="E24" s="553" t="s">
        <v>3214</v>
      </c>
      <c r="F24" s="554"/>
      <c r="G24" s="553" t="s">
        <v>3214</v>
      </c>
      <c r="H24" s="554"/>
      <c r="I24" s="553" t="s">
        <v>3214</v>
      </c>
      <c r="J24" s="554"/>
      <c r="K24" s="530"/>
      <c r="L24" s="2125"/>
      <c r="M24" s="2115"/>
      <c r="N24" s="2115"/>
      <c r="O24" s="2124"/>
      <c r="P24" s="3471"/>
      <c r="Q24" s="1557"/>
      <c r="R24" s="1558"/>
      <c r="S24" s="1559"/>
      <c r="T24" s="1558"/>
      <c r="U24" s="1559"/>
      <c r="V24" s="1558"/>
      <c r="W24" s="1559"/>
      <c r="X24" s="1552"/>
      <c r="Y24" s="3471"/>
      <c r="Z24" s="1560"/>
      <c r="AA24" s="1561">
        <v>1</v>
      </c>
      <c r="AB24" s="1561">
        <v>1</v>
      </c>
      <c r="AC24" s="1561">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25"/>
      <c r="M25" s="2115"/>
      <c r="N25" s="2115"/>
      <c r="O25" s="2124"/>
      <c r="P25" s="3471"/>
      <c r="Q25" s="1557" t="str">
        <f t="shared" ref="Q25:Q39" si="8">B25</f>
        <v>区域土地利用方向</v>
      </c>
      <c r="R25" s="1558" t="s">
        <v>8</v>
      </c>
      <c r="S25" s="1559">
        <f>F25</f>
        <v>100</v>
      </c>
      <c r="T25" s="1558" t="s">
        <v>8</v>
      </c>
      <c r="U25" s="1559">
        <f>H25</f>
        <v>100</v>
      </c>
      <c r="V25" s="1558" t="s">
        <v>8</v>
      </c>
      <c r="W25" s="1559">
        <f>J25</f>
        <v>100</v>
      </c>
      <c r="X25" s="1552"/>
      <c r="Y25" s="3471"/>
      <c r="Z25" s="1560" t="str">
        <f>Q25</f>
        <v>区域土地利用方向</v>
      </c>
      <c r="AA25" s="1561">
        <f t="shared" si="3"/>
        <v>1</v>
      </c>
      <c r="AB25" s="1561">
        <f t="shared" si="4"/>
        <v>1</v>
      </c>
      <c r="AC25" s="1561">
        <f t="shared" si="5"/>
        <v>1</v>
      </c>
    </row>
    <row r="26" spans="1:29" ht="20.25">
      <c r="A26" s="514"/>
      <c r="B26" s="1005"/>
      <c r="C26" s="553" t="s">
        <v>3215</v>
      </c>
      <c r="D26" s="556"/>
      <c r="E26" s="553" t="s">
        <v>3215</v>
      </c>
      <c r="F26" s="554"/>
      <c r="G26" s="553" t="s">
        <v>3215</v>
      </c>
      <c r="H26" s="554"/>
      <c r="I26" s="553" t="s">
        <v>3215</v>
      </c>
      <c r="J26" s="554"/>
      <c r="K26" s="530"/>
      <c r="L26" s="2125"/>
      <c r="M26" s="2115"/>
      <c r="N26" s="2115"/>
      <c r="O26" s="2124"/>
      <c r="P26" s="3471"/>
      <c r="Q26" s="1557"/>
      <c r="R26" s="1558"/>
      <c r="S26" s="1559"/>
      <c r="T26" s="1558"/>
      <c r="U26" s="1559"/>
      <c r="V26" s="1558"/>
      <c r="W26" s="1559"/>
      <c r="X26" s="1552"/>
      <c r="Y26" s="3471"/>
      <c r="Z26" s="1560"/>
      <c r="AA26" s="1561"/>
      <c r="AB26" s="1561"/>
      <c r="AC26" s="1561"/>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471"/>
      <c r="Q27" s="1557" t="str">
        <f t="shared" si="8"/>
        <v>自然及人文环境状况</v>
      </c>
      <c r="R27" s="1558" t="s">
        <v>8</v>
      </c>
      <c r="S27" s="1559">
        <f>F27</f>
        <v>100</v>
      </c>
      <c r="T27" s="1558" t="s">
        <v>8</v>
      </c>
      <c r="U27" s="1559">
        <f>H27</f>
        <v>100</v>
      </c>
      <c r="V27" s="1558" t="s">
        <v>8</v>
      </c>
      <c r="W27" s="1559">
        <f>J27</f>
        <v>100</v>
      </c>
      <c r="X27" s="1552"/>
      <c r="Y27" s="3471"/>
      <c r="Z27" s="1560" t="str">
        <f>Q27</f>
        <v>自然及人文环境状况</v>
      </c>
      <c r="AA27" s="1561">
        <f t="shared" si="3"/>
        <v>1</v>
      </c>
      <c r="AB27" s="1561">
        <f t="shared" si="4"/>
        <v>1</v>
      </c>
      <c r="AC27" s="1561">
        <f t="shared" si="5"/>
        <v>1</v>
      </c>
    </row>
    <row r="28" spans="1:29" ht="20.25">
      <c r="A28" s="514"/>
      <c r="B28" s="565"/>
      <c r="C28" s="553" t="s">
        <v>3214</v>
      </c>
      <c r="D28" s="556"/>
      <c r="E28" s="553" t="s">
        <v>3214</v>
      </c>
      <c r="F28" s="554"/>
      <c r="G28" s="553" t="s">
        <v>3214</v>
      </c>
      <c r="H28" s="554"/>
      <c r="I28" s="553" t="s">
        <v>3214</v>
      </c>
      <c r="J28" s="554"/>
      <c r="K28" s="530"/>
      <c r="L28" s="2125"/>
      <c r="M28" s="2115"/>
      <c r="N28" s="2115"/>
      <c r="O28" s="2124"/>
      <c r="P28" s="3471"/>
      <c r="Q28" s="1557"/>
      <c r="R28" s="1558"/>
      <c r="S28" s="1559"/>
      <c r="T28" s="1558"/>
      <c r="U28" s="1559"/>
      <c r="V28" s="1558"/>
      <c r="W28" s="1559"/>
      <c r="X28" s="1552"/>
      <c r="Y28" s="3471"/>
      <c r="Z28" s="1560"/>
      <c r="AA28" s="1561">
        <v>1</v>
      </c>
      <c r="AB28" s="1561">
        <v>1</v>
      </c>
      <c r="AC28" s="1561">
        <v>1</v>
      </c>
    </row>
    <row r="29" spans="1:29" s="1214" customFormat="1" ht="42.75">
      <c r="A29" s="576"/>
      <c r="B29" s="2553" t="s">
        <v>2546</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102</v>
      </c>
      <c r="I29" s="563"/>
      <c r="J29" s="558">
        <f>SUMIF(102:102,I30,103:103)-SUMIF(102:102,C30,103:103)+100</f>
        <v>102</v>
      </c>
      <c r="K29" s="534">
        <v>2</v>
      </c>
      <c r="L29" s="2118"/>
      <c r="M29" s="2115"/>
      <c r="N29" s="2115"/>
      <c r="O29" s="2120"/>
      <c r="P29" s="3471"/>
      <c r="Q29" s="1145" t="str">
        <f t="shared" si="8"/>
        <v>公共配套设施</v>
      </c>
      <c r="R29" s="1553" t="s">
        <v>8</v>
      </c>
      <c r="S29" s="1554">
        <f>F29</f>
        <v>100</v>
      </c>
      <c r="T29" s="1553" t="s">
        <v>8</v>
      </c>
      <c r="U29" s="1554">
        <f>H29</f>
        <v>102</v>
      </c>
      <c r="V29" s="1553" t="s">
        <v>8</v>
      </c>
      <c r="W29" s="1554">
        <f>J29</f>
        <v>102</v>
      </c>
      <c r="X29" s="1555"/>
      <c r="Y29" s="3471"/>
      <c r="Z29" s="1144" t="str">
        <f>Q29</f>
        <v>公共配套设施</v>
      </c>
      <c r="AA29" s="1561">
        <f>D29/F29</f>
        <v>1</v>
      </c>
      <c r="AB29" s="1561">
        <f>D29/H29</f>
        <v>0.98039215686274506</v>
      </c>
      <c r="AC29" s="1561">
        <f>D29/J29</f>
        <v>0.98039215686274506</v>
      </c>
    </row>
    <row r="30" spans="1:29" s="1214" customFormat="1" ht="20.25">
      <c r="A30" s="576"/>
      <c r="B30" s="565"/>
      <c r="C30" s="578" t="s">
        <v>3214</v>
      </c>
      <c r="D30" s="556"/>
      <c r="E30" s="578" t="s">
        <v>3214</v>
      </c>
      <c r="F30" s="554"/>
      <c r="G30" s="553" t="s">
        <v>3215</v>
      </c>
      <c r="H30" s="554"/>
      <c r="I30" s="553" t="s">
        <v>3215</v>
      </c>
      <c r="J30" s="554"/>
      <c r="K30" s="530"/>
      <c r="L30" s="2118"/>
      <c r="M30" s="2115"/>
      <c r="N30" s="2115"/>
      <c r="O30" s="2120"/>
      <c r="P30" s="3471"/>
      <c r="Q30" s="1145"/>
      <c r="R30" s="1553"/>
      <c r="S30" s="1554"/>
      <c r="T30" s="1553"/>
      <c r="U30" s="1554"/>
      <c r="V30" s="1553"/>
      <c r="W30" s="1554"/>
      <c r="X30" s="1555"/>
      <c r="Y30" s="3471"/>
      <c r="Z30" s="1144"/>
      <c r="AA30" s="1561">
        <v>1</v>
      </c>
      <c r="AB30" s="1561">
        <v>1</v>
      </c>
      <c r="AC30" s="1561">
        <v>1</v>
      </c>
    </row>
    <row r="31" spans="1:29" s="1214" customFormat="1" ht="28.5">
      <c r="A31" s="576"/>
      <c r="B31" s="2553" t="s">
        <v>2547</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71"/>
      <c r="Q31" s="2540" t="str">
        <f t="shared" ref="Q31" si="9">B31</f>
        <v>基础设施水平</v>
      </c>
      <c r="R31" s="1553" t="s">
        <v>8</v>
      </c>
      <c r="S31" s="1554">
        <f>F31</f>
        <v>100</v>
      </c>
      <c r="T31" s="1553" t="s">
        <v>8</v>
      </c>
      <c r="U31" s="1554">
        <f>H31</f>
        <v>100</v>
      </c>
      <c r="V31" s="1553" t="s">
        <v>8</v>
      </c>
      <c r="W31" s="1554">
        <f>J31</f>
        <v>100</v>
      </c>
      <c r="X31" s="1555"/>
      <c r="Y31" s="3471"/>
      <c r="Z31" s="2537" t="str">
        <f>Q31</f>
        <v>基础设施水平</v>
      </c>
      <c r="AA31" s="1561">
        <f>D31/F31</f>
        <v>1</v>
      </c>
      <c r="AB31" s="1561">
        <f>D31/H31</f>
        <v>1</v>
      </c>
      <c r="AC31" s="1561">
        <f>D31/J31</f>
        <v>1</v>
      </c>
    </row>
    <row r="32" spans="1:29" s="1214" customFormat="1" ht="20.25">
      <c r="A32" s="576"/>
      <c r="B32" s="565"/>
      <c r="C32" s="578" t="s">
        <v>3233</v>
      </c>
      <c r="D32" s="556"/>
      <c r="E32" s="578" t="s">
        <v>3233</v>
      </c>
      <c r="F32" s="554"/>
      <c r="G32" s="578" t="s">
        <v>3233</v>
      </c>
      <c r="H32" s="554"/>
      <c r="I32" s="578" t="s">
        <v>3233</v>
      </c>
      <c r="J32" s="554"/>
      <c r="K32" s="530"/>
      <c r="L32" s="2118"/>
      <c r="M32" s="2115"/>
      <c r="N32" s="2115"/>
      <c r="O32" s="2120"/>
      <c r="P32" s="3471"/>
      <c r="Q32" s="2540"/>
      <c r="R32" s="1553"/>
      <c r="S32" s="1554"/>
      <c r="T32" s="1553"/>
      <c r="U32" s="1554"/>
      <c r="V32" s="1553"/>
      <c r="W32" s="1554"/>
      <c r="X32" s="1555"/>
      <c r="Y32" s="3471"/>
      <c r="Z32" s="2537"/>
      <c r="AA32" s="1561">
        <v>1</v>
      </c>
      <c r="AB32" s="1561">
        <v>1</v>
      </c>
      <c r="AC32" s="1561">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7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71"/>
      <c r="Z33" s="1560" t="str">
        <f t="shared" ref="Z33:Z47" si="13">Q33</f>
        <v>临街状况</v>
      </c>
      <c r="AA33" s="1561">
        <f t="shared" si="3"/>
        <v>1</v>
      </c>
      <c r="AB33" s="1561">
        <f t="shared" si="4"/>
        <v>1</v>
      </c>
      <c r="AC33" s="1561">
        <f t="shared" si="5"/>
        <v>1</v>
      </c>
    </row>
    <row r="34" spans="1:29" ht="27">
      <c r="A34" s="531"/>
      <c r="B34" s="577" t="s">
        <v>548</v>
      </c>
      <c r="C34" s="3231" t="s">
        <v>3241</v>
      </c>
      <c r="D34" s="562">
        <v>100</v>
      </c>
      <c r="E34" s="3232" t="s">
        <v>3242</v>
      </c>
      <c r="F34" s="558">
        <f>SUMIF(108:108,E35,109:109)-SUMIF(108:108,C35,109:109)+100</f>
        <v>100</v>
      </c>
      <c r="G34" s="3231" t="s">
        <v>3243</v>
      </c>
      <c r="H34" s="558">
        <f>SUMIF(108:108,G35,109:109)-SUMIF(108:108,C35,109:109)+100</f>
        <v>100</v>
      </c>
      <c r="I34" s="3231" t="s">
        <v>3243</v>
      </c>
      <c r="J34" s="558">
        <f>SUMIF(108:108,I35,109:109)-SUMIF(108:108,C35,109:109)+100</f>
        <v>100</v>
      </c>
      <c r="K34" s="534">
        <v>2</v>
      </c>
      <c r="L34" s="2125"/>
      <c r="M34" s="2115"/>
      <c r="N34" s="2115"/>
      <c r="O34" s="2124"/>
      <c r="P34" s="3471"/>
      <c r="Q34" s="1557" t="str">
        <f t="shared" si="8"/>
        <v>毗邻道路的类型与等级</v>
      </c>
      <c r="R34" s="1558" t="s">
        <v>8</v>
      </c>
      <c r="S34" s="1559">
        <f t="shared" si="10"/>
        <v>100</v>
      </c>
      <c r="T34" s="1558" t="s">
        <v>8</v>
      </c>
      <c r="U34" s="1559">
        <f t="shared" si="11"/>
        <v>100</v>
      </c>
      <c r="V34" s="1558" t="s">
        <v>8</v>
      </c>
      <c r="W34" s="1559">
        <f t="shared" si="12"/>
        <v>100</v>
      </c>
      <c r="X34" s="1552"/>
      <c r="Y34" s="3471"/>
      <c r="Z34" s="1560" t="str">
        <f t="shared" si="13"/>
        <v>毗邻道路的类型与等级</v>
      </c>
      <c r="AA34" s="1561">
        <f t="shared" si="3"/>
        <v>1</v>
      </c>
      <c r="AB34" s="1561">
        <f t="shared" si="4"/>
        <v>1</v>
      </c>
      <c r="AC34" s="1561">
        <f t="shared" si="5"/>
        <v>1</v>
      </c>
    </row>
    <row r="35" spans="1:29" ht="21" thickBot="1">
      <c r="A35" s="531"/>
      <c r="B35" s="565"/>
      <c r="C35" s="553" t="s">
        <v>3244</v>
      </c>
      <c r="D35" s="556"/>
      <c r="E35" s="553" t="s">
        <v>3244</v>
      </c>
      <c r="F35" s="554"/>
      <c r="G35" s="553" t="s">
        <v>3244</v>
      </c>
      <c r="H35" s="554"/>
      <c r="I35" s="553" t="s">
        <v>3244</v>
      </c>
      <c r="J35" s="554"/>
      <c r="K35" s="580"/>
      <c r="L35" s="2125"/>
      <c r="M35" s="2115"/>
      <c r="N35" s="2115"/>
      <c r="O35" s="2124"/>
      <c r="P35" s="3471"/>
      <c r="Q35" s="1557"/>
      <c r="R35" s="1558"/>
      <c r="S35" s="1559"/>
      <c r="T35" s="1558"/>
      <c r="U35" s="1559"/>
      <c r="V35" s="1558"/>
      <c r="W35" s="1559"/>
      <c r="X35" s="1552"/>
      <c r="Y35" s="3471"/>
      <c r="Z35" s="1560"/>
      <c r="AA35" s="1561">
        <v>1</v>
      </c>
      <c r="AB35" s="1561">
        <v>1</v>
      </c>
      <c r="AC35" s="1561">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71"/>
      <c r="Q36" s="1557" t="str">
        <f t="shared" si="8"/>
        <v>土地级别</v>
      </c>
      <c r="R36" s="1558" t="s">
        <v>8</v>
      </c>
      <c r="S36" s="1559">
        <f t="shared" si="10"/>
        <v>100</v>
      </c>
      <c r="T36" s="1558" t="s">
        <v>8</v>
      </c>
      <c r="U36" s="1559">
        <f t="shared" si="11"/>
        <v>100</v>
      </c>
      <c r="V36" s="1558" t="s">
        <v>8</v>
      </c>
      <c r="W36" s="1559">
        <f t="shared" si="12"/>
        <v>100</v>
      </c>
      <c r="X36" s="1552"/>
      <c r="Y36" s="3471"/>
      <c r="Z36" s="1560" t="str">
        <f t="shared" si="13"/>
        <v>土地级别</v>
      </c>
      <c r="AA36" s="1561">
        <f t="shared" si="3"/>
        <v>1</v>
      </c>
      <c r="AB36" s="1561">
        <f t="shared" si="4"/>
        <v>1</v>
      </c>
      <c r="AC36" s="1561">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71"/>
      <c r="Q37" s="1557">
        <f t="shared" si="8"/>
        <v>0</v>
      </c>
      <c r="R37" s="1558" t="s">
        <v>8</v>
      </c>
      <c r="S37" s="1559">
        <f t="shared" si="10"/>
        <v>100</v>
      </c>
      <c r="T37" s="1558" t="s">
        <v>8</v>
      </c>
      <c r="U37" s="1559">
        <f t="shared" si="11"/>
        <v>100</v>
      </c>
      <c r="V37" s="1558" t="s">
        <v>8</v>
      </c>
      <c r="W37" s="1559">
        <f t="shared" si="12"/>
        <v>100</v>
      </c>
      <c r="X37" s="1552"/>
      <c r="Y37" s="3471"/>
      <c r="Z37" s="1560">
        <f t="shared" si="13"/>
        <v>0</v>
      </c>
      <c r="AA37" s="1561">
        <f t="shared" si="3"/>
        <v>1</v>
      </c>
      <c r="AB37" s="1561">
        <f t="shared" si="4"/>
        <v>1</v>
      </c>
      <c r="AC37" s="1561">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72" t="s">
        <v>550</v>
      </c>
      <c r="Q38" s="1557">
        <f t="shared" si="8"/>
        <v>0</v>
      </c>
      <c r="R38" s="1558" t="s">
        <v>8</v>
      </c>
      <c r="S38" s="1559">
        <f t="shared" si="10"/>
        <v>100</v>
      </c>
      <c r="T38" s="1558" t="s">
        <v>8</v>
      </c>
      <c r="U38" s="1559">
        <f t="shared" si="11"/>
        <v>100</v>
      </c>
      <c r="V38" s="1558" t="s">
        <v>8</v>
      </c>
      <c r="W38" s="1559">
        <f t="shared" si="12"/>
        <v>100</v>
      </c>
      <c r="X38" s="1552"/>
      <c r="Y38" s="3473" t="s">
        <v>550</v>
      </c>
      <c r="Z38" s="1560">
        <f t="shared" si="13"/>
        <v>0</v>
      </c>
      <c r="AA38" s="1561">
        <f t="shared" si="3"/>
        <v>1</v>
      </c>
      <c r="AB38" s="1561">
        <f t="shared" si="4"/>
        <v>1</v>
      </c>
      <c r="AC38" s="1561">
        <f t="shared" si="5"/>
        <v>1</v>
      </c>
    </row>
    <row r="39" spans="1:29" s="1333"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73"/>
      <c r="Q39" s="1557">
        <f t="shared" si="8"/>
        <v>0</v>
      </c>
      <c r="R39" s="1562" t="s">
        <v>8</v>
      </c>
      <c r="S39" s="1563">
        <f t="shared" si="10"/>
        <v>100</v>
      </c>
      <c r="T39" s="1562" t="s">
        <v>8</v>
      </c>
      <c r="U39" s="1563">
        <f t="shared" si="11"/>
        <v>100</v>
      </c>
      <c r="V39" s="1562" t="s">
        <v>8</v>
      </c>
      <c r="W39" s="1563">
        <f t="shared" si="12"/>
        <v>100</v>
      </c>
      <c r="X39" s="1564"/>
      <c r="Y39" s="3473"/>
      <c r="Z39" s="1565">
        <f t="shared" si="13"/>
        <v>0</v>
      </c>
      <c r="AA39" s="1561">
        <f t="shared" si="3"/>
        <v>1</v>
      </c>
      <c r="AB39" s="1561">
        <f t="shared" si="4"/>
        <v>1</v>
      </c>
      <c r="AC39" s="1561">
        <f t="shared" si="5"/>
        <v>1</v>
      </c>
    </row>
    <row r="40" spans="1:29" ht="20.25">
      <c r="A40" s="2860" t="s">
        <v>2752</v>
      </c>
      <c r="B40" s="594" t="s">
        <v>552</v>
      </c>
      <c r="C40" s="595">
        <f>'数据-汇总表'!D3</f>
        <v>36905.32</v>
      </c>
      <c r="D40" s="596">
        <v>100</v>
      </c>
      <c r="E40" s="595">
        <f>土地案例!I3</f>
        <v>16390</v>
      </c>
      <c r="F40" s="596">
        <f>LOOKUP(E40,119:119,120:120)-LOOKUP(C40,119:119,120:120)+100</f>
        <v>99.5</v>
      </c>
      <c r="G40" s="595">
        <f>土地案例!I8</f>
        <v>26815</v>
      </c>
      <c r="H40" s="596">
        <f>LOOKUP(G40,119:119,120:120)-LOOKUP(C40,119:119,120:120)+100</f>
        <v>99.5</v>
      </c>
      <c r="I40" s="597">
        <f>土地案例!I12</f>
        <v>36115</v>
      </c>
      <c r="J40" s="596">
        <f>LOOKUP(I40,119:119,120:120)-LOOKUP(C40,119:119,120:120)+100</f>
        <v>100</v>
      </c>
      <c r="K40" s="580"/>
      <c r="L40" s="2125"/>
      <c r="M40" s="2115"/>
      <c r="N40" s="2115"/>
      <c r="O40" s="2124"/>
      <c r="P40" s="3473"/>
      <c r="Q40" s="1557" t="str">
        <f>B40</f>
        <v>宗地面积</v>
      </c>
      <c r="R40" s="1558" t="s">
        <v>8</v>
      </c>
      <c r="S40" s="1559">
        <f t="shared" si="10"/>
        <v>99.5</v>
      </c>
      <c r="T40" s="1558" t="s">
        <v>8</v>
      </c>
      <c r="U40" s="1559">
        <f t="shared" si="11"/>
        <v>99.5</v>
      </c>
      <c r="V40" s="1558" t="s">
        <v>8</v>
      </c>
      <c r="W40" s="1559">
        <f t="shared" si="12"/>
        <v>100</v>
      </c>
      <c r="X40" s="1552"/>
      <c r="Y40" s="3473"/>
      <c r="Z40" s="1560" t="str">
        <f t="shared" si="13"/>
        <v>宗地面积</v>
      </c>
      <c r="AA40" s="1561">
        <f t="shared" si="3"/>
        <v>1.0050251256281406</v>
      </c>
      <c r="AB40" s="1561">
        <f t="shared" si="4"/>
        <v>1.0050251256281406</v>
      </c>
      <c r="AC40" s="1561">
        <f t="shared" si="5"/>
        <v>1</v>
      </c>
    </row>
    <row r="41" spans="1:29" ht="20.25">
      <c r="A41" s="593"/>
      <c r="B41" s="526" t="s">
        <v>553</v>
      </c>
      <c r="C41" s="598" t="s">
        <v>3239</v>
      </c>
      <c r="D41" s="539">
        <v>100</v>
      </c>
      <c r="E41" s="598" t="s">
        <v>3239</v>
      </c>
      <c r="F41" s="539">
        <f>SUMIF(121:121,E41,122:122)-SUMIF(121:121,C41,122:122)+100</f>
        <v>100</v>
      </c>
      <c r="G41" s="598" t="s">
        <v>3239</v>
      </c>
      <c r="H41" s="539">
        <f>SUMIF(121:121,G41,122:122)-SUMIF(121:121,C41,122:122)+100</f>
        <v>100</v>
      </c>
      <c r="I41" s="598" t="s">
        <v>3239</v>
      </c>
      <c r="J41" s="539">
        <f>SUMIF(121:121,I41,122:122)-SUMIF(121:121,C41,122:122)+100</f>
        <v>100</v>
      </c>
      <c r="K41" s="583">
        <v>2</v>
      </c>
      <c r="L41" s="2125"/>
      <c r="M41" s="2115"/>
      <c r="N41" s="2115"/>
      <c r="O41" s="2124"/>
      <c r="P41" s="3473"/>
      <c r="Q41" s="1557" t="str">
        <f t="shared" ref="Q41:Q47" si="14">B41</f>
        <v>宗地形状</v>
      </c>
      <c r="R41" s="1558" t="s">
        <v>8</v>
      </c>
      <c r="S41" s="1559">
        <f t="shared" si="10"/>
        <v>100</v>
      </c>
      <c r="T41" s="1558" t="s">
        <v>8</v>
      </c>
      <c r="U41" s="1559">
        <f t="shared" si="11"/>
        <v>100</v>
      </c>
      <c r="V41" s="1558" t="s">
        <v>8</v>
      </c>
      <c r="W41" s="1559">
        <f t="shared" si="12"/>
        <v>100</v>
      </c>
      <c r="X41" s="1552"/>
      <c r="Y41" s="3473"/>
      <c r="Z41" s="1560" t="str">
        <f t="shared" si="13"/>
        <v>宗地形状</v>
      </c>
      <c r="AA41" s="1561">
        <f t="shared" si="3"/>
        <v>1</v>
      </c>
      <c r="AB41" s="1561">
        <f t="shared" si="4"/>
        <v>1</v>
      </c>
      <c r="AC41" s="1561">
        <f t="shared" si="5"/>
        <v>1</v>
      </c>
    </row>
    <row r="42" spans="1:29" ht="20.25">
      <c r="A42" s="593"/>
      <c r="B42" s="526" t="s">
        <v>554</v>
      </c>
      <c r="C42" s="598" t="s">
        <v>3237</v>
      </c>
      <c r="D42" s="539">
        <v>100</v>
      </c>
      <c r="E42" s="598" t="s">
        <v>3237</v>
      </c>
      <c r="F42" s="539">
        <f>SUMIF(123:123,E42,124:124)-SUMIF(123:123,C42,124:124)+100</f>
        <v>100</v>
      </c>
      <c r="G42" s="598" t="s">
        <v>3237</v>
      </c>
      <c r="H42" s="539">
        <f>SUMIF(123:123,G42,124:124)-SUMIF(123:123,C42,124:124)+100</f>
        <v>100</v>
      </c>
      <c r="I42" s="598" t="s">
        <v>3237</v>
      </c>
      <c r="J42" s="539">
        <f>SUMIF(123:123,I42,124:124)-SUMIF(123:123,C42,124:124)+100</f>
        <v>100</v>
      </c>
      <c r="K42" s="583">
        <v>2</v>
      </c>
      <c r="L42" s="2125"/>
      <c r="M42" s="2115"/>
      <c r="N42" s="2115"/>
      <c r="O42" s="2124"/>
      <c r="P42" s="3473"/>
      <c r="Q42" s="1557" t="str">
        <f t="shared" si="14"/>
        <v>临街宽度及深度</v>
      </c>
      <c r="R42" s="1558" t="s">
        <v>8</v>
      </c>
      <c r="S42" s="1559">
        <f t="shared" si="10"/>
        <v>100</v>
      </c>
      <c r="T42" s="1558" t="s">
        <v>8</v>
      </c>
      <c r="U42" s="1559">
        <f t="shared" si="11"/>
        <v>100</v>
      </c>
      <c r="V42" s="1558" t="s">
        <v>8</v>
      </c>
      <c r="W42" s="1559">
        <f t="shared" si="12"/>
        <v>100</v>
      </c>
      <c r="X42" s="1552"/>
      <c r="Y42" s="3473"/>
      <c r="Z42" s="1560" t="str">
        <f t="shared" si="13"/>
        <v>临街宽度及深度</v>
      </c>
      <c r="AA42" s="1561">
        <f t="shared" si="3"/>
        <v>1</v>
      </c>
      <c r="AB42" s="1561">
        <f t="shared" si="4"/>
        <v>1</v>
      </c>
      <c r="AC42" s="1561">
        <f t="shared" si="5"/>
        <v>1</v>
      </c>
    </row>
    <row r="43" spans="1:29" s="1214" customFormat="1" ht="20.25">
      <c r="A43" s="599"/>
      <c r="B43" s="1878" t="s">
        <v>2422</v>
      </c>
      <c r="C43" s="600" t="s">
        <v>3235</v>
      </c>
      <c r="D43" s="254">
        <v>100</v>
      </c>
      <c r="E43" s="600" t="s">
        <v>3235</v>
      </c>
      <c r="F43" s="539">
        <f>SUMIF(125:125,E43,126:126)-SUMIF(125:125,C43,126:126)+100</f>
        <v>100</v>
      </c>
      <c r="G43" s="600" t="s">
        <v>3235</v>
      </c>
      <c r="H43" s="539">
        <f>SUMIF(125:125,G43,126:126)-SUMIF(125:125,C43,126:126)+100</f>
        <v>100</v>
      </c>
      <c r="I43" s="600" t="s">
        <v>3235</v>
      </c>
      <c r="J43" s="539">
        <f>SUMIF(125:125,I43,126:126)-SUMIF(125:125,C43,126:126)+100</f>
        <v>100</v>
      </c>
      <c r="K43" s="583">
        <v>2</v>
      </c>
      <c r="L43" s="2118"/>
      <c r="M43" s="2115"/>
      <c r="N43" s="2115"/>
      <c r="O43" s="2120"/>
      <c r="P43" s="3473"/>
      <c r="Q43" s="1557" t="str">
        <f t="shared" si="14"/>
        <v>宗地开发程度</v>
      </c>
      <c r="R43" s="1553" t="s">
        <v>8</v>
      </c>
      <c r="S43" s="1554">
        <f t="shared" si="10"/>
        <v>100</v>
      </c>
      <c r="T43" s="1553" t="s">
        <v>8</v>
      </c>
      <c r="U43" s="1554">
        <f t="shared" si="11"/>
        <v>100</v>
      </c>
      <c r="V43" s="1553" t="s">
        <v>8</v>
      </c>
      <c r="W43" s="1554">
        <f t="shared" si="12"/>
        <v>100</v>
      </c>
      <c r="X43" s="1555"/>
      <c r="Y43" s="3473"/>
      <c r="Z43" s="1144" t="str">
        <f t="shared" si="13"/>
        <v>宗地开发程度</v>
      </c>
      <c r="AA43" s="1556">
        <f t="shared" si="3"/>
        <v>1</v>
      </c>
      <c r="AB43" s="1556">
        <f t="shared" si="4"/>
        <v>1</v>
      </c>
      <c r="AC43" s="1556">
        <f t="shared" si="5"/>
        <v>1</v>
      </c>
    </row>
    <row r="44" spans="1:29" ht="21" thickBot="1">
      <c r="A44" s="593"/>
      <c r="B44" s="526" t="s">
        <v>555</v>
      </c>
      <c r="C44" s="598" t="s">
        <v>3215</v>
      </c>
      <c r="D44" s="539">
        <v>100</v>
      </c>
      <c r="E44" s="598" t="s">
        <v>3215</v>
      </c>
      <c r="F44" s="539">
        <f>SUMIF(127:127,E44,128:128)-SUMIF(127:127,C44,128:128)+100</f>
        <v>100</v>
      </c>
      <c r="G44" s="598" t="s">
        <v>3215</v>
      </c>
      <c r="H44" s="539">
        <f>SUMIF(127:127,G44,128:128)-SUMIF(127:127,C44,128:128)+100</f>
        <v>100</v>
      </c>
      <c r="I44" s="598" t="s">
        <v>3215</v>
      </c>
      <c r="J44" s="539">
        <f>SUMIF(127:127,I44,128:128)-SUMIF(127:127,C44,128:128)+100</f>
        <v>100</v>
      </c>
      <c r="K44" s="583">
        <v>2</v>
      </c>
      <c r="L44" s="2125"/>
      <c r="M44" s="2115"/>
      <c r="N44" s="2115"/>
      <c r="O44" s="2124"/>
      <c r="P44" s="3473" t="s">
        <v>550</v>
      </c>
      <c r="Q44" s="1557" t="str">
        <f t="shared" si="14"/>
        <v>工程地质条件</v>
      </c>
      <c r="R44" s="1558" t="s">
        <v>8</v>
      </c>
      <c r="S44" s="1559">
        <f t="shared" si="10"/>
        <v>100</v>
      </c>
      <c r="T44" s="1558" t="s">
        <v>8</v>
      </c>
      <c r="U44" s="1559">
        <f t="shared" si="11"/>
        <v>100</v>
      </c>
      <c r="V44" s="1558" t="s">
        <v>8</v>
      </c>
      <c r="W44" s="1559">
        <f t="shared" si="12"/>
        <v>100</v>
      </c>
      <c r="X44" s="1552"/>
      <c r="Y44" s="3473" t="s">
        <v>550</v>
      </c>
      <c r="Z44" s="1560" t="str">
        <f t="shared" si="13"/>
        <v>工程地质条件</v>
      </c>
      <c r="AA44" s="1561">
        <f t="shared" si="3"/>
        <v>1</v>
      </c>
      <c r="AB44" s="1561">
        <f t="shared" si="4"/>
        <v>1</v>
      </c>
      <c r="AC44" s="1561">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73"/>
      <c r="Q45" s="1557">
        <f t="shared" si="14"/>
        <v>0</v>
      </c>
      <c r="R45" s="1558" t="s">
        <v>8</v>
      </c>
      <c r="S45" s="1559">
        <f t="shared" si="10"/>
        <v>100</v>
      </c>
      <c r="T45" s="1558" t="s">
        <v>8</v>
      </c>
      <c r="U45" s="1559">
        <f t="shared" si="11"/>
        <v>100</v>
      </c>
      <c r="V45" s="1558" t="s">
        <v>8</v>
      </c>
      <c r="W45" s="1559">
        <f t="shared" si="12"/>
        <v>100</v>
      </c>
      <c r="X45" s="1552"/>
      <c r="Y45" s="3473"/>
      <c r="Z45" s="1560">
        <f t="shared" si="13"/>
        <v>0</v>
      </c>
      <c r="AA45" s="1561">
        <f t="shared" si="3"/>
        <v>1</v>
      </c>
      <c r="AB45" s="1561">
        <f t="shared" si="4"/>
        <v>1</v>
      </c>
      <c r="AC45" s="1561">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73"/>
      <c r="Q46" s="1557">
        <f t="shared" si="14"/>
        <v>0</v>
      </c>
      <c r="R46" s="1558" t="s">
        <v>8</v>
      </c>
      <c r="S46" s="1559">
        <f t="shared" si="10"/>
        <v>100</v>
      </c>
      <c r="T46" s="1558" t="s">
        <v>8</v>
      </c>
      <c r="U46" s="1559">
        <f t="shared" si="11"/>
        <v>100</v>
      </c>
      <c r="V46" s="1558" t="s">
        <v>8</v>
      </c>
      <c r="W46" s="1559">
        <f t="shared" si="12"/>
        <v>100</v>
      </c>
      <c r="X46" s="1552"/>
      <c r="Y46" s="3473"/>
      <c r="Z46" s="1560">
        <f t="shared" si="13"/>
        <v>0</v>
      </c>
      <c r="AA46" s="1561">
        <f t="shared" si="3"/>
        <v>1</v>
      </c>
      <c r="AB46" s="1561">
        <f t="shared" si="4"/>
        <v>1</v>
      </c>
      <c r="AC46" s="1561">
        <f t="shared" si="5"/>
        <v>1</v>
      </c>
    </row>
    <row r="47" spans="1:29" s="1333"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73"/>
      <c r="Q47" s="1557">
        <f t="shared" si="14"/>
        <v>0</v>
      </c>
      <c r="R47" s="1562" t="s">
        <v>8</v>
      </c>
      <c r="S47" s="1563">
        <f t="shared" si="10"/>
        <v>100</v>
      </c>
      <c r="T47" s="1562" t="s">
        <v>8</v>
      </c>
      <c r="U47" s="1563">
        <f t="shared" si="11"/>
        <v>100</v>
      </c>
      <c r="V47" s="1562" t="s">
        <v>8</v>
      </c>
      <c r="W47" s="1563">
        <f t="shared" si="12"/>
        <v>100</v>
      </c>
      <c r="X47" s="1564"/>
      <c r="Y47" s="3473"/>
      <c r="Z47" s="1565">
        <f t="shared" si="13"/>
        <v>0</v>
      </c>
      <c r="AA47" s="1561">
        <f t="shared" si="3"/>
        <v>1</v>
      </c>
      <c r="AB47" s="1561">
        <f t="shared" si="4"/>
        <v>1</v>
      </c>
      <c r="AC47" s="1561">
        <f t="shared" si="5"/>
        <v>1</v>
      </c>
    </row>
    <row r="48" spans="1:29" ht="20.25">
      <c r="A48" s="606" t="s">
        <v>556</v>
      </c>
      <c r="B48" s="607" t="s">
        <v>3133</v>
      </c>
      <c r="C48" s="608" t="s">
        <v>1</v>
      </c>
      <c r="D48" s="609"/>
      <c r="E48" s="610">
        <f>ROUNDDOWN(土地案例!Q3,0)</f>
        <v>3197</v>
      </c>
      <c r="F48" s="611"/>
      <c r="G48" s="612">
        <f>ROUNDDOWN(土地案例!Q8,0)</f>
        <v>3507</v>
      </c>
      <c r="H48" s="613"/>
      <c r="I48" s="610">
        <f>ROUNDDOWN(土地案例!Q12,0)</f>
        <v>3821</v>
      </c>
      <c r="J48" s="613"/>
      <c r="K48" s="1334"/>
      <c r="L48" s="2127"/>
      <c r="M48" s="2115"/>
      <c r="N48" s="2115"/>
      <c r="O48" s="2128"/>
      <c r="P48" s="3468" t="str">
        <f>A48</f>
        <v>成交单价</v>
      </c>
      <c r="Q48" s="3468"/>
      <c r="R48" s="3482">
        <f>E48</f>
        <v>3197</v>
      </c>
      <c r="S48" s="3482"/>
      <c r="T48" s="3482">
        <f>G48</f>
        <v>3507</v>
      </c>
      <c r="U48" s="3482"/>
      <c r="V48" s="3482">
        <f>I48</f>
        <v>3821</v>
      </c>
      <c r="W48" s="3482"/>
      <c r="X48" s="1544"/>
      <c r="Y48" s="1566"/>
      <c r="Z48" s="1544"/>
      <c r="AA48" s="1544"/>
      <c r="AB48" s="1544"/>
      <c r="AC48" s="1544"/>
    </row>
    <row r="49" spans="1:29" ht="21" thickBot="1">
      <c r="A49" s="614" t="s">
        <v>2690</v>
      </c>
      <c r="B49" s="615"/>
      <c r="C49" s="616">
        <f>R50</f>
        <v>3340</v>
      </c>
      <c r="D49" s="617"/>
      <c r="E49" s="616">
        <f>R49</f>
        <v>3062</v>
      </c>
      <c r="F49" s="618"/>
      <c r="G49" s="619">
        <f>T49</f>
        <v>3339</v>
      </c>
      <c r="H49" s="617"/>
      <c r="I49" s="616">
        <f>V49</f>
        <v>3620</v>
      </c>
      <c r="J49" s="617"/>
      <c r="K49" s="1335"/>
      <c r="L49" s="2127"/>
      <c r="M49" s="2115"/>
      <c r="N49" s="2115"/>
      <c r="O49" s="2128"/>
      <c r="P49" s="3468" t="str">
        <f>A49</f>
        <v>比较价格（元/平方米）</v>
      </c>
      <c r="Q49" s="3468"/>
      <c r="R49" s="3492">
        <f>ROUND(PRODUCT(R48,AA9:AA47),0)</f>
        <v>3062</v>
      </c>
      <c r="S49" s="3492"/>
      <c r="T49" s="3492">
        <f>ROUND(PRODUCT(T48,AB9:AB47),0)</f>
        <v>3339</v>
      </c>
      <c r="U49" s="3492"/>
      <c r="V49" s="3492">
        <f>ROUND(PRODUCT(V48,AC9:AC47),0)</f>
        <v>3620</v>
      </c>
      <c r="W49" s="3492"/>
      <c r="X49" s="1544"/>
      <c r="Y49" s="1544"/>
      <c r="Z49" s="1544"/>
      <c r="AA49" s="1544"/>
      <c r="AB49" s="1544"/>
      <c r="AC49" s="1544"/>
    </row>
    <row r="50" spans="1:29" ht="21" thickBot="1">
      <c r="A50" s="620" t="s">
        <v>2932</v>
      </c>
      <c r="B50" s="621"/>
      <c r="C50" s="622">
        <f>R50</f>
        <v>3340</v>
      </c>
      <c r="D50" s="622"/>
      <c r="E50" s="622"/>
      <c r="F50" s="622"/>
      <c r="G50" s="622"/>
      <c r="H50" s="622"/>
      <c r="I50" s="622"/>
      <c r="J50" s="622"/>
      <c r="K50" s="1336"/>
      <c r="L50" s="2127"/>
      <c r="M50" s="2115"/>
      <c r="N50" s="2115"/>
      <c r="O50" s="2128"/>
      <c r="P50" s="3489" t="str">
        <f>A50</f>
        <v>估价对象XX用房的比较价格（楼面单价，元/平方米）</v>
      </c>
      <c r="Q50" s="3490"/>
      <c r="R50" s="3491">
        <f>ROUND(AVERAGE(R49:V49),0)</f>
        <v>3340</v>
      </c>
      <c r="S50" s="3491"/>
      <c r="T50" s="3491"/>
      <c r="U50" s="3491"/>
      <c r="V50" s="3491"/>
      <c r="W50" s="3491"/>
      <c r="X50" s="1544"/>
      <c r="Y50" s="1544"/>
      <c r="Z50" s="1544"/>
      <c r="AA50" s="1544"/>
      <c r="AB50" s="1544"/>
      <c r="AC50" s="1544"/>
    </row>
    <row r="51" spans="1:29" ht="20.25">
      <c r="A51" s="2128"/>
      <c r="B51" s="2128"/>
      <c r="C51" s="2128"/>
      <c r="D51" s="2128"/>
      <c r="E51" s="2128"/>
      <c r="F51" s="2128"/>
      <c r="G51" s="2131"/>
      <c r="H51" s="2128"/>
      <c r="I51" s="2128"/>
      <c r="J51" s="2128"/>
      <c r="K51" s="2132"/>
      <c r="L51" s="2133"/>
      <c r="M51" s="2115"/>
      <c r="N51" s="2115"/>
      <c r="O51" s="2128"/>
      <c r="P51" s="1544"/>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4"/>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4.4088830829523085E-2</v>
      </c>
      <c r="F53" s="626" t="str">
        <f>IF(OR(E53&gt;=0.3,E53&lt;=-0.3),"超过30%","")</f>
        <v/>
      </c>
      <c r="G53" s="625">
        <f>IF(G48&lt;G49,G49/G48-1,G48/G49-1)</f>
        <v>5.031446540880502E-2</v>
      </c>
      <c r="H53" s="626" t="str">
        <f>IF(OR(G53&gt;=0.3,G53&lt;=-0.3),"超过30%","")</f>
        <v/>
      </c>
      <c r="I53" s="625">
        <f>IF(I48&lt;I49,I49/I48-1,I48/I49-1)</f>
        <v>5.5524861878452958E-2</v>
      </c>
      <c r="J53" s="626" t="str">
        <f>IF(OR(I53&gt;=0.3,I53&lt;=-0.3),"超过30%","")</f>
        <v/>
      </c>
      <c r="K53" s="2132"/>
      <c r="L53" s="2133"/>
      <c r="M53" s="2115"/>
      <c r="N53" s="2115"/>
      <c r="O53" s="2128"/>
      <c r="P53" s="1544"/>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9.0463749183540276E-2</v>
      </c>
      <c r="F54" s="626" t="str">
        <f>IF(OR(E54&gt;=0.2,E54&lt;=-0.2),"超过20%","")</f>
        <v/>
      </c>
      <c r="G54" s="625">
        <f>IF(G49&lt;I49,I49/G49-1,G49/I49-1)</f>
        <v>8.4156933213537011E-2</v>
      </c>
      <c r="H54" s="626" t="str">
        <f>IF(OR(G54&gt;=0.2,G54&lt;=-0.2),"超过20%","")</f>
        <v/>
      </c>
      <c r="I54" s="625">
        <f>IF(I49&lt;E49,E49/I49-1,I49/E49-1)</f>
        <v>0.18223383409536242</v>
      </c>
      <c r="J54" s="626" t="str">
        <f>IF(OR(I54&gt;=0.2,I54&lt;=-0.2),"超过20%","")</f>
        <v/>
      </c>
      <c r="K54" s="2132"/>
      <c r="L54" s="2133"/>
      <c r="M54" s="2115"/>
      <c r="N54" s="2115"/>
      <c r="O54" s="2128"/>
      <c r="P54" s="1544"/>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9.6965905536440467E-2</v>
      </c>
      <c r="F55" s="626" t="str">
        <f>IF(OR(E55&gt;=0.3,E55&lt;=-0.3),"超过30%","")</f>
        <v/>
      </c>
      <c r="G55" s="625">
        <f>IF(G48&lt;I48,I48/G48-1,G48/I48-1)</f>
        <v>8.9535215283718328E-2</v>
      </c>
      <c r="H55" s="626" t="str">
        <f>IF(OR(G55&gt;=0.3,G55&lt;=-0.3),"超过30%","")</f>
        <v/>
      </c>
      <c r="I55" s="625">
        <f>IF(I48&lt;E48,E48/I48-1,I48/E48-1)</f>
        <v>0.19518298404754453</v>
      </c>
      <c r="J55" s="626" t="str">
        <f>IF(OR(I55&gt;=0.3,I55&lt;=-0.3),"超过30%","")</f>
        <v/>
      </c>
      <c r="K55" s="2135"/>
      <c r="L55" s="2136"/>
      <c r="M55" s="2115"/>
      <c r="N55" s="2115"/>
      <c r="O55" s="2129"/>
      <c r="P55" s="1542"/>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2"/>
      <c r="Q56" s="2129"/>
      <c r="R56" s="2129"/>
      <c r="S56" s="2129"/>
      <c r="T56" s="2129"/>
      <c r="U56" s="2129"/>
      <c r="V56" s="2129"/>
      <c r="W56" s="2129"/>
      <c r="X56" s="2129"/>
      <c r="Y56" s="2129"/>
      <c r="Z56" s="2129"/>
      <c r="AA56" s="2129"/>
      <c r="AB56" s="2129"/>
      <c r="AC56" s="2129"/>
    </row>
    <row r="57" spans="1:29" ht="26.25" customHeight="1">
      <c r="A57" s="628" t="s">
        <v>560</v>
      </c>
      <c r="B57" s="629" t="s">
        <v>561</v>
      </c>
      <c r="C57" s="1545" t="s">
        <v>1724</v>
      </c>
      <c r="D57" s="2210" t="s">
        <v>2292</v>
      </c>
      <c r="E57" s="630" t="s">
        <v>562</v>
      </c>
      <c r="F57" s="631" t="s">
        <v>563</v>
      </c>
      <c r="G57" s="3452" t="s">
        <v>2280</v>
      </c>
      <c r="H57" s="3453"/>
      <c r="I57" s="1540" t="s">
        <v>1722</v>
      </c>
      <c r="J57" s="1540"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3340</v>
      </c>
      <c r="C58" s="634">
        <v>1</v>
      </c>
      <c r="D58" s="2211">
        <v>1</v>
      </c>
      <c r="E58" s="634">
        <f>'数据-汇总表'!E8+'数据-汇总表'!E9</f>
        <v>110709.19</v>
      </c>
      <c r="F58" s="635">
        <f t="shared" ref="F58:F67" si="15">ROUND(B58*E58/10000,0)</f>
        <v>36977</v>
      </c>
      <c r="G58" s="3454"/>
      <c r="H58" s="3455"/>
      <c r="I58" s="1541">
        <v>1</v>
      </c>
      <c r="J58" s="1541">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56" t="s">
        <v>2281</v>
      </c>
      <c r="H59" s="1931">
        <f>项目基本情况!B43</f>
        <v>0</v>
      </c>
      <c r="I59" s="1541">
        <f>SUMIF(修正!$A$45:$A$56,H59,修正!B45:B56)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56"/>
      <c r="H60" s="1931">
        <f>项目基本情况!B43</f>
        <v>0</v>
      </c>
      <c r="I60" s="1541">
        <f>SUMIF(修正!$A$45:$A$56,H60,修正!C45:C56)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56"/>
      <c r="H61" s="1931">
        <f>项目基本情况!B43</f>
        <v>0</v>
      </c>
      <c r="I61" s="1541">
        <f>SUMIF(修正!$A$45:$A$56,H61,修正!D45:D56)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56"/>
      <c r="H62" s="1931">
        <f>项目基本情况!B43</f>
        <v>0</v>
      </c>
      <c r="I62" s="1541">
        <f>SUMIF(修正!$A$45:$A$56,H62,修正!E45:E56)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2326</v>
      </c>
      <c r="B63" s="637">
        <f t="shared" si="17"/>
        <v>0</v>
      </c>
      <c r="C63" s="377">
        <f t="shared" si="16"/>
        <v>0</v>
      </c>
      <c r="D63" s="2212">
        <v>0.25</v>
      </c>
      <c r="E63" s="640">
        <f>'数据-汇总表'!E11</f>
        <v>167.24</v>
      </c>
      <c r="F63" s="635">
        <f t="shared" si="15"/>
        <v>0</v>
      </c>
      <c r="G63" s="1928" t="s">
        <v>2282</v>
      </c>
      <c r="H63" s="1931">
        <f>项目基本情况!C43</f>
        <v>0</v>
      </c>
      <c r="I63" s="1541">
        <f>SUMIF(修正!$A$45:$A$56,H63,修正!F45:F56)</f>
        <v>0</v>
      </c>
      <c r="J63" s="1543"/>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1677</v>
      </c>
      <c r="H64" s="1927">
        <f>IF(G64="商业",项目基本情况!B43,IF(G64="办公",项目基本情况!C43,IF(G64="住宅",项目基本情况!D43,项目基本情况!E43)))</f>
        <v>0</v>
      </c>
      <c r="I64" s="1541">
        <f>SUMIF(修正!$A$45:$A$56,H64,修正!G45:G56)</f>
        <v>0</v>
      </c>
      <c r="J64" s="1543"/>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26341.64</v>
      </c>
      <c r="F65" s="635">
        <f t="shared" si="15"/>
        <v>0</v>
      </c>
      <c r="G65" s="1929" t="s">
        <v>923</v>
      </c>
      <c r="H65" s="1927">
        <f>IF(G65="商业",项目基本情况!B43,IF(G65="办公",项目基本情况!C43,IF(G65="住宅",项目基本情况!D43,项目基本情况!E43)))</f>
        <v>0</v>
      </c>
      <c r="I65" s="1541">
        <f>SUMIF(修正!$A$45:$A$56,H65,修正!H45:H56)</f>
        <v>0</v>
      </c>
      <c r="J65" s="1543"/>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2281</v>
      </c>
      <c r="H66" s="1931">
        <f>项目基本情况!B43</f>
        <v>0</v>
      </c>
      <c r="I66" s="1541">
        <f>SUMIF(修正!$A$45:$A$56,H66,修正!H45:H56)</f>
        <v>0</v>
      </c>
      <c r="J66" s="1543"/>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2282</v>
      </c>
      <c r="H67" s="1932">
        <f>项目基本情况!C43</f>
        <v>0</v>
      </c>
      <c r="I67" s="1541">
        <f>SUMIF(修正!$A$45:$A$56,H67,修正!H45:H56)</f>
        <v>0</v>
      </c>
      <c r="J67" s="1543"/>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2293</v>
      </c>
      <c r="E68" s="642">
        <f>IF(B48="楼面地价",SUM(E58:E67),'数据-汇总表'!D3)</f>
        <v>137218.07</v>
      </c>
      <c r="F68" s="643">
        <f>IF(B48="楼面地价",SUM(F58:F67),ROUND(C50*E68/10000,0))</f>
        <v>36977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2019-10-1</v>
      </c>
      <c r="D70" s="2752">
        <f>EDATE(C70,-3)</f>
        <v>43647</v>
      </c>
      <c r="E70" s="2752">
        <f t="shared" ref="E70:N70" si="18">EDATE(D70,-3)</f>
        <v>43556</v>
      </c>
      <c r="F70" s="2752">
        <f t="shared" si="18"/>
        <v>43466</v>
      </c>
      <c r="G70" s="2752">
        <f t="shared" si="18"/>
        <v>43374</v>
      </c>
      <c r="H70" s="2752">
        <f t="shared" si="18"/>
        <v>43282</v>
      </c>
      <c r="I70" s="2752">
        <f t="shared" si="18"/>
        <v>43191</v>
      </c>
      <c r="J70" s="2752">
        <f t="shared" si="18"/>
        <v>43101</v>
      </c>
      <c r="K70" s="2752">
        <f t="shared" si="18"/>
        <v>43009</v>
      </c>
      <c r="L70" s="2752">
        <f t="shared" si="18"/>
        <v>42917</v>
      </c>
      <c r="M70" s="2752">
        <f t="shared" si="18"/>
        <v>42826</v>
      </c>
      <c r="N70" s="2752">
        <f t="shared" si="18"/>
        <v>42736</v>
      </c>
      <c r="O70" s="2128"/>
      <c r="P70" s="2128"/>
      <c r="Q70" s="2128"/>
      <c r="R70" s="2128"/>
      <c r="S70" s="2128"/>
      <c r="T70" s="2128"/>
      <c r="U70" s="2128"/>
      <c r="V70" s="2128"/>
      <c r="W70" s="2128"/>
      <c r="X70" s="2128"/>
      <c r="Y70" s="2128"/>
      <c r="Z70" s="2128"/>
      <c r="AA70" s="2128"/>
      <c r="AB70" s="2128"/>
      <c r="AC70" s="2128"/>
    </row>
    <row r="71" spans="1:29" ht="21.75" thickBot="1">
      <c r="A71" s="1569" t="s">
        <v>574</v>
      </c>
      <c r="B71" s="1544"/>
      <c r="C71" s="1568"/>
      <c r="D71" s="1568"/>
      <c r="E71" s="1568"/>
      <c r="F71" s="1570"/>
      <c r="G71" s="1570"/>
      <c r="H71" s="1568"/>
      <c r="I71" s="1568"/>
      <c r="J71" s="1568"/>
      <c r="K71" s="1571"/>
      <c r="L71" s="1567"/>
      <c r="M71" s="1568"/>
      <c r="N71" s="1568"/>
      <c r="O71" s="2140"/>
      <c r="P71" s="2140"/>
      <c r="Q71" s="2141"/>
      <c r="R71" s="2128"/>
      <c r="S71" s="2128"/>
      <c r="T71" s="2128"/>
      <c r="U71" s="2128"/>
      <c r="V71" s="2128"/>
      <c r="W71" s="2128"/>
      <c r="X71" s="2128"/>
      <c r="Y71" s="2128"/>
      <c r="Z71" s="2128"/>
      <c r="AA71" s="2128"/>
      <c r="AB71" s="2128"/>
      <c r="AC71" s="2128"/>
    </row>
    <row r="72" spans="1:29" s="1341" customFormat="1" ht="15">
      <c r="A72" s="2530" t="s">
        <v>2530</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8" t="str">
        <f>"北京市平均增长率"&amp;TEXT(SUMIF(基准地价!N21:N25,A73,基准地价!P21:P25),"0.00%")</f>
        <v>北京市平均增长率2.16%</v>
      </c>
      <c r="C73" s="892">
        <v>100</v>
      </c>
      <c r="D73" s="3218">
        <f>C73-$C$74</f>
        <v>99.5</v>
      </c>
      <c r="E73" s="3218">
        <f t="shared" ref="E73:N73" si="20">D73-$C$74</f>
        <v>99</v>
      </c>
      <c r="F73" s="3218">
        <f t="shared" si="20"/>
        <v>98.5</v>
      </c>
      <c r="G73" s="3218">
        <f t="shared" si="20"/>
        <v>98</v>
      </c>
      <c r="H73" s="3218">
        <f t="shared" si="20"/>
        <v>97.5</v>
      </c>
      <c r="I73" s="3218">
        <f t="shared" si="20"/>
        <v>97</v>
      </c>
      <c r="J73" s="3218">
        <f t="shared" si="20"/>
        <v>96.5</v>
      </c>
      <c r="K73" s="3218">
        <f t="shared" si="20"/>
        <v>96</v>
      </c>
      <c r="L73" s="3218">
        <f t="shared" si="20"/>
        <v>95.5</v>
      </c>
      <c r="M73" s="3218">
        <f t="shared" si="20"/>
        <v>95</v>
      </c>
      <c r="N73" s="321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2644</v>
      </c>
      <c r="B74" s="2758"/>
      <c r="C74" s="2744">
        <v>0.5</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ht="28.5">
      <c r="A77" s="663" t="s">
        <v>577</v>
      </c>
      <c r="B77" s="664" t="s">
        <v>534</v>
      </c>
      <c r="C77" s="597" t="str">
        <f>项目基本情况!B13</f>
        <v>住宅、商业及地下车库</v>
      </c>
      <c r="D77" s="597" t="str">
        <f>土地案例!H3</f>
        <v>城镇住宅用地</v>
      </c>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v>100</v>
      </c>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2（含）-3</v>
      </c>
      <c r="D81" s="681" t="str">
        <f t="shared" ref="D81:L81" si="21">D82&amp;"（含）"&amp;"-"&amp;E82</f>
        <v>3（含）-4</v>
      </c>
      <c r="E81" s="681" t="str">
        <f t="shared" si="21"/>
        <v>4（含）-</v>
      </c>
      <c r="F81" s="681" t="str">
        <f t="shared" si="21"/>
        <v>（含）-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2</v>
      </c>
      <c r="D82" s="540">
        <v>3</v>
      </c>
      <c r="E82" s="540">
        <v>4</v>
      </c>
      <c r="F82" s="540"/>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94</v>
      </c>
      <c r="E83" s="678">
        <f t="shared" ref="E83:M83" si="22">IF($B$48="单位面积地价",D83+$K13,D83-$K13)</f>
        <v>88</v>
      </c>
      <c r="F83" s="678">
        <f t="shared" si="22"/>
        <v>82</v>
      </c>
      <c r="G83" s="678">
        <f t="shared" si="22"/>
        <v>76</v>
      </c>
      <c r="H83" s="678">
        <f t="shared" si="22"/>
        <v>70</v>
      </c>
      <c r="I83" s="678">
        <f t="shared" si="22"/>
        <v>64</v>
      </c>
      <c r="J83" s="678">
        <f t="shared" si="22"/>
        <v>58</v>
      </c>
      <c r="K83" s="678">
        <f t="shared" si="22"/>
        <v>52</v>
      </c>
      <c r="L83" s="678">
        <f t="shared" si="22"/>
        <v>46</v>
      </c>
      <c r="M83" s="678">
        <f t="shared" si="22"/>
        <v>40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6"/>
      <c r="B86" s="672">
        <f>B15</f>
        <v>0</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6"/>
      <c r="B88" s="680">
        <f>B16</f>
        <v>0</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95</v>
      </c>
      <c r="E99" s="678">
        <f>D99-$K25</f>
        <v>90</v>
      </c>
      <c r="F99" s="678">
        <f>E99-$K25</f>
        <v>85</v>
      </c>
      <c r="G99" s="678">
        <f>F99-$K25</f>
        <v>80</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2546</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2548</v>
      </c>
      <c r="C104" s="2560" t="s">
        <v>2549</v>
      </c>
      <c r="D104" s="2560" t="s">
        <v>2550</v>
      </c>
      <c r="E104" s="2560" t="s">
        <v>2551</v>
      </c>
      <c r="F104" s="2560" t="s">
        <v>2552</v>
      </c>
      <c r="G104" s="2560" t="s">
        <v>2553</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229" t="s">
        <v>3245</v>
      </c>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0</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0</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7"/>
      <c r="B116" s="728">
        <f>B39</f>
        <v>0</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1" t="str">
        <f t="shared" si="26"/>
        <v>(含)-</v>
      </c>
      <c r="K118" s="3041" t="str">
        <f t="shared" si="26"/>
        <v>(含)-</v>
      </c>
      <c r="L118" s="3042" t="str">
        <f t="shared" si="26"/>
        <v>(含)-</v>
      </c>
      <c r="M118" s="3043"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100.5</v>
      </c>
      <c r="E120" s="725">
        <v>101</v>
      </c>
      <c r="F120" s="725">
        <v>101.5</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30" t="s">
        <v>3240</v>
      </c>
      <c r="D121" s="717"/>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29" t="s">
        <v>3238</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2423</v>
      </c>
      <c r="C125" s="1370" t="s">
        <v>3236</v>
      </c>
      <c r="D125" s="1370"/>
      <c r="E125" s="1370"/>
      <c r="F125" s="1370"/>
      <c r="G125" s="1370"/>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29" t="s">
        <v>3234</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0</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0</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0</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2"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2"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2"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2"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2"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2"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2"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2"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2"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2"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2"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2"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2"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2"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2"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2"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2"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2"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2"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2"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2"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2"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2"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2"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2"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2"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2"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2"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2"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2"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2"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2"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2"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2"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2"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2"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2"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2"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2"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2"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2"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2"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2"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2"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2"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2"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2"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2"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2"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2"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2"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2"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2"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2"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2"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2"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2"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2"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2"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2"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2"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2"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2"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2"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2"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2"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2"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2"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2"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2"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2"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2"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2"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2"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2"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2"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2"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2"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2"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2"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2"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2"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2"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2"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2"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2"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2"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2"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2"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2"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2"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2"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2"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2"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2"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2"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2"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2"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2"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2"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2"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2"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2"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2"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2"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2"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2"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2"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2"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2"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2"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2"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2"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2"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2"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2"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2"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2"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2"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2"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2"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507" t="e">
        <f>F63</f>
        <v>#DIV/0!</v>
      </c>
      <c r="C2" s="2111"/>
      <c r="D2" s="2111"/>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c r="A3" s="1375" t="s">
        <v>1685</v>
      </c>
      <c r="B3" s="509" t="e">
        <f>ROUND(B2*10000/'数据-汇总表'!E3,0)</f>
        <v>#DIV/0!</v>
      </c>
      <c r="C3" s="2044"/>
      <c r="D3" s="2044"/>
      <c r="E3" s="2044"/>
      <c r="F3" s="2044"/>
      <c r="G3" s="2111"/>
      <c r="H3" s="2111"/>
      <c r="I3" s="2111"/>
      <c r="J3" s="2111"/>
      <c r="K3" s="2113"/>
      <c r="L3" s="2114"/>
      <c r="M3" s="2115"/>
      <c r="N3" s="2115"/>
      <c r="O3" s="2115"/>
      <c r="P3" s="1549"/>
      <c r="Q3" s="1549"/>
      <c r="R3" s="1549"/>
      <c r="S3" s="1549"/>
      <c r="T3" s="1549"/>
      <c r="U3" s="1549"/>
      <c r="V3" s="1549"/>
      <c r="W3" s="1549"/>
      <c r="X3" s="1549"/>
      <c r="Y3" s="1549"/>
      <c r="Z3" s="1549"/>
      <c r="AA3" s="1549"/>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9"/>
      <c r="Q4" s="1549"/>
      <c r="R4" s="1549"/>
      <c r="S4" s="1549"/>
      <c r="T4" s="1549"/>
      <c r="U4" s="1549"/>
      <c r="V4" s="1549"/>
      <c r="W4" s="1549"/>
      <c r="X4" s="1549"/>
      <c r="Y4" s="1549"/>
      <c r="Z4" s="1549"/>
      <c r="AA4" s="1549"/>
      <c r="AB4" s="1549"/>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9"/>
      <c r="Q5" s="1549"/>
      <c r="R5" s="1549"/>
      <c r="S5" s="1549"/>
      <c r="T5" s="1549"/>
      <c r="U5" s="1549"/>
      <c r="V5" s="1549"/>
      <c r="W5" s="1549"/>
      <c r="X5" s="1549"/>
      <c r="Y5" s="1549"/>
      <c r="Z5" s="1549"/>
      <c r="AA5" s="1549"/>
      <c r="AB5" s="1551"/>
      <c r="AC5" s="427"/>
    </row>
    <row r="6" spans="1:29" ht="15">
      <c r="A6" s="511" t="s">
        <v>521</v>
      </c>
      <c r="B6" s="512"/>
      <c r="C6" s="3474" t="s">
        <v>522</v>
      </c>
      <c r="D6" s="3475"/>
      <c r="E6" s="3498" t="s">
        <v>523</v>
      </c>
      <c r="F6" s="3499"/>
      <c r="G6" s="3474" t="s">
        <v>524</v>
      </c>
      <c r="H6" s="3475"/>
      <c r="I6" s="3474" t="s">
        <v>525</v>
      </c>
      <c r="J6" s="3475"/>
      <c r="K6" s="513" t="s">
        <v>526</v>
      </c>
      <c r="L6" s="2116"/>
      <c r="M6" s="2117"/>
      <c r="N6" s="2117"/>
      <c r="O6" s="2117"/>
      <c r="P6" s="3476" t="s">
        <v>527</v>
      </c>
      <c r="Q6" s="3477"/>
      <c r="R6" s="3462" t="s">
        <v>523</v>
      </c>
      <c r="S6" s="3463"/>
      <c r="T6" s="3462" t="s">
        <v>524</v>
      </c>
      <c r="U6" s="3463"/>
      <c r="V6" s="3482" t="s">
        <v>525</v>
      </c>
      <c r="W6" s="3482"/>
      <c r="X6" s="1552"/>
      <c r="Y6" s="3462" t="s">
        <v>527</v>
      </c>
      <c r="Z6" s="3463"/>
      <c r="AA6" s="3457" t="s">
        <v>523</v>
      </c>
      <c r="AB6" s="3458" t="s">
        <v>524</v>
      </c>
      <c r="AC6" s="3457" t="s">
        <v>525</v>
      </c>
    </row>
    <row r="7" spans="1:29" ht="15">
      <c r="A7" s="514"/>
      <c r="B7" s="515"/>
      <c r="C7" s="3485" t="s">
        <v>2926</v>
      </c>
      <c r="D7" s="3486"/>
      <c r="E7" s="3500" t="s">
        <v>2927</v>
      </c>
      <c r="F7" s="3501"/>
      <c r="G7" s="3485" t="s">
        <v>2928</v>
      </c>
      <c r="H7" s="3486"/>
      <c r="I7" s="3485" t="s">
        <v>2929</v>
      </c>
      <c r="J7" s="3486"/>
      <c r="K7" s="513"/>
      <c r="L7" s="2116"/>
      <c r="M7" s="2117"/>
      <c r="N7" s="2117"/>
      <c r="O7" s="2117"/>
      <c r="P7" s="3478"/>
      <c r="Q7" s="3479"/>
      <c r="R7" s="3464"/>
      <c r="S7" s="3465"/>
      <c r="T7" s="3464"/>
      <c r="U7" s="3465"/>
      <c r="V7" s="3482"/>
      <c r="W7" s="3482"/>
      <c r="X7" s="1552"/>
      <c r="Y7" s="3464"/>
      <c r="Z7" s="3465"/>
      <c r="AA7" s="3458"/>
      <c r="AB7" s="3458"/>
      <c r="AC7" s="3458"/>
    </row>
    <row r="8" spans="1:29" ht="15.75" thickBot="1">
      <c r="A8" s="516"/>
      <c r="B8" s="517"/>
      <c r="C8" s="3483" t="s">
        <v>2930</v>
      </c>
      <c r="D8" s="3484"/>
      <c r="E8" s="3502" t="s">
        <v>2930</v>
      </c>
      <c r="F8" s="3503"/>
      <c r="G8" s="3483" t="s">
        <v>2930</v>
      </c>
      <c r="H8" s="3484"/>
      <c r="I8" s="3483" t="s">
        <v>2930</v>
      </c>
      <c r="J8" s="3484"/>
      <c r="K8" s="513" t="s">
        <v>528</v>
      </c>
      <c r="L8" s="2116"/>
      <c r="M8" s="2117"/>
      <c r="N8" s="2117"/>
      <c r="O8" s="2117"/>
      <c r="P8" s="3480"/>
      <c r="Q8" s="3481"/>
      <c r="R8" s="3464"/>
      <c r="S8" s="3465"/>
      <c r="T8" s="3466"/>
      <c r="U8" s="3467"/>
      <c r="V8" s="3482"/>
      <c r="W8" s="3482"/>
      <c r="X8" s="1552"/>
      <c r="Y8" s="3466"/>
      <c r="Z8" s="3467"/>
      <c r="AA8" s="3459"/>
      <c r="AB8" s="3459"/>
      <c r="AC8" s="3459"/>
    </row>
    <row r="9" spans="1:29" s="1214" customFormat="1" ht="15.75" thickBot="1">
      <c r="A9" s="2865"/>
      <c r="B9" s="2872" t="s">
        <v>529</v>
      </c>
      <c r="C9" s="518">
        <f>'数据-取费表'!B2</f>
        <v>43763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60" t="s">
        <v>530</v>
      </c>
      <c r="Q9" s="3469"/>
      <c r="R9" s="1553" t="s">
        <v>8</v>
      </c>
      <c r="S9" s="1554">
        <f t="shared" ref="S9:S17" si="0">F9</f>
        <v>0</v>
      </c>
      <c r="T9" s="1553" t="s">
        <v>8</v>
      </c>
      <c r="U9" s="1554">
        <f t="shared" ref="U9:U17" si="1">H9</f>
        <v>0</v>
      </c>
      <c r="V9" s="1553" t="s">
        <v>8</v>
      </c>
      <c r="W9" s="1554">
        <f t="shared" ref="W9:W17" si="2">J9</f>
        <v>0</v>
      </c>
      <c r="X9" s="1555"/>
      <c r="Y9" s="3460" t="s">
        <v>530</v>
      </c>
      <c r="Z9" s="3461"/>
      <c r="AA9" s="1556" t="e">
        <f>D9/F9</f>
        <v>#DIV/0!</v>
      </c>
      <c r="AB9" s="1556" t="e">
        <f>D9/H9</f>
        <v>#DIV/0!</v>
      </c>
      <c r="AC9" s="1556"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60" t="s">
        <v>533</v>
      </c>
      <c r="Q10" s="3461"/>
      <c r="R10" s="1553" t="s">
        <v>8</v>
      </c>
      <c r="S10" s="1554">
        <f t="shared" si="0"/>
        <v>0</v>
      </c>
      <c r="T10" s="1553" t="s">
        <v>8</v>
      </c>
      <c r="U10" s="1554">
        <f t="shared" si="1"/>
        <v>0</v>
      </c>
      <c r="V10" s="1553" t="s">
        <v>8</v>
      </c>
      <c r="W10" s="1554">
        <f t="shared" si="2"/>
        <v>0</v>
      </c>
      <c r="X10" s="1555"/>
      <c r="Y10" s="3460" t="s">
        <v>533</v>
      </c>
      <c r="Z10" s="3461"/>
      <c r="AA10" s="1556" t="e">
        <f t="shared" ref="AA10:AA42" si="3">D10/F10</f>
        <v>#DIV/0!</v>
      </c>
      <c r="AB10" s="1556" t="e">
        <f t="shared" ref="AB10:AB42" si="4">D10/H10</f>
        <v>#DIV/0!</v>
      </c>
      <c r="AC10" s="1556" t="e">
        <f t="shared" ref="AC10:AC42" si="5">D10/J10</f>
        <v>#DIV/0!</v>
      </c>
    </row>
    <row r="11" spans="1:29" s="1214" customFormat="1" ht="15">
      <c r="A11" s="2867"/>
      <c r="B11" s="2874" t="s">
        <v>2753</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68" t="s">
        <v>535</v>
      </c>
      <c r="Q11" s="1145" t="str">
        <f t="shared" ref="Q11:Q17" si="6">B11</f>
        <v>用途</v>
      </c>
      <c r="R11" s="1553" t="s">
        <v>8</v>
      </c>
      <c r="S11" s="1554">
        <f t="shared" si="0"/>
        <v>100</v>
      </c>
      <c r="T11" s="1553" t="s">
        <v>8</v>
      </c>
      <c r="U11" s="1554">
        <f t="shared" si="1"/>
        <v>100</v>
      </c>
      <c r="V11" s="1553" t="s">
        <v>8</v>
      </c>
      <c r="W11" s="1554">
        <f t="shared" si="2"/>
        <v>100</v>
      </c>
      <c r="X11" s="1555"/>
      <c r="Y11" s="3425" t="s">
        <v>536</v>
      </c>
      <c r="Z11" s="1144" t="str">
        <f t="shared" ref="Z11:Z17" si="7">Q11</f>
        <v>用途</v>
      </c>
      <c r="AA11" s="1556">
        <f t="shared" si="3"/>
        <v>1</v>
      </c>
      <c r="AB11" s="1556">
        <f t="shared" si="4"/>
        <v>1</v>
      </c>
      <c r="AC11" s="1556">
        <f t="shared" si="5"/>
        <v>1</v>
      </c>
    </row>
    <row r="12" spans="1:29" s="1332" customFormat="1" ht="27">
      <c r="A12" s="2868"/>
      <c r="B12" s="2873" t="s">
        <v>2754</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68"/>
      <c r="Q12" s="1145" t="str">
        <f t="shared" si="6"/>
        <v>土地使用年限（年）</v>
      </c>
      <c r="R12" s="1553" t="s">
        <v>8</v>
      </c>
      <c r="S12" s="1554">
        <f t="shared" si="0"/>
        <v>100</v>
      </c>
      <c r="T12" s="1553" t="s">
        <v>8</v>
      </c>
      <c r="U12" s="1554">
        <f t="shared" si="1"/>
        <v>100</v>
      </c>
      <c r="V12" s="1553" t="s">
        <v>8</v>
      </c>
      <c r="W12" s="1554">
        <f t="shared" si="2"/>
        <v>100</v>
      </c>
      <c r="X12" s="1555"/>
      <c r="Y12" s="3425"/>
      <c r="Z12" s="1144" t="str">
        <f t="shared" si="7"/>
        <v>土地使用年限（年）</v>
      </c>
      <c r="AA12" s="1556">
        <f t="shared" si="3"/>
        <v>1</v>
      </c>
      <c r="AB12" s="1556">
        <f t="shared" si="4"/>
        <v>1</v>
      </c>
      <c r="AC12" s="1556">
        <f t="shared" si="5"/>
        <v>1</v>
      </c>
    </row>
    <row r="13" spans="1:29" ht="15">
      <c r="A13" s="2869"/>
      <c r="B13" s="2873"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68"/>
      <c r="Q13" s="1145" t="str">
        <f t="shared" si="6"/>
        <v>容积率</v>
      </c>
      <c r="R13" s="1553" t="s">
        <v>8</v>
      </c>
      <c r="S13" s="1554" t="e">
        <f t="shared" si="0"/>
        <v>#N/A</v>
      </c>
      <c r="T13" s="1553" t="s">
        <v>8</v>
      </c>
      <c r="U13" s="1554" t="e">
        <f t="shared" si="1"/>
        <v>#N/A</v>
      </c>
      <c r="V13" s="1553" t="s">
        <v>8</v>
      </c>
      <c r="W13" s="1554" t="e">
        <f t="shared" si="2"/>
        <v>#N/A</v>
      </c>
      <c r="X13" s="1555"/>
      <c r="Y13" s="3425"/>
      <c r="Z13" s="1144" t="str">
        <f t="shared" si="7"/>
        <v>容积率</v>
      </c>
      <c r="AA13" s="1556" t="e">
        <f t="shared" si="3"/>
        <v>#N/A</v>
      </c>
      <c r="AB13" s="1556" t="e">
        <f t="shared" si="4"/>
        <v>#N/A</v>
      </c>
      <c r="AC13" s="1556"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68"/>
      <c r="Q14" s="1145">
        <f t="shared" si="6"/>
        <v>111</v>
      </c>
      <c r="R14" s="1553" t="s">
        <v>8</v>
      </c>
      <c r="S14" s="1554">
        <f t="shared" si="0"/>
        <v>100</v>
      </c>
      <c r="T14" s="1553" t="s">
        <v>8</v>
      </c>
      <c r="U14" s="1554">
        <f t="shared" si="1"/>
        <v>100</v>
      </c>
      <c r="V14" s="1553" t="s">
        <v>8</v>
      </c>
      <c r="W14" s="1554">
        <f t="shared" si="2"/>
        <v>100</v>
      </c>
      <c r="X14" s="1555"/>
      <c r="Y14" s="3425"/>
      <c r="Z14" s="1144">
        <f t="shared" si="7"/>
        <v>111</v>
      </c>
      <c r="AA14" s="1556">
        <f>D14/F14</f>
        <v>1</v>
      </c>
      <c r="AB14" s="1556">
        <f>D14/H14</f>
        <v>1</v>
      </c>
      <c r="AC14" s="1556">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68"/>
      <c r="Q15" s="1145">
        <f t="shared" si="6"/>
        <v>111</v>
      </c>
      <c r="R15" s="1553" t="s">
        <v>8</v>
      </c>
      <c r="S15" s="1554">
        <f t="shared" si="0"/>
        <v>100</v>
      </c>
      <c r="T15" s="1553" t="s">
        <v>8</v>
      </c>
      <c r="U15" s="1554">
        <f t="shared" si="1"/>
        <v>100</v>
      </c>
      <c r="V15" s="1553" t="s">
        <v>8</v>
      </c>
      <c r="W15" s="1554">
        <f t="shared" si="2"/>
        <v>100</v>
      </c>
      <c r="X15" s="1555"/>
      <c r="Y15" s="3425"/>
      <c r="Z15" s="1144">
        <f t="shared" si="7"/>
        <v>111</v>
      </c>
      <c r="AA15" s="1556">
        <f t="shared" si="3"/>
        <v>1</v>
      </c>
      <c r="AB15" s="1556">
        <f t="shared" si="4"/>
        <v>1</v>
      </c>
      <c r="AC15" s="1556">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68"/>
      <c r="Q16" s="1145">
        <f t="shared" si="6"/>
        <v>111</v>
      </c>
      <c r="R16" s="1553" t="s">
        <v>8</v>
      </c>
      <c r="S16" s="1554">
        <f t="shared" si="0"/>
        <v>100</v>
      </c>
      <c r="T16" s="1553" t="s">
        <v>8</v>
      </c>
      <c r="U16" s="1554">
        <f t="shared" si="1"/>
        <v>100</v>
      </c>
      <c r="V16" s="1553" t="s">
        <v>8</v>
      </c>
      <c r="W16" s="1554">
        <f t="shared" si="2"/>
        <v>100</v>
      </c>
      <c r="X16" s="1555"/>
      <c r="Y16" s="3425"/>
      <c r="Z16" s="1144">
        <f t="shared" si="7"/>
        <v>111</v>
      </c>
      <c r="AA16" s="1556">
        <f t="shared" si="3"/>
        <v>1</v>
      </c>
      <c r="AB16" s="1556">
        <f t="shared" si="4"/>
        <v>1</v>
      </c>
      <c r="AC16" s="1556">
        <f t="shared" si="5"/>
        <v>1</v>
      </c>
    </row>
    <row r="17" spans="1:29" ht="57">
      <c r="A17" s="2863" t="s">
        <v>2751</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70" t="s">
        <v>540</v>
      </c>
      <c r="Q17" s="1557" t="str">
        <f t="shared" si="6"/>
        <v>产业集聚程度</v>
      </c>
      <c r="R17" s="1558" t="s">
        <v>8</v>
      </c>
      <c r="S17" s="1559">
        <f t="shared" si="0"/>
        <v>100</v>
      </c>
      <c r="T17" s="1558" t="s">
        <v>8</v>
      </c>
      <c r="U17" s="1559">
        <f t="shared" si="1"/>
        <v>100</v>
      </c>
      <c r="V17" s="1558" t="s">
        <v>8</v>
      </c>
      <c r="W17" s="1559">
        <f t="shared" si="2"/>
        <v>100</v>
      </c>
      <c r="X17" s="1552"/>
      <c r="Y17" s="3470" t="s">
        <v>540</v>
      </c>
      <c r="Z17" s="1560" t="str">
        <f t="shared" si="7"/>
        <v>产业集聚程度</v>
      </c>
      <c r="AA17" s="1561">
        <f t="shared" si="3"/>
        <v>1</v>
      </c>
      <c r="AB17" s="1561">
        <f t="shared" si="4"/>
        <v>1</v>
      </c>
      <c r="AC17" s="1561">
        <f t="shared" si="5"/>
        <v>1</v>
      </c>
    </row>
    <row r="18" spans="1:29" ht="15">
      <c r="A18" s="531"/>
      <c r="B18" s="868"/>
      <c r="C18" s="575"/>
      <c r="D18" s="554"/>
      <c r="E18" s="553"/>
      <c r="F18" s="554"/>
      <c r="G18" s="553"/>
      <c r="H18" s="558"/>
      <c r="I18" s="553"/>
      <c r="J18" s="554"/>
      <c r="K18" s="530"/>
      <c r="L18" s="2125"/>
      <c r="M18" s="2117"/>
      <c r="N18" s="2117"/>
      <c r="O18" s="2124"/>
      <c r="P18" s="3471"/>
      <c r="Q18" s="1557"/>
      <c r="R18" s="1558"/>
      <c r="S18" s="1559"/>
      <c r="T18" s="1558"/>
      <c r="U18" s="1559"/>
      <c r="V18" s="1558"/>
      <c r="W18" s="1559"/>
      <c r="X18" s="1552"/>
      <c r="Y18" s="3471"/>
      <c r="Z18" s="1560"/>
      <c r="AA18" s="1561">
        <v>1</v>
      </c>
      <c r="AB18" s="1561">
        <v>1</v>
      </c>
      <c r="AC18" s="1561">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71"/>
      <c r="Q19" s="1557" t="str">
        <f>B19</f>
        <v>交通便捷度</v>
      </c>
      <c r="R19" s="1558" t="s">
        <v>8</v>
      </c>
      <c r="S19" s="1559">
        <f>F19</f>
        <v>100</v>
      </c>
      <c r="T19" s="1558" t="s">
        <v>8</v>
      </c>
      <c r="U19" s="1559">
        <f>H19</f>
        <v>100</v>
      </c>
      <c r="V19" s="1558" t="s">
        <v>8</v>
      </c>
      <c r="W19" s="1559">
        <f>J19</f>
        <v>100</v>
      </c>
      <c r="X19" s="1552"/>
      <c r="Y19" s="3471"/>
      <c r="Z19" s="1560" t="str">
        <f>Q19</f>
        <v>交通便捷度</v>
      </c>
      <c r="AA19" s="1561">
        <f t="shared" si="3"/>
        <v>1</v>
      </c>
      <c r="AB19" s="1561">
        <f t="shared" si="4"/>
        <v>1</v>
      </c>
      <c r="AC19" s="1561">
        <f t="shared" si="5"/>
        <v>1</v>
      </c>
    </row>
    <row r="20" spans="1:29" ht="15">
      <c r="A20" s="531"/>
      <c r="B20" s="920"/>
      <c r="C20" s="575"/>
      <c r="D20" s="554"/>
      <c r="E20" s="555"/>
      <c r="F20" s="554"/>
      <c r="G20" s="555"/>
      <c r="H20" s="554"/>
      <c r="I20" s="557"/>
      <c r="J20" s="554"/>
      <c r="K20" s="530"/>
      <c r="L20" s="2125"/>
      <c r="M20" s="2117"/>
      <c r="N20" s="2117"/>
      <c r="O20" s="2124"/>
      <c r="P20" s="3471"/>
      <c r="Q20" s="1557"/>
      <c r="R20" s="1558"/>
      <c r="S20" s="1559"/>
      <c r="T20" s="1558"/>
      <c r="U20" s="1559"/>
      <c r="V20" s="1558"/>
      <c r="W20" s="1559"/>
      <c r="X20" s="1552"/>
      <c r="Y20" s="3471"/>
      <c r="Z20" s="1560"/>
      <c r="AA20" s="1561">
        <v>1</v>
      </c>
      <c r="AB20" s="1561">
        <v>1</v>
      </c>
      <c r="AC20" s="1561">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71"/>
      <c r="Q21" s="1557" t="str">
        <f t="shared" ref="Q21:Q35" si="8">B21</f>
        <v>区域土地利用方向</v>
      </c>
      <c r="R21" s="1558" t="s">
        <v>8</v>
      </c>
      <c r="S21" s="1559">
        <f>F21</f>
        <v>100</v>
      </c>
      <c r="T21" s="1558" t="s">
        <v>8</v>
      </c>
      <c r="U21" s="1559">
        <f>H21</f>
        <v>100</v>
      </c>
      <c r="V21" s="1558" t="s">
        <v>8</v>
      </c>
      <c r="W21" s="1559">
        <f>J21</f>
        <v>100</v>
      </c>
      <c r="X21" s="1552"/>
      <c r="Y21" s="3471"/>
      <c r="Z21" s="1560" t="str">
        <f>Q21</f>
        <v>区域土地利用方向</v>
      </c>
      <c r="AA21" s="1561">
        <f t="shared" si="3"/>
        <v>1</v>
      </c>
      <c r="AB21" s="1561">
        <f t="shared" si="4"/>
        <v>1</v>
      </c>
      <c r="AC21" s="1561">
        <f t="shared" si="5"/>
        <v>1</v>
      </c>
    </row>
    <row r="22" spans="1:29" ht="15">
      <c r="A22" s="514"/>
      <c r="B22" s="594"/>
      <c r="C22" s="575"/>
      <c r="D22" s="554"/>
      <c r="E22" s="555"/>
      <c r="F22" s="556"/>
      <c r="G22" s="557"/>
      <c r="H22" s="556"/>
      <c r="I22" s="557"/>
      <c r="J22" s="556"/>
      <c r="K22" s="1342"/>
      <c r="L22" s="2125"/>
      <c r="M22" s="2117"/>
      <c r="N22" s="2117"/>
      <c r="O22" s="2124"/>
      <c r="P22" s="3471"/>
      <c r="Q22" s="1557"/>
      <c r="R22" s="1558"/>
      <c r="S22" s="1559"/>
      <c r="T22" s="1558"/>
      <c r="U22" s="1559"/>
      <c r="V22" s="1558"/>
      <c r="W22" s="1559"/>
      <c r="X22" s="1552"/>
      <c r="Y22" s="3471"/>
      <c r="Z22" s="1560"/>
      <c r="AA22" s="1561"/>
      <c r="AB22" s="1561"/>
      <c r="AC22" s="1561"/>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71"/>
      <c r="Q23" s="1557" t="str">
        <f t="shared" si="8"/>
        <v>环境状况</v>
      </c>
      <c r="R23" s="1558" t="s">
        <v>8</v>
      </c>
      <c r="S23" s="1559">
        <f>F23</f>
        <v>100</v>
      </c>
      <c r="T23" s="1558" t="s">
        <v>8</v>
      </c>
      <c r="U23" s="1559">
        <f>H23</f>
        <v>100</v>
      </c>
      <c r="V23" s="1558" t="s">
        <v>8</v>
      </c>
      <c r="W23" s="1559">
        <f>J23</f>
        <v>100</v>
      </c>
      <c r="X23" s="1552"/>
      <c r="Y23" s="3471"/>
      <c r="Z23" s="1560" t="str">
        <f>Q23</f>
        <v>环境状况</v>
      </c>
      <c r="AA23" s="1561">
        <f t="shared" si="3"/>
        <v>1</v>
      </c>
      <c r="AB23" s="1561">
        <f t="shared" si="4"/>
        <v>1</v>
      </c>
      <c r="AC23" s="1561">
        <f t="shared" si="5"/>
        <v>1</v>
      </c>
    </row>
    <row r="24" spans="1:29" ht="15">
      <c r="A24" s="514"/>
      <c r="B24" s="594"/>
      <c r="C24" s="575"/>
      <c r="D24" s="554"/>
      <c r="E24" s="553"/>
      <c r="F24" s="554"/>
      <c r="G24" s="553"/>
      <c r="H24" s="554"/>
      <c r="I24" s="575"/>
      <c r="J24" s="554"/>
      <c r="K24" s="530"/>
      <c r="L24" s="2125"/>
      <c r="M24" s="2117"/>
      <c r="N24" s="2117"/>
      <c r="O24" s="2124"/>
      <c r="P24" s="3471"/>
      <c r="Q24" s="1557"/>
      <c r="R24" s="1558"/>
      <c r="S24" s="1559"/>
      <c r="T24" s="1558"/>
      <c r="U24" s="1559"/>
      <c r="V24" s="1558"/>
      <c r="W24" s="1559"/>
      <c r="X24" s="1552"/>
      <c r="Y24" s="3471"/>
      <c r="Z24" s="1560"/>
      <c r="AA24" s="1561">
        <v>1</v>
      </c>
      <c r="AB24" s="1561">
        <v>1</v>
      </c>
      <c r="AC24" s="1561">
        <v>1</v>
      </c>
    </row>
    <row r="25" spans="1:29" s="1214" customFormat="1" ht="42.75">
      <c r="A25" s="576"/>
      <c r="B25" s="2555"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71"/>
      <c r="Q25" s="1145" t="str">
        <f t="shared" si="8"/>
        <v>公共配套设施</v>
      </c>
      <c r="R25" s="1553" t="s">
        <v>8</v>
      </c>
      <c r="S25" s="1554">
        <f>F25</f>
        <v>100</v>
      </c>
      <c r="T25" s="1553" t="s">
        <v>8</v>
      </c>
      <c r="U25" s="1554">
        <f>H25</f>
        <v>100</v>
      </c>
      <c r="V25" s="1553" t="s">
        <v>8</v>
      </c>
      <c r="W25" s="1554">
        <f>J25</f>
        <v>100</v>
      </c>
      <c r="X25" s="1555"/>
      <c r="Y25" s="3471"/>
      <c r="Z25" s="1144" t="str">
        <f>Q25</f>
        <v>公共配套设施</v>
      </c>
      <c r="AA25" s="1561">
        <f>D25/F25</f>
        <v>1</v>
      </c>
      <c r="AB25" s="1561">
        <f>D25/H25</f>
        <v>1</v>
      </c>
      <c r="AC25" s="1561">
        <f>D25/J25</f>
        <v>1</v>
      </c>
    </row>
    <row r="26" spans="1:29" s="1214" customFormat="1" ht="15">
      <c r="A26" s="576"/>
      <c r="B26" s="594"/>
      <c r="C26" s="2554"/>
      <c r="D26" s="554"/>
      <c r="E26" s="553"/>
      <c r="F26" s="554"/>
      <c r="G26" s="553"/>
      <c r="H26" s="554"/>
      <c r="I26" s="575"/>
      <c r="J26" s="554"/>
      <c r="K26" s="530"/>
      <c r="L26" s="2118"/>
      <c r="M26" s="2119"/>
      <c r="N26" s="2119"/>
      <c r="O26" s="2120"/>
      <c r="P26" s="3471"/>
      <c r="Q26" s="1145"/>
      <c r="R26" s="1553"/>
      <c r="S26" s="1554"/>
      <c r="T26" s="1553"/>
      <c r="U26" s="1554"/>
      <c r="V26" s="1553"/>
      <c r="W26" s="1554"/>
      <c r="X26" s="1555"/>
      <c r="Y26" s="3471"/>
      <c r="Z26" s="1144"/>
      <c r="AA26" s="1556">
        <v>1</v>
      </c>
      <c r="AB26" s="1556">
        <v>1</v>
      </c>
      <c r="AC26" s="1556">
        <v>1</v>
      </c>
    </row>
    <row r="27" spans="1:29" s="1214" customFormat="1" ht="28.5">
      <c r="A27" s="576"/>
      <c r="B27" s="2555"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71"/>
      <c r="Q27" s="2540" t="str">
        <f t="shared" ref="Q27" si="9">B27</f>
        <v>基础设施水平</v>
      </c>
      <c r="R27" s="1553" t="s">
        <v>8</v>
      </c>
      <c r="S27" s="1554">
        <f>F27</f>
        <v>100</v>
      </c>
      <c r="T27" s="1553" t="s">
        <v>8</v>
      </c>
      <c r="U27" s="1554">
        <f>H27</f>
        <v>100</v>
      </c>
      <c r="V27" s="1553" t="s">
        <v>8</v>
      </c>
      <c r="W27" s="1554">
        <f>J27</f>
        <v>100</v>
      </c>
      <c r="X27" s="1555"/>
      <c r="Y27" s="3471"/>
      <c r="Z27" s="2537" t="str">
        <f>Q27</f>
        <v>基础设施水平</v>
      </c>
      <c r="AA27" s="1561">
        <f>D27/F27</f>
        <v>1</v>
      </c>
      <c r="AB27" s="1561">
        <f>D27/H27</f>
        <v>1</v>
      </c>
      <c r="AC27" s="1561">
        <f>D27/J27</f>
        <v>1</v>
      </c>
    </row>
    <row r="28" spans="1:29" s="1214" customFormat="1" ht="15">
      <c r="A28" s="576"/>
      <c r="B28" s="594"/>
      <c r="C28" s="2554"/>
      <c r="D28" s="554"/>
      <c r="E28" s="578"/>
      <c r="F28" s="554"/>
      <c r="G28" s="578"/>
      <c r="H28" s="554"/>
      <c r="I28" s="578"/>
      <c r="J28" s="554"/>
      <c r="K28" s="530"/>
      <c r="L28" s="2118"/>
      <c r="M28" s="2119"/>
      <c r="N28" s="2119"/>
      <c r="O28" s="2120"/>
      <c r="P28" s="3471"/>
      <c r="Q28" s="2540"/>
      <c r="R28" s="1553"/>
      <c r="S28" s="1554"/>
      <c r="T28" s="1553"/>
      <c r="U28" s="1554"/>
      <c r="V28" s="1553"/>
      <c r="W28" s="1554"/>
      <c r="X28" s="1555"/>
      <c r="Y28" s="3471"/>
      <c r="Z28" s="2537"/>
      <c r="AA28" s="1556">
        <v>1</v>
      </c>
      <c r="AB28" s="1556">
        <v>1</v>
      </c>
      <c r="AC28" s="1556">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7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71"/>
      <c r="Z29" s="1560" t="str">
        <f t="shared" ref="Z29:Z42" si="13">Q29</f>
        <v>临街状况</v>
      </c>
      <c r="AA29" s="1561">
        <f t="shared" si="3"/>
        <v>1</v>
      </c>
      <c r="AB29" s="1561">
        <f t="shared" si="4"/>
        <v>1</v>
      </c>
      <c r="AC29" s="1561">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71"/>
      <c r="Q30" s="1557" t="str">
        <f t="shared" si="8"/>
        <v>毗邻道路的类型与等级</v>
      </c>
      <c r="R30" s="1558" t="s">
        <v>8</v>
      </c>
      <c r="S30" s="1559">
        <f t="shared" si="10"/>
        <v>100</v>
      </c>
      <c r="T30" s="1558" t="s">
        <v>8</v>
      </c>
      <c r="U30" s="1559">
        <f t="shared" si="11"/>
        <v>100</v>
      </c>
      <c r="V30" s="1558" t="s">
        <v>8</v>
      </c>
      <c r="W30" s="1559">
        <f t="shared" si="12"/>
        <v>100</v>
      </c>
      <c r="X30" s="1552"/>
      <c r="Y30" s="3471"/>
      <c r="Z30" s="1560" t="str">
        <f t="shared" si="13"/>
        <v>毗邻道路的类型与等级</v>
      </c>
      <c r="AA30" s="1561">
        <f t="shared" si="3"/>
        <v>1</v>
      </c>
      <c r="AB30" s="1561">
        <f t="shared" si="4"/>
        <v>1</v>
      </c>
      <c r="AC30" s="1561">
        <f t="shared" si="5"/>
        <v>1</v>
      </c>
    </row>
    <row r="31" spans="1:29" ht="15">
      <c r="A31" s="531"/>
      <c r="B31" s="594"/>
      <c r="C31" s="575"/>
      <c r="D31" s="554"/>
      <c r="E31" s="575"/>
      <c r="F31" s="554"/>
      <c r="G31" s="575"/>
      <c r="H31" s="554"/>
      <c r="I31" s="575"/>
      <c r="J31" s="554"/>
      <c r="K31" s="580"/>
      <c r="L31" s="2125"/>
      <c r="M31" s="2117"/>
      <c r="N31" s="2117"/>
      <c r="O31" s="2124"/>
      <c r="P31" s="3471"/>
      <c r="Q31" s="1557"/>
      <c r="R31" s="1558"/>
      <c r="S31" s="1559"/>
      <c r="T31" s="1558"/>
      <c r="U31" s="1559"/>
      <c r="V31" s="1558"/>
      <c r="W31" s="1559"/>
      <c r="X31" s="1552"/>
      <c r="Y31" s="3471"/>
      <c r="Z31" s="1560"/>
      <c r="AA31" s="1561">
        <v>1</v>
      </c>
      <c r="AB31" s="1561">
        <v>1</v>
      </c>
      <c r="AC31" s="1561">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71"/>
      <c r="Q32" s="1557" t="str">
        <f t="shared" si="8"/>
        <v>土地级别</v>
      </c>
      <c r="R32" s="1558" t="s">
        <v>8</v>
      </c>
      <c r="S32" s="1559">
        <f t="shared" si="10"/>
        <v>100</v>
      </c>
      <c r="T32" s="1558" t="s">
        <v>8</v>
      </c>
      <c r="U32" s="1559">
        <f t="shared" si="11"/>
        <v>100</v>
      </c>
      <c r="V32" s="1558" t="s">
        <v>8</v>
      </c>
      <c r="W32" s="1559">
        <f t="shared" si="12"/>
        <v>100</v>
      </c>
      <c r="X32" s="1552"/>
      <c r="Y32" s="3471"/>
      <c r="Z32" s="1560" t="str">
        <f t="shared" si="13"/>
        <v>土地级别</v>
      </c>
      <c r="AA32" s="1561">
        <f t="shared" si="3"/>
        <v>1</v>
      </c>
      <c r="AB32" s="1561">
        <f t="shared" si="4"/>
        <v>1</v>
      </c>
      <c r="AC32" s="1561">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71"/>
      <c r="Q33" s="1557">
        <f t="shared" si="8"/>
        <v>111</v>
      </c>
      <c r="R33" s="1558" t="s">
        <v>8</v>
      </c>
      <c r="S33" s="1559">
        <f t="shared" si="10"/>
        <v>100</v>
      </c>
      <c r="T33" s="1558" t="s">
        <v>8</v>
      </c>
      <c r="U33" s="1559">
        <f t="shared" si="11"/>
        <v>100</v>
      </c>
      <c r="V33" s="1558" t="s">
        <v>8</v>
      </c>
      <c r="W33" s="1559">
        <f t="shared" si="12"/>
        <v>100</v>
      </c>
      <c r="X33" s="1552"/>
      <c r="Y33" s="3471"/>
      <c r="Z33" s="1560">
        <f t="shared" si="13"/>
        <v>111</v>
      </c>
      <c r="AA33" s="1561">
        <f t="shared" si="3"/>
        <v>1</v>
      </c>
      <c r="AB33" s="1561">
        <f t="shared" si="4"/>
        <v>1</v>
      </c>
      <c r="AC33" s="1561">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72" t="s">
        <v>550</v>
      </c>
      <c r="Q34" s="1557">
        <f t="shared" si="8"/>
        <v>111</v>
      </c>
      <c r="R34" s="1558" t="s">
        <v>8</v>
      </c>
      <c r="S34" s="1559">
        <f t="shared" si="10"/>
        <v>100</v>
      </c>
      <c r="T34" s="1558" t="s">
        <v>8</v>
      </c>
      <c r="U34" s="1559">
        <f t="shared" si="11"/>
        <v>100</v>
      </c>
      <c r="V34" s="1558" t="s">
        <v>8</v>
      </c>
      <c r="W34" s="1559">
        <f t="shared" si="12"/>
        <v>100</v>
      </c>
      <c r="X34" s="1552"/>
      <c r="Y34" s="3473" t="s">
        <v>550</v>
      </c>
      <c r="Z34" s="1560">
        <f t="shared" si="13"/>
        <v>111</v>
      </c>
      <c r="AA34" s="1561">
        <f t="shared" si="3"/>
        <v>1</v>
      </c>
      <c r="AB34" s="1561">
        <f t="shared" si="4"/>
        <v>1</v>
      </c>
      <c r="AC34" s="1561">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73"/>
      <c r="Q35" s="1557">
        <f t="shared" si="8"/>
        <v>111</v>
      </c>
      <c r="R35" s="1562" t="s">
        <v>8</v>
      </c>
      <c r="S35" s="1563">
        <f t="shared" si="10"/>
        <v>100</v>
      </c>
      <c r="T35" s="1562" t="s">
        <v>8</v>
      </c>
      <c r="U35" s="1563">
        <f t="shared" si="11"/>
        <v>100</v>
      </c>
      <c r="V35" s="1562" t="s">
        <v>8</v>
      </c>
      <c r="W35" s="1563">
        <f t="shared" si="12"/>
        <v>100</v>
      </c>
      <c r="X35" s="1564"/>
      <c r="Y35" s="3473"/>
      <c r="Z35" s="1565">
        <f t="shared" si="13"/>
        <v>111</v>
      </c>
      <c r="AA35" s="1561">
        <f t="shared" si="3"/>
        <v>1</v>
      </c>
      <c r="AB35" s="1561">
        <f t="shared" si="4"/>
        <v>1</v>
      </c>
      <c r="AC35" s="1561">
        <f t="shared" si="5"/>
        <v>1</v>
      </c>
    </row>
    <row r="36" spans="1:29" ht="15">
      <c r="A36" s="2860"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73"/>
      <c r="Q36" s="1557" t="str">
        <f>B36</f>
        <v>宗地面积</v>
      </c>
      <c r="R36" s="1558" t="s">
        <v>8</v>
      </c>
      <c r="S36" s="1559" t="e">
        <f t="shared" si="10"/>
        <v>#N/A</v>
      </c>
      <c r="T36" s="1558" t="s">
        <v>8</v>
      </c>
      <c r="U36" s="1559" t="e">
        <f t="shared" si="11"/>
        <v>#N/A</v>
      </c>
      <c r="V36" s="1558" t="s">
        <v>8</v>
      </c>
      <c r="W36" s="1559" t="e">
        <f t="shared" si="12"/>
        <v>#N/A</v>
      </c>
      <c r="X36" s="1552"/>
      <c r="Y36" s="3473"/>
      <c r="Z36" s="1560" t="str">
        <f t="shared" si="13"/>
        <v>宗地面积</v>
      </c>
      <c r="AA36" s="1561" t="e">
        <f t="shared" si="3"/>
        <v>#N/A</v>
      </c>
      <c r="AB36" s="1561" t="e">
        <f t="shared" si="4"/>
        <v>#N/A</v>
      </c>
      <c r="AC36" s="1561"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73"/>
      <c r="Q37" s="1557" t="str">
        <f t="shared" ref="Q37:Q42" si="14">B37</f>
        <v>宗地形状</v>
      </c>
      <c r="R37" s="1558" t="s">
        <v>8</v>
      </c>
      <c r="S37" s="1559">
        <f t="shared" si="10"/>
        <v>100</v>
      </c>
      <c r="T37" s="1558" t="s">
        <v>8</v>
      </c>
      <c r="U37" s="1559">
        <f t="shared" si="11"/>
        <v>100</v>
      </c>
      <c r="V37" s="1558" t="s">
        <v>8</v>
      </c>
      <c r="W37" s="1559">
        <f t="shared" si="12"/>
        <v>100</v>
      </c>
      <c r="X37" s="1552"/>
      <c r="Y37" s="3473"/>
      <c r="Z37" s="1560" t="str">
        <f t="shared" si="13"/>
        <v>宗地形状</v>
      </c>
      <c r="AA37" s="1561">
        <f t="shared" si="3"/>
        <v>1</v>
      </c>
      <c r="AB37" s="1561">
        <f t="shared" si="4"/>
        <v>1</v>
      </c>
      <c r="AC37" s="1561">
        <f t="shared" si="5"/>
        <v>1</v>
      </c>
    </row>
    <row r="38" spans="1:29" s="1214" customFormat="1" ht="15">
      <c r="A38" s="599"/>
      <c r="B38" s="1878"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73"/>
      <c r="Q38" s="1557" t="str">
        <f t="shared" si="14"/>
        <v>宗地开发程度</v>
      </c>
      <c r="R38" s="1553" t="s">
        <v>8</v>
      </c>
      <c r="S38" s="1554">
        <f t="shared" si="10"/>
        <v>100</v>
      </c>
      <c r="T38" s="1553" t="s">
        <v>8</v>
      </c>
      <c r="U38" s="1554">
        <f t="shared" si="11"/>
        <v>100</v>
      </c>
      <c r="V38" s="1553" t="s">
        <v>8</v>
      </c>
      <c r="W38" s="1554">
        <f t="shared" si="12"/>
        <v>100</v>
      </c>
      <c r="X38" s="1555"/>
      <c r="Y38" s="3473"/>
      <c r="Z38" s="1144" t="str">
        <f t="shared" si="13"/>
        <v>宗地开发程度</v>
      </c>
      <c r="AA38" s="1556">
        <f t="shared" si="3"/>
        <v>1</v>
      </c>
      <c r="AB38" s="1556">
        <f t="shared" si="4"/>
        <v>1</v>
      </c>
      <c r="AC38" s="1556">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3" t="s">
        <v>601</v>
      </c>
      <c r="Q39" s="1557" t="str">
        <f t="shared" si="14"/>
        <v>工程地质条件</v>
      </c>
      <c r="R39" s="1558" t="s">
        <v>8</v>
      </c>
      <c r="S39" s="1559">
        <f t="shared" si="10"/>
        <v>100</v>
      </c>
      <c r="T39" s="1558" t="s">
        <v>8</v>
      </c>
      <c r="U39" s="1559">
        <f t="shared" si="11"/>
        <v>100</v>
      </c>
      <c r="V39" s="1558" t="s">
        <v>8</v>
      </c>
      <c r="W39" s="1559">
        <f t="shared" si="12"/>
        <v>100</v>
      </c>
      <c r="X39" s="1552"/>
      <c r="Y39" s="3473" t="s">
        <v>601</v>
      </c>
      <c r="Z39" s="1560" t="str">
        <f t="shared" si="13"/>
        <v>工程地质条件</v>
      </c>
      <c r="AA39" s="1561">
        <f t="shared" si="3"/>
        <v>1</v>
      </c>
      <c r="AB39" s="1561">
        <f t="shared" si="4"/>
        <v>1</v>
      </c>
      <c r="AC39" s="1561">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73"/>
      <c r="Q40" s="1557">
        <f t="shared" si="14"/>
        <v>111</v>
      </c>
      <c r="R40" s="1558" t="s">
        <v>8</v>
      </c>
      <c r="S40" s="1559">
        <f t="shared" si="10"/>
        <v>100</v>
      </c>
      <c r="T40" s="1558" t="s">
        <v>8</v>
      </c>
      <c r="U40" s="1559">
        <f t="shared" si="11"/>
        <v>100</v>
      </c>
      <c r="V40" s="1558" t="s">
        <v>8</v>
      </c>
      <c r="W40" s="1559">
        <f t="shared" si="12"/>
        <v>100</v>
      </c>
      <c r="X40" s="1552"/>
      <c r="Y40" s="3473"/>
      <c r="Z40" s="1560">
        <f t="shared" si="13"/>
        <v>111</v>
      </c>
      <c r="AA40" s="1561">
        <f t="shared" si="3"/>
        <v>1</v>
      </c>
      <c r="AB40" s="1561">
        <f t="shared" si="4"/>
        <v>1</v>
      </c>
      <c r="AC40" s="1561">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73"/>
      <c r="Q41" s="1557">
        <f t="shared" si="14"/>
        <v>111</v>
      </c>
      <c r="R41" s="1558" t="s">
        <v>8</v>
      </c>
      <c r="S41" s="1559">
        <f t="shared" si="10"/>
        <v>100</v>
      </c>
      <c r="T41" s="1558" t="s">
        <v>8</v>
      </c>
      <c r="U41" s="1559">
        <f t="shared" si="11"/>
        <v>100</v>
      </c>
      <c r="V41" s="1558" t="s">
        <v>8</v>
      </c>
      <c r="W41" s="1559">
        <f t="shared" si="12"/>
        <v>100</v>
      </c>
      <c r="X41" s="1552"/>
      <c r="Y41" s="3473"/>
      <c r="Z41" s="1560">
        <f t="shared" si="13"/>
        <v>111</v>
      </c>
      <c r="AA41" s="1561">
        <f t="shared" si="3"/>
        <v>1</v>
      </c>
      <c r="AB41" s="1561">
        <f t="shared" si="4"/>
        <v>1</v>
      </c>
      <c r="AC41" s="1561">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73"/>
      <c r="Q42" s="1557">
        <f t="shared" si="14"/>
        <v>111</v>
      </c>
      <c r="R42" s="1562" t="s">
        <v>8</v>
      </c>
      <c r="S42" s="1563">
        <f t="shared" si="10"/>
        <v>100</v>
      </c>
      <c r="T42" s="1562" t="s">
        <v>8</v>
      </c>
      <c r="U42" s="1563">
        <f t="shared" si="11"/>
        <v>100</v>
      </c>
      <c r="V42" s="1562" t="s">
        <v>8</v>
      </c>
      <c r="W42" s="1563">
        <f t="shared" si="12"/>
        <v>100</v>
      </c>
      <c r="X42" s="1564"/>
      <c r="Y42" s="3473"/>
      <c r="Z42" s="1565">
        <f t="shared" si="13"/>
        <v>111</v>
      </c>
      <c r="AA42" s="1561">
        <f t="shared" si="3"/>
        <v>1</v>
      </c>
      <c r="AB42" s="1561">
        <f t="shared" si="4"/>
        <v>1</v>
      </c>
      <c r="AC42" s="1561">
        <f t="shared" si="5"/>
        <v>1</v>
      </c>
    </row>
    <row r="43" spans="1:29" ht="15">
      <c r="A43" s="606" t="s">
        <v>556</v>
      </c>
      <c r="B43" s="607" t="s">
        <v>2931</v>
      </c>
      <c r="C43" s="608" t="s">
        <v>1</v>
      </c>
      <c r="D43" s="609"/>
      <c r="E43" s="610"/>
      <c r="F43" s="611"/>
      <c r="G43" s="612"/>
      <c r="H43" s="613"/>
      <c r="I43" s="610"/>
      <c r="J43" s="613"/>
      <c r="K43" s="1334"/>
      <c r="L43" s="2127"/>
      <c r="M43" s="2117"/>
      <c r="N43" s="2117"/>
      <c r="O43" s="2128"/>
      <c r="P43" s="3468" t="str">
        <f>A43</f>
        <v>成交单价</v>
      </c>
      <c r="Q43" s="3468"/>
      <c r="R43" s="3482">
        <f>E43</f>
        <v>0</v>
      </c>
      <c r="S43" s="3482"/>
      <c r="T43" s="3482">
        <f>G43</f>
        <v>0</v>
      </c>
      <c r="U43" s="3482"/>
      <c r="V43" s="3482">
        <f>I43</f>
        <v>0</v>
      </c>
      <c r="W43" s="3482"/>
      <c r="X43" s="1544"/>
      <c r="Y43" s="1566"/>
      <c r="Z43" s="1544"/>
      <c r="AA43" s="1544"/>
      <c r="AB43" s="1544"/>
      <c r="AC43" s="1544"/>
    </row>
    <row r="44" spans="1:29" ht="15.75" thickBot="1">
      <c r="A44" s="614" t="s">
        <v>2690</v>
      </c>
      <c r="B44" s="615"/>
      <c r="C44" s="616" t="e">
        <f>R45</f>
        <v>#DIV/0!</v>
      </c>
      <c r="D44" s="617"/>
      <c r="E44" s="616" t="e">
        <f>R44</f>
        <v>#DIV/0!</v>
      </c>
      <c r="F44" s="618"/>
      <c r="G44" s="619" t="e">
        <f>T44</f>
        <v>#DIV/0!</v>
      </c>
      <c r="H44" s="617"/>
      <c r="I44" s="616" t="e">
        <f>V44</f>
        <v>#DIV/0!</v>
      </c>
      <c r="J44" s="617"/>
      <c r="K44" s="1335"/>
      <c r="L44" s="2127"/>
      <c r="M44" s="2117"/>
      <c r="N44" s="2117"/>
      <c r="O44" s="2128"/>
      <c r="P44" s="3468" t="str">
        <f>A44</f>
        <v>比较价格（元/平方米）</v>
      </c>
      <c r="Q44" s="3468"/>
      <c r="R44" s="3492" t="e">
        <f>ROUND(PRODUCT(R43,AA9:AA42),0)</f>
        <v>#DIV/0!</v>
      </c>
      <c r="S44" s="3492"/>
      <c r="T44" s="3492" t="e">
        <f>ROUND(PRODUCT(T43,AB9:AB42),0)</f>
        <v>#DIV/0!</v>
      </c>
      <c r="U44" s="3492"/>
      <c r="V44" s="3492" t="e">
        <f>ROUND(PRODUCT(V43,AC9:AC42),0)</f>
        <v>#DIV/0!</v>
      </c>
      <c r="W44" s="3492"/>
      <c r="X44" s="1544"/>
      <c r="Y44" s="1544"/>
      <c r="Z44" s="1544"/>
      <c r="AA44" s="1544"/>
      <c r="AB44" s="1544"/>
      <c r="AC44" s="1544"/>
    </row>
    <row r="45" spans="1:29" ht="15.75" thickBot="1">
      <c r="A45" s="620" t="s">
        <v>2932</v>
      </c>
      <c r="B45" s="621"/>
      <c r="C45" s="622" t="e">
        <f>R45</f>
        <v>#DIV/0!</v>
      </c>
      <c r="D45" s="622"/>
      <c r="E45" s="622"/>
      <c r="F45" s="622"/>
      <c r="G45" s="622"/>
      <c r="H45" s="622"/>
      <c r="I45" s="622"/>
      <c r="J45" s="622"/>
      <c r="K45" s="1336"/>
      <c r="L45" s="2127"/>
      <c r="M45" s="2117"/>
      <c r="N45" s="2117"/>
      <c r="O45" s="2128"/>
      <c r="P45" s="3489" t="str">
        <f>A45</f>
        <v>估价对象XX用房的比较价格（楼面单价，元/平方米）</v>
      </c>
      <c r="Q45" s="3490"/>
      <c r="R45" s="3491" t="e">
        <f>ROUND(AVERAGE(R44:V44),0)</f>
        <v>#DIV/0!</v>
      </c>
      <c r="S45" s="3491"/>
      <c r="T45" s="3491"/>
      <c r="U45" s="3491"/>
      <c r="V45" s="3491"/>
      <c r="W45" s="3491"/>
      <c r="X45" s="1544"/>
      <c r="Y45" s="1544"/>
      <c r="Z45" s="1544"/>
      <c r="AA45" s="1544"/>
      <c r="AB45" s="1544"/>
      <c r="AC45" s="1544"/>
    </row>
    <row r="46" spans="1:29">
      <c r="A46" s="2128"/>
      <c r="B46" s="2128"/>
      <c r="C46" s="2128"/>
      <c r="D46" s="2128"/>
      <c r="E46" s="2128"/>
      <c r="F46" s="2128"/>
      <c r="G46" s="2131"/>
      <c r="H46" s="2128"/>
      <c r="I46" s="2128"/>
      <c r="J46" s="2128"/>
      <c r="K46" s="2132"/>
      <c r="L46" s="2133"/>
      <c r="M46" s="2117"/>
      <c r="N46" s="2117"/>
      <c r="O46" s="2128"/>
      <c r="P46" s="1544"/>
      <c r="Q46" s="1544"/>
      <c r="R46" s="1544"/>
      <c r="S46" s="1544"/>
      <c r="T46" s="1544"/>
      <c r="U46" s="1544"/>
      <c r="V46" s="1544"/>
      <c r="W46" s="1544"/>
      <c r="X46" s="1544"/>
      <c r="Y46" s="1544"/>
      <c r="Z46" s="1544"/>
      <c r="AA46" s="1544"/>
      <c r="AB46" s="1544"/>
      <c r="AC46" s="1544"/>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5" t="s">
        <v>1724</v>
      </c>
      <c r="D52" s="2210" t="s">
        <v>2292</v>
      </c>
      <c r="E52" s="630" t="s">
        <v>562</v>
      </c>
      <c r="F52" s="1934" t="s">
        <v>563</v>
      </c>
      <c r="G52" s="3493" t="s">
        <v>2283</v>
      </c>
      <c r="H52" s="3494"/>
      <c r="I52" s="1935" t="s">
        <v>1945</v>
      </c>
      <c r="J52" s="1540"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110709.19</v>
      </c>
      <c r="F53" s="1933" t="e">
        <f t="shared" ref="F53:F62" si="15">ROUND(B53*E53/10000,0)</f>
        <v>#DIV/0!</v>
      </c>
      <c r="G53" s="3495"/>
      <c r="H53" s="3496"/>
      <c r="I53" s="1936">
        <v>1</v>
      </c>
      <c r="J53" s="1541">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97" t="s">
        <v>2284</v>
      </c>
      <c r="H54" s="1937">
        <f>项目基本情况!B43</f>
        <v>0</v>
      </c>
      <c r="I54" s="1936">
        <f>SUMIF(修正!$A$45:$A$56,H54,修正!B45:B56)</f>
        <v>0</v>
      </c>
      <c r="J54" s="1543"/>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97"/>
      <c r="H55" s="1938">
        <f>项目基本情况!B43</f>
        <v>0</v>
      </c>
      <c r="I55" s="1936">
        <f>SUMIF(修正!$A$45:$A$56,H55,修正!C45:C56)</f>
        <v>0</v>
      </c>
      <c r="J55" s="1543"/>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97"/>
      <c r="H56" s="1938">
        <f>项目基本情况!B43</f>
        <v>0</v>
      </c>
      <c r="I56" s="1936">
        <f>SUMIF(修正!$A$45:$A$56,H56,修正!D45:D56)</f>
        <v>0</v>
      </c>
      <c r="J56" s="1543"/>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97"/>
      <c r="H57" s="1938">
        <f>项目基本情况!B43</f>
        <v>0</v>
      </c>
      <c r="I57" s="1936">
        <f>SUMIF(修正!$A$45:$A$56,H57,修正!E45:E56)</f>
        <v>0</v>
      </c>
      <c r="J57" s="1543"/>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2326</v>
      </c>
      <c r="B58" s="637" t="e">
        <f t="shared" si="17"/>
        <v>#DIV/0!</v>
      </c>
      <c r="C58" s="377">
        <f t="shared" si="16"/>
        <v>0</v>
      </c>
      <c r="D58" s="2212">
        <v>0.25</v>
      </c>
      <c r="E58" s="640">
        <f>'数据-汇总表'!E11</f>
        <v>167.24</v>
      </c>
      <c r="F58" s="1933" t="e">
        <f t="shared" si="15"/>
        <v>#DIV/0!</v>
      </c>
      <c r="G58" s="1939" t="s">
        <v>2285</v>
      </c>
      <c r="H58" s="1938">
        <f>项目基本情况!C43</f>
        <v>0</v>
      </c>
      <c r="I58" s="1936">
        <f>SUMIF(修正!$A$45:$A$56,H58,修正!F45:F56)</f>
        <v>0</v>
      </c>
      <c r="J58" s="1543"/>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1677</v>
      </c>
      <c r="H59" s="1937">
        <f>IF(G59="商业",项目基本情况!B43,IF(G59="办公",项目基本情况!C43,IF(G59="住宅",项目基本情况!D43,项目基本情况!E43)))</f>
        <v>0</v>
      </c>
      <c r="I59" s="1936">
        <f>SUMIF(修正!$A$45:$A$56,H59,修正!G45:G56)</f>
        <v>0</v>
      </c>
      <c r="J59" s="1543"/>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26341.64</v>
      </c>
      <c r="F60" s="1933" t="e">
        <f t="shared" si="15"/>
        <v>#DIV/0!</v>
      </c>
      <c r="G60" s="1929" t="s">
        <v>923</v>
      </c>
      <c r="H60" s="1937">
        <f>IF(G60="商业",项目基本情况!B43,IF(G60="办公",项目基本情况!C43,IF(G60="住宅",项目基本情况!D43,项目基本情况!E43)))</f>
        <v>0</v>
      </c>
      <c r="I60" s="1936">
        <f>SUMIF(修正!$A$45:$A$56,H60,修正!H45:H56)</f>
        <v>0</v>
      </c>
      <c r="J60" s="1543"/>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3"/>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3"/>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2293</v>
      </c>
      <c r="E63" s="642">
        <f>IF(B43="楼面地价",SUM(E53:E62),'数据-汇总表'!D3)</f>
        <v>36905.32</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2019-10-1</v>
      </c>
      <c r="D65" s="2752">
        <f>EDATE(C65,-3)</f>
        <v>43647</v>
      </c>
      <c r="E65" s="2752">
        <f t="shared" ref="E65:N65" si="18">EDATE(D65,-3)</f>
        <v>43556</v>
      </c>
      <c r="F65" s="2752">
        <f t="shared" si="18"/>
        <v>43466</v>
      </c>
      <c r="G65" s="2752">
        <f t="shared" si="18"/>
        <v>43374</v>
      </c>
      <c r="H65" s="2752">
        <f t="shared" si="18"/>
        <v>43282</v>
      </c>
      <c r="I65" s="2752">
        <f t="shared" si="18"/>
        <v>43191</v>
      </c>
      <c r="J65" s="2752">
        <f t="shared" si="18"/>
        <v>43101</v>
      </c>
      <c r="K65" s="2752">
        <f t="shared" si="18"/>
        <v>43009</v>
      </c>
      <c r="L65" s="2752">
        <f t="shared" si="18"/>
        <v>42917</v>
      </c>
      <c r="M65" s="2752">
        <f t="shared" si="18"/>
        <v>42826</v>
      </c>
      <c r="N65" s="2752">
        <f t="shared" si="18"/>
        <v>42736</v>
      </c>
      <c r="O65" s="2128"/>
      <c r="P65" s="2128"/>
      <c r="Q65" s="2128"/>
      <c r="R65" s="2128"/>
      <c r="S65" s="2128"/>
      <c r="T65" s="2128"/>
      <c r="U65" s="2128"/>
      <c r="V65" s="2128"/>
      <c r="W65" s="2128"/>
      <c r="X65" s="2128"/>
      <c r="Y65" s="2128"/>
      <c r="Z65" s="2128"/>
      <c r="AA65" s="2128"/>
      <c r="AB65" s="2128"/>
      <c r="AC65" s="2128"/>
    </row>
    <row r="66" spans="1:29" ht="21.75" thickBot="1">
      <c r="A66" s="1569" t="s">
        <v>574</v>
      </c>
      <c r="B66" s="1544"/>
      <c r="C66" s="1568"/>
      <c r="D66" s="1568"/>
      <c r="E66" s="1568"/>
      <c r="F66" s="1570"/>
      <c r="G66" s="1570"/>
      <c r="H66" s="1568"/>
      <c r="I66" s="1568"/>
      <c r="J66" s="1568"/>
      <c r="K66" s="1571"/>
      <c r="L66" s="1567"/>
      <c r="M66" s="1568"/>
      <c r="N66" s="1568"/>
      <c r="O66" s="2140"/>
      <c r="P66" s="2140"/>
      <c r="Q66" s="2141"/>
      <c r="R66" s="2128"/>
      <c r="S66" s="2128"/>
      <c r="T66" s="2128"/>
      <c r="U66" s="2128"/>
      <c r="V66" s="2128"/>
      <c r="W66" s="2128"/>
      <c r="X66" s="2128"/>
      <c r="Y66" s="2128"/>
      <c r="Z66" s="2128"/>
      <c r="AA66" s="2128"/>
      <c r="AB66" s="2128"/>
      <c r="AC66" s="2128"/>
    </row>
    <row r="67" spans="1:29" s="1341" customFormat="1" ht="15">
      <c r="A67" s="2530" t="s">
        <v>2531</v>
      </c>
      <c r="B67" s="645"/>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2646</v>
      </c>
      <c r="B68" s="478" t="str">
        <f>"北京市平均增长率"&amp;TEXT(基准地价!P24,"0.00%")</f>
        <v>北京市平均增长率1.38%</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2546</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2548</v>
      </c>
      <c r="C95" s="2560" t="s">
        <v>2549</v>
      </c>
      <c r="D95" s="2560" t="s">
        <v>2550</v>
      </c>
      <c r="E95" s="2560" t="s">
        <v>2551</v>
      </c>
      <c r="F95" s="2560" t="s">
        <v>2552</v>
      </c>
      <c r="G95" s="2560" t="s">
        <v>2553</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1" t="str">
        <f t="shared" si="25"/>
        <v>(含)-</v>
      </c>
      <c r="L109" s="3042" t="str">
        <f t="shared" si="25"/>
        <v>(含)-</v>
      </c>
      <c r="M109" s="3043"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2423</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33" sqref="F33"/>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4"/>
      <c r="G1" s="1396"/>
      <c r="H1" s="1396"/>
      <c r="I1" s="1396"/>
      <c r="J1" s="1396"/>
      <c r="K1" s="1396"/>
      <c r="L1" s="1865" t="s">
        <v>2237</v>
      </c>
      <c r="M1" s="1866">
        <f>SUMPRODUCT((区片价!B5:B9=I2)*(区片价!C3:F3=E2)*(区片价!C5:F9))</f>
        <v>0</v>
      </c>
      <c r="N1" s="1867">
        <f>SUMPRODUCT((因素修正幅度!B5:B9=I2)*(因素修正幅度!C3:F3=E2)*(因素修正幅度!C5:F9))</f>
        <v>0</v>
      </c>
      <c r="O1" s="1396"/>
      <c r="P1" s="1396"/>
      <c r="Q1" s="2172"/>
      <c r="R1" s="2889" t="s">
        <v>2759</v>
      </c>
      <c r="S1" s="2889" t="s">
        <v>2760</v>
      </c>
      <c r="T1" s="2889" t="s">
        <v>2781</v>
      </c>
      <c r="U1" s="2889" t="s">
        <v>2782</v>
      </c>
      <c r="V1" s="2889" t="s">
        <v>2783</v>
      </c>
      <c r="W1" s="2172"/>
      <c r="X1" s="2172"/>
      <c r="Y1" s="2172"/>
      <c r="Z1" s="2172"/>
      <c r="AA1" s="2172"/>
      <c r="AB1" s="2172"/>
      <c r="AC1" s="2173"/>
    </row>
    <row r="2" spans="1:39" ht="15.75">
      <c r="A2" s="1401" t="s">
        <v>920</v>
      </c>
      <c r="B2" s="1036"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8" t="s">
        <v>2238</v>
      </c>
      <c r="M2" s="1869">
        <f>SUMPRODUCT((区片价!B10:B28=I2)*(区片价!C3:F3=E2)*(区片价!C10:F28))</f>
        <v>0</v>
      </c>
      <c r="N2" s="1870">
        <f>SUMPRODUCT((因素修正幅度!B10:B28=I2)*(因素修正幅度!C3:F3=E2)*(因素修正幅度!C10:F28))</f>
        <v>0</v>
      </c>
      <c r="O2" s="1405"/>
      <c r="P2" s="1396"/>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6" t="s">
        <v>1687</v>
      </c>
      <c r="B3" s="1036" t="e">
        <f>ROUND(B2*10000/D1,0)</f>
        <v>#DIV/0!</v>
      </c>
      <c r="C3" s="1402" t="s">
        <v>927</v>
      </c>
      <c r="D3" s="1403" t="s">
        <v>928</v>
      </c>
      <c r="E3" s="1407"/>
      <c r="F3" s="1408"/>
      <c r="G3" s="1037">
        <f>IF(F3="宗地容积率",'数据-汇总表'!I4,IF(F3="估价对象容积率",'数据-汇总表'!I6,'数据-汇总表'!I7))</f>
        <v>0</v>
      </c>
      <c r="H3" s="1409" t="s">
        <v>929</v>
      </c>
      <c r="I3" s="1038">
        <v>8</v>
      </c>
      <c r="J3" s="1405" t="s">
        <v>930</v>
      </c>
      <c r="K3" s="1405"/>
      <c r="L3" s="1868" t="s">
        <v>2239</v>
      </c>
      <c r="M3" s="1869">
        <f>SUMPRODUCT((区片价!B29:B48=I2)*(区片价!C3:F3=E2)*(区片价!C29:F48))</f>
        <v>0</v>
      </c>
      <c r="N3" s="1870">
        <f>SUMPRODUCT((因素修正幅度!B29:B48=I2)*(因素修正幅度!C3:F3=E2)*(因素修正幅度!C29:F48))</f>
        <v>0</v>
      </c>
      <c r="O3" s="1405"/>
      <c r="P3" s="1396"/>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5"/>
      <c r="L4" s="1868" t="s">
        <v>2240</v>
      </c>
      <c r="M4" s="1869">
        <f>SUMPRODUCT((区片价!B49:B75=I2)*(区片价!C3:F3=E2)*(区片价!C49:F75))</f>
        <v>0</v>
      </c>
      <c r="N4" s="1870">
        <f>SUMPRODUCT((因素修正幅度!B49:B75=I2)*(因素修正幅度!C3:F3=E2)*(因素修正幅度!C49:F75))</f>
        <v>0</v>
      </c>
      <c r="O4" s="3145"/>
      <c r="P4" s="1396"/>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6" customFormat="1" ht="15.75" thickBot="1">
      <c r="A5" s="1622" t="s">
        <v>1823</v>
      </c>
      <c r="B5" s="1410" t="s">
        <v>931</v>
      </c>
      <c r="C5" s="1039" t="e">
        <f>ROUND(IF(E2="商业",C6*C7+C16,(IF(E2="住宅",C6*C12+C16,C6+C16))),0)</f>
        <v>#DIV/0!</v>
      </c>
      <c r="D5" s="3069" t="e">
        <f>ROUND(C6+C16,0)</f>
        <v>#DIV/0!</v>
      </c>
      <c r="E5" s="3069"/>
      <c r="F5" s="1411"/>
      <c r="G5" s="1412"/>
      <c r="H5" s="1412"/>
      <c r="I5" s="1412"/>
      <c r="J5" s="1413"/>
      <c r="K5" s="3146"/>
      <c r="L5" s="1868" t="s">
        <v>2241</v>
      </c>
      <c r="M5" s="1869">
        <f>SUMPRODUCT((区片价!B76:B109=I2)*(区片价!C3:F3=E2)*(区片价!C76:F109))</f>
        <v>0</v>
      </c>
      <c r="N5" s="1870">
        <f>SUMPRODUCT((因素修正幅度!B76:B109=I2)*(因素修正幅度!C3:F3=E2)*(因素修正幅度!C76:F109))</f>
        <v>0</v>
      </c>
      <c r="O5" s="3146"/>
      <c r="P5" s="1579"/>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4"/>
      <c r="AE5" s="1414"/>
      <c r="AF5" s="1414"/>
      <c r="AG5" s="1414"/>
      <c r="AH5" s="1414"/>
      <c r="AI5" s="1414"/>
      <c r="AJ5" s="1415"/>
      <c r="AK5" s="1415"/>
      <c r="AL5" s="1415"/>
      <c r="AM5" s="1415"/>
    </row>
    <row r="6" spans="1:39" ht="15.75" thickBot="1">
      <c r="A6" s="1623" t="s">
        <v>1870</v>
      </c>
      <c r="B6" s="1417" t="s">
        <v>931</v>
      </c>
      <c r="C6" s="1040">
        <f>SUMIF(L1:L12,基准地价!G2,M1:M12)</f>
        <v>0</v>
      </c>
      <c r="D6" s="1418" t="s">
        <v>1695</v>
      </c>
      <c r="E6" s="1419"/>
      <c r="F6" s="1419"/>
      <c r="G6" s="1420"/>
      <c r="H6" s="1420"/>
      <c r="I6" s="1420"/>
      <c r="J6" s="1421"/>
      <c r="K6" s="1451"/>
      <c r="L6" s="1868" t="s">
        <v>2242</v>
      </c>
      <c r="M6" s="1869">
        <f>SUMPRODUCT((区片价!B110:B157=I2)*(区片价!C3:F3=E2)*(区片价!C110:F157))</f>
        <v>0</v>
      </c>
      <c r="N6" s="1870">
        <f>SUMPRODUCT((因素修正幅度!B110:B157=I2)*(因素修正幅度!C3:F3=E2)*(因素修正幅度!C110:F157))</f>
        <v>0</v>
      </c>
      <c r="O6" s="1451"/>
      <c r="P6" s="1580"/>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4"/>
      <c r="AE6" s="1414"/>
      <c r="AF6" s="1414"/>
      <c r="AG6" s="1414"/>
      <c r="AH6" s="1414"/>
      <c r="AI6" s="1414"/>
      <c r="AJ6" s="1415"/>
    </row>
    <row r="7" spans="1:39" ht="24">
      <c r="A7" s="3505" t="str">
        <f>IF(E2="商业",IF(C8="不临58条商业街","",2),"")</f>
        <v/>
      </c>
      <c r="B7" s="1422" t="s">
        <v>932</v>
      </c>
      <c r="C7" s="1041" t="e">
        <f>IF(C8="不临58条商业街",1,ROUND(1+(1.6*E8+1.2*E9+0.8*E10+0.4*E11)*C9,4))</f>
        <v>#DIV/0!</v>
      </c>
      <c r="D7" s="1423" t="s">
        <v>933</v>
      </c>
      <c r="E7" s="1042"/>
      <c r="F7" s="1424"/>
      <c r="G7" s="1425"/>
      <c r="H7" s="1425"/>
      <c r="I7" s="1425"/>
      <c r="J7" s="1426"/>
      <c r="K7" s="1451"/>
      <c r="L7" s="1868" t="s">
        <v>2243</v>
      </c>
      <c r="M7" s="1869">
        <f>SUMPRODUCT((区片价!B158:B205=I2)*(区片价!C3:F3=E2)*(区片价!C158:F205))</f>
        <v>0</v>
      </c>
      <c r="N7" s="1870">
        <f>SUMPRODUCT((因素修正幅度!B158:B205=I2)*(因素修正幅度!C3:F3=E2)*(因素修正幅度!C158:F205))</f>
        <v>0</v>
      </c>
      <c r="O7" s="1451"/>
      <c r="P7" s="1580"/>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506"/>
      <c r="B8" s="1409" t="s">
        <v>934</v>
      </c>
      <c r="C8" s="1515"/>
      <c r="D8" s="1043" t="s">
        <v>935</v>
      </c>
      <c r="E8" s="1044" t="e">
        <f>ROUND(C11/E7,4)</f>
        <v>#DIV/0!</v>
      </c>
      <c r="F8" s="1427" t="s">
        <v>936</v>
      </c>
      <c r="G8" s="1428"/>
      <c r="H8" s="1428"/>
      <c r="I8" s="1428"/>
      <c r="J8" s="1429"/>
      <c r="K8" s="1451"/>
      <c r="L8" s="1868" t="s">
        <v>2244</v>
      </c>
      <c r="M8" s="1869">
        <f>SUMPRODUCT((区片价!B206:B244=I2)*(区片价!C3:F3=E2)*(区片价!C206:F244))</f>
        <v>0</v>
      </c>
      <c r="N8" s="1870">
        <f>SUMPRODUCT((因素修正幅度!B206:B244=I2)*(因素修正幅度!C3:F3=E2)*(因素修正幅度!C206:F244))</f>
        <v>0</v>
      </c>
      <c r="O8" s="1451"/>
      <c r="P8" s="1396"/>
      <c r="Q8" s="2172"/>
      <c r="R8" s="2890">
        <v>7</v>
      </c>
      <c r="S8" s="2879"/>
      <c r="T8" s="2890" t="e">
        <f t="shared" si="0"/>
        <v>#DIV/0!</v>
      </c>
      <c r="U8" s="2879"/>
      <c r="V8" s="2890" t="e">
        <f t="shared" si="1"/>
        <v>#DIV/0!</v>
      </c>
      <c r="W8" s="3516" t="s">
        <v>2780</v>
      </c>
      <c r="X8" s="3517"/>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506"/>
      <c r="B9" s="1409" t="s">
        <v>937</v>
      </c>
      <c r="C9" s="1045">
        <f>SUMIF(修正!C59:C119,C8,修正!E59:E119)</f>
        <v>0</v>
      </c>
      <c r="D9" s="1046" t="s">
        <v>938</v>
      </c>
      <c r="E9" s="1046" t="e">
        <f>ROUND(C11/E7,4)</f>
        <v>#DIV/0!</v>
      </c>
      <c r="F9" s="1427" t="s">
        <v>939</v>
      </c>
      <c r="G9" s="1428"/>
      <c r="H9" s="1428"/>
      <c r="I9" s="1428"/>
      <c r="J9" s="1429"/>
      <c r="K9" s="1451"/>
      <c r="L9" s="1868" t="s">
        <v>2245</v>
      </c>
      <c r="M9" s="1869">
        <f>SUMPRODUCT((区片价!B245:B289=I2)*(区片价!C3:F3=E2)*(区片价!C245:F289))</f>
        <v>0</v>
      </c>
      <c r="N9" s="1870">
        <f>SUMPRODUCT((因素修正幅度!B245:B289=I2)*(因素修正幅度!C3:F3=E2)*(因素修正幅度!C245:F289))</f>
        <v>0</v>
      </c>
      <c r="O9" s="1451"/>
      <c r="P9" s="1396"/>
      <c r="Q9" s="2172"/>
      <c r="R9" s="2890">
        <v>8</v>
      </c>
      <c r="S9" s="2879"/>
      <c r="T9" s="2890" t="e">
        <f t="shared" si="0"/>
        <v>#DIV/0!</v>
      </c>
      <c r="U9" s="2879"/>
      <c r="V9" s="2890" t="e">
        <f t="shared" si="1"/>
        <v>#DIV/0!</v>
      </c>
      <c r="W9" s="3515" t="s">
        <v>2776</v>
      </c>
      <c r="X9" s="2884" t="s">
        <v>2777</v>
      </c>
      <c r="Y9" s="3047"/>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06"/>
      <c r="B10" s="1409" t="s">
        <v>940</v>
      </c>
      <c r="C10" s="1046">
        <f>SUMIF(修正!C59:C119,C8,修正!F59:F119)</f>
        <v>0</v>
      </c>
      <c r="D10" s="1046" t="s">
        <v>941</v>
      </c>
      <c r="E10" s="1046" t="e">
        <f>ROUND(C11/E7,4)</f>
        <v>#DIV/0!</v>
      </c>
      <c r="F10" s="1427" t="s">
        <v>942</v>
      </c>
      <c r="G10" s="1428"/>
      <c r="H10" s="1428"/>
      <c r="I10" s="1428"/>
      <c r="J10" s="1429"/>
      <c r="K10" s="1451"/>
      <c r="L10" s="1868" t="s">
        <v>2246</v>
      </c>
      <c r="M10" s="1869">
        <f>SUMPRODUCT((区片价!B290:B316=I2)*(区片价!C3:F3=E2)*(区片价!C290:F316))</f>
        <v>0</v>
      </c>
      <c r="N10" s="1870">
        <f>SUMPRODUCT((因素修正幅度!B290:B316=I2)*(因素修正幅度!C3:F3=E2)*(因素修正幅度!C290:F316))</f>
        <v>0</v>
      </c>
      <c r="O10" s="1451"/>
      <c r="P10" s="1396"/>
      <c r="Q10" s="2172"/>
      <c r="R10" s="2890">
        <v>9</v>
      </c>
      <c r="S10" s="2879"/>
      <c r="T10" s="2890" t="e">
        <f t="shared" si="0"/>
        <v>#DIV/0!</v>
      </c>
      <c r="U10" s="2879"/>
      <c r="V10" s="2890" t="e">
        <f t="shared" si="1"/>
        <v>#DIV/0!</v>
      </c>
      <c r="W10" s="351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06"/>
      <c r="B11" s="1430" t="s">
        <v>943</v>
      </c>
      <c r="C11" s="1047">
        <f>C10/4</f>
        <v>0</v>
      </c>
      <c r="D11" s="1047" t="s">
        <v>944</v>
      </c>
      <c r="E11" s="1047" t="e">
        <f>ROUND(C11/E7,4)</f>
        <v>#DIV/0!</v>
      </c>
      <c r="F11" s="1431" t="s">
        <v>945</v>
      </c>
      <c r="G11" s="1432"/>
      <c r="H11" s="1432"/>
      <c r="I11" s="1432"/>
      <c r="J11" s="1433"/>
      <c r="K11" s="1451"/>
      <c r="L11" s="1868" t="s">
        <v>2247</v>
      </c>
      <c r="M11" s="1869">
        <f>SUMPRODUCT((区片价!B317:B337=I2)*(区片价!C3:F3=E2)*(区片价!C317:F337))</f>
        <v>0</v>
      </c>
      <c r="N11" s="1870">
        <f>SUMPRODUCT((因素修正幅度!B317:B337=I2)*(因素修正幅度!C3:F3=E2)*(因素修正幅度!C317:F337))</f>
        <v>0</v>
      </c>
      <c r="O11" s="1451"/>
      <c r="P11" s="1396"/>
      <c r="Q11" s="2172"/>
      <c r="R11" s="2890">
        <v>10</v>
      </c>
      <c r="S11" s="2879"/>
      <c r="T11" s="2890" t="e">
        <f t="shared" si="0"/>
        <v>#DIV/0!</v>
      </c>
      <c r="U11" s="2879"/>
      <c r="V11" s="2890" t="e">
        <f t="shared" si="1"/>
        <v>#DIV/0!</v>
      </c>
      <c r="W11" s="3515" t="s">
        <v>2778</v>
      </c>
      <c r="X11" s="1046" t="s">
        <v>2763</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505" t="s">
        <v>1871</v>
      </c>
      <c r="B12" s="1434" t="s">
        <v>946</v>
      </c>
      <c r="C12" s="1041">
        <f>ROUND(C15*D15*E15*F15*G15*H15*I15*J15,4)</f>
        <v>1</v>
      </c>
      <c r="D12" s="1435" t="s">
        <v>947</v>
      </c>
      <c r="E12" s="1436"/>
      <c r="F12" s="1436"/>
      <c r="G12" s="1437"/>
      <c r="H12" s="1437"/>
      <c r="I12" s="1437"/>
      <c r="J12" s="1438"/>
      <c r="K12" s="1451"/>
      <c r="L12" s="1871" t="s">
        <v>2248</v>
      </c>
      <c r="M12" s="1872">
        <f>SUMPRODUCT((区片价!B338:B344=I2)*(区片价!C3:F3=E2)*(区片价!C338:F344))</f>
        <v>0</v>
      </c>
      <c r="N12" s="1873">
        <f>SUMPRODUCT((因素修正幅度!B338:B344=I2)*(因素修正幅度!C3:F3=E2)*(因素修正幅度!C338:F344))</f>
        <v>0</v>
      </c>
      <c r="O12" s="1451"/>
      <c r="P12" s="1396"/>
      <c r="Q12" s="2172"/>
      <c r="R12" s="2890">
        <v>11</v>
      </c>
      <c r="S12" s="2879"/>
      <c r="T12" s="2890" t="e">
        <f t="shared" si="0"/>
        <v>#DIV/0!</v>
      </c>
      <c r="U12" s="2879"/>
      <c r="V12" s="2890" t="e">
        <f t="shared" si="1"/>
        <v>#DIV/0!</v>
      </c>
      <c r="W12" s="3515"/>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07"/>
      <c r="B13" s="1439" t="s">
        <v>1696</v>
      </c>
      <c r="C13" s="1440" t="s">
        <v>1697</v>
      </c>
      <c r="D13" s="1083" t="s">
        <v>1698</v>
      </c>
      <c r="E13" s="1083" t="s">
        <v>1699</v>
      </c>
      <c r="F13" s="1441" t="s">
        <v>948</v>
      </c>
      <c r="G13" s="1442" t="s">
        <v>1642</v>
      </c>
      <c r="H13" s="1443" t="s">
        <v>1642</v>
      </c>
      <c r="I13" s="1444" t="s">
        <v>1642</v>
      </c>
      <c r="J13" s="1445" t="s">
        <v>1642</v>
      </c>
      <c r="K13" s="3161"/>
      <c r="L13" s="3161"/>
      <c r="M13" s="3161"/>
      <c r="N13" s="3161"/>
      <c r="O13" s="3161"/>
      <c r="P13" s="1396"/>
      <c r="Q13" s="2172"/>
      <c r="R13" s="2890">
        <v>12</v>
      </c>
      <c r="S13" s="2879"/>
      <c r="T13" s="2890" t="e">
        <f t="shared" si="0"/>
        <v>#DIV/0!</v>
      </c>
      <c r="U13" s="2879"/>
      <c r="V13" s="2890" t="e">
        <f t="shared" si="1"/>
        <v>#DIV/0!</v>
      </c>
      <c r="W13" s="351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507"/>
      <c r="B14" s="1446"/>
      <c r="C14" s="1447"/>
      <c r="D14" s="1448"/>
      <c r="E14" s="1448"/>
      <c r="F14" s="1449"/>
      <c r="G14" s="1450" t="s">
        <v>949</v>
      </c>
      <c r="H14" s="1451"/>
      <c r="I14" s="1452"/>
      <c r="J14" s="1453"/>
      <c r="K14" s="3147"/>
      <c r="L14" s="3147"/>
      <c r="M14" s="3147"/>
      <c r="N14" s="3147"/>
      <c r="O14" s="3147"/>
      <c r="P14" s="1396"/>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08"/>
      <c r="B15" s="3166" t="s">
        <v>1700</v>
      </c>
      <c r="C15" s="1047">
        <f>IF(C14="有",1.1,1)</f>
        <v>1</v>
      </c>
      <c r="D15" s="1047">
        <f>IF(D14="有",1.1,1)</f>
        <v>1</v>
      </c>
      <c r="E15" s="1047">
        <f>IF(E14="有",1.1,1)</f>
        <v>1</v>
      </c>
      <c r="F15" s="1047">
        <f>IF(F14="500米范围内",1.2,IF(F14="500-1000米",1.1,1))</f>
        <v>1</v>
      </c>
      <c r="G15" s="3158">
        <v>1</v>
      </c>
      <c r="H15" s="3158">
        <v>1</v>
      </c>
      <c r="I15" s="3158">
        <v>1</v>
      </c>
      <c r="J15" s="3159">
        <v>1</v>
      </c>
      <c r="K15" s="3162"/>
      <c r="L15" s="3162"/>
      <c r="M15" s="3162"/>
      <c r="N15" s="3162"/>
      <c r="O15" s="3162"/>
      <c r="P15" s="1396"/>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05" t="s">
        <v>1838</v>
      </c>
      <c r="B16" s="1422" t="s">
        <v>950</v>
      </c>
      <c r="C16" s="1050" t="e">
        <f>ROUND(IF(F17="与级别开发程度一致",0,(G17-E17)/C17),0)</f>
        <v>#DIV/0!</v>
      </c>
      <c r="D16" s="3523" t="s">
        <v>954</v>
      </c>
      <c r="E16" s="3524"/>
      <c r="F16" s="3523" t="s">
        <v>951</v>
      </c>
      <c r="G16" s="3524"/>
      <c r="H16" s="1454"/>
      <c r="I16" s="1454"/>
      <c r="J16" s="1454"/>
      <c r="K16" s="1454"/>
      <c r="L16" s="1454"/>
      <c r="M16" s="1454"/>
      <c r="N16" s="1454"/>
      <c r="O16" s="3171"/>
      <c r="P16" s="1396"/>
      <c r="Q16" s="2175"/>
      <c r="R16" s="2890">
        <v>15</v>
      </c>
      <c r="S16" s="2879"/>
      <c r="T16" s="2890" t="e">
        <f t="shared" si="0"/>
        <v>#DIV/0!</v>
      </c>
      <c r="U16" s="2879"/>
      <c r="V16" s="2890" t="e">
        <f t="shared" si="1"/>
        <v>#DIV/0!</v>
      </c>
      <c r="W16" s="2175"/>
      <c r="X16" s="2175"/>
      <c r="Y16" s="2175"/>
      <c r="Z16" s="2175"/>
      <c r="AA16" s="2175"/>
      <c r="AB16" s="2175"/>
      <c r="AC16" s="2176"/>
    </row>
    <row r="17" spans="1:40" ht="13.5" thickBot="1">
      <c r="A17" s="3509"/>
      <c r="B17" s="3172" t="s">
        <v>953</v>
      </c>
      <c r="C17" s="3173">
        <f>SUMPRODUCT((修正!A2:A5=E2)*(修正!B1:M1=G2)*(修正!B2:M5))</f>
        <v>0</v>
      </c>
      <c r="D17" s="3174" t="str">
        <f>IF(OR(G2="八级",G2="九级",G2="十级",G2="十一级",G2="十二级"),"五通一平","七通一平")</f>
        <v>七通一平</v>
      </c>
      <c r="E17" s="3164">
        <f>SUMPRODUCT((修正!B1:M1=G2)*(修正!B15:M15))</f>
        <v>0</v>
      </c>
      <c r="F17" s="3165"/>
      <c r="G17" s="3164">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5">
        <f>SUMPRODUCT((七通一平=O16)*(修正!B1:M1=G2)*(修正!B6:M14))</f>
        <v>0</v>
      </c>
      <c r="P17" s="1396"/>
      <c r="Q17" s="2175"/>
      <c r="R17" s="2176"/>
      <c r="S17" s="2176"/>
      <c r="T17" s="2176"/>
      <c r="U17" s="2176"/>
      <c r="V17" s="2176"/>
      <c r="W17" s="2175"/>
      <c r="X17" s="2175"/>
      <c r="Y17" s="2175"/>
      <c r="Z17" s="2175"/>
      <c r="AA17" s="2175"/>
      <c r="AB17" s="2175"/>
      <c r="AC17" s="2176"/>
      <c r="AH17" s="1397"/>
      <c r="AI17" s="1397"/>
      <c r="AJ17" s="1400"/>
      <c r="AK17" s="1400"/>
      <c r="AL17" s="1400"/>
      <c r="AM17" s="1400"/>
    </row>
    <row r="18" spans="1:40" s="1416" customFormat="1" ht="15.75" thickBot="1">
      <c r="A18" s="2732" t="s">
        <v>1829</v>
      </c>
      <c r="B18" s="3167" t="s">
        <v>955</v>
      </c>
      <c r="C18" s="3168">
        <f>SUMIF(修正!C18:C39,E3,修正!E18:E39)</f>
        <v>0</v>
      </c>
      <c r="D18" s="3169"/>
      <c r="E18" s="3170"/>
      <c r="F18" s="3152"/>
      <c r="G18" s="3146"/>
      <c r="H18" s="3146"/>
      <c r="I18" s="3146"/>
      <c r="J18" s="3160"/>
      <c r="K18" s="3146"/>
      <c r="L18" s="3146"/>
      <c r="M18" s="3146"/>
      <c r="N18" s="3146"/>
      <c r="O18" s="3146"/>
      <c r="P18" s="1468"/>
      <c r="Q18" s="2177"/>
      <c r="R18" s="2177"/>
      <c r="S18" s="2177"/>
      <c r="T18" s="2177"/>
      <c r="U18" s="2177"/>
      <c r="V18" s="2177"/>
      <c r="W18" s="2176"/>
      <c r="X18" s="2176"/>
      <c r="Y18" s="2176"/>
      <c r="Z18" s="2176"/>
      <c r="AA18" s="2175"/>
      <c r="AB18" s="2175"/>
      <c r="AC18" s="2178"/>
      <c r="AD18" s="1459"/>
      <c r="AE18" s="1459"/>
      <c r="AF18" s="1459"/>
      <c r="AG18" s="1459"/>
      <c r="AH18" s="1398"/>
      <c r="AI18" s="1398"/>
      <c r="AJ18" s="1399"/>
      <c r="AK18" s="1399"/>
      <c r="AL18" s="1399"/>
    </row>
    <row r="19" spans="1:40" s="1416" customFormat="1" ht="27.75" thickBot="1">
      <c r="A19" s="1624" t="s">
        <v>1835</v>
      </c>
      <c r="B19" s="1457" t="s">
        <v>956</v>
      </c>
      <c r="C19" s="1051">
        <f>ROUND(IF(H19="按公示增长率计算",SUMPRODUCT((地价!A3:A28=YEAR(G19)&amp;"-"&amp;ROUNDUP(MONTH(G19)/3,0))*(地价!X2:AB2=E2)*(地价!X3:AB28)),IF(H19="地价指数",M20/M19,(1+I19)^O19)),4)</f>
        <v>0</v>
      </c>
      <c r="D19" s="1461" t="s">
        <v>957</v>
      </c>
      <c r="E19" s="1052">
        <v>41640</v>
      </c>
      <c r="F19" s="1461" t="s">
        <v>958</v>
      </c>
      <c r="G19" s="1053">
        <f>'数据-取费表'!B2</f>
        <v>43763</v>
      </c>
      <c r="H19" s="1462" t="s">
        <v>2991</v>
      </c>
      <c r="I19" s="2738" t="str">
        <f>IF(H19="季度增幅（自定义）",SUMIF(N21:N24,E2,O21:O24),"")</f>
        <v/>
      </c>
      <c r="J19" s="1458"/>
      <c r="K19" s="3146"/>
      <c r="L19" s="2989" t="s">
        <v>2838</v>
      </c>
      <c r="M19" s="2990">
        <f>ROUND(SUMIF(地价!B2:F2,E2,地价!B28:F28),0)</f>
        <v>0</v>
      </c>
      <c r="N19" s="2740" t="s">
        <v>1676</v>
      </c>
      <c r="O19" s="2739">
        <f>ROUNDDOWN(DATEDIF(E19,G19,"M")/3,0)</f>
        <v>23</v>
      </c>
      <c r="P19" s="1581"/>
      <c r="Q19" s="2878"/>
      <c r="R19" s="2178"/>
      <c r="S19" s="2178"/>
      <c r="T19" s="2178"/>
      <c r="U19" s="2178"/>
      <c r="V19" s="2178"/>
      <c r="W19" s="2178"/>
      <c r="X19" s="2178"/>
      <c r="Y19" s="1398"/>
      <c r="Z19" s="1398"/>
      <c r="AA19" s="1398"/>
      <c r="AB19" s="1398"/>
      <c r="AC19" s="1459"/>
      <c r="AD19" s="1460"/>
      <c r="AE19" s="1464"/>
      <c r="AF19" s="1399"/>
      <c r="AG19" s="1415"/>
      <c r="AH19" s="1415"/>
      <c r="AI19" s="1415"/>
    </row>
    <row r="20" spans="1:40" s="1416" customFormat="1" ht="27.75" thickBot="1">
      <c r="A20" s="2732" t="s">
        <v>1836</v>
      </c>
      <c r="B20" s="2733" t="s">
        <v>971</v>
      </c>
      <c r="C20" s="2734" t="e">
        <f>ROUND(POWER(1+G20,J20-I20)*(POWER(1+G20,I20)-1)/(POWER(1+G20,J20)-1),4)</f>
        <v>#DIV/0!</v>
      </c>
      <c r="D20" s="2735" t="s">
        <v>972</v>
      </c>
      <c r="E20" s="3044">
        <f ca="1">存贷款利率!I4/100</f>
        <v>4.3499999999999997E-2</v>
      </c>
      <c r="F20" s="2735" t="s">
        <v>973</v>
      </c>
      <c r="G20" s="2736">
        <f>SUMIF(M26:P26,E2,M28:P28)</f>
        <v>0</v>
      </c>
      <c r="H20" s="2735" t="s">
        <v>974</v>
      </c>
      <c r="I20" s="2731" t="e">
        <f>SUMIF('数据-取费表'!C6:C15,E2,'数据-取费表'!F6:F15)/COUNTIF('数据-取费表'!C6:C15,E2)</f>
        <v>#DIV/0!</v>
      </c>
      <c r="J20" s="2737">
        <f>IF(E2="住宅",70,IF(E2="商业",40,50))</f>
        <v>50</v>
      </c>
      <c r="K20" s="3148"/>
      <c r="L20" s="2991" t="s">
        <v>2839</v>
      </c>
      <c r="M20" s="3155">
        <f>ROUND(SUMPRODUCT((地价!A4:A28=YEAR(G19)&amp;"-"&amp;ROUNDUP(MONTH(G19)/3,0))*(地价!B2:F2=E2)*(地价!B4:F28)),0)</f>
        <v>0</v>
      </c>
      <c r="N20" s="2743" t="s">
        <v>2643</v>
      </c>
      <c r="O20" s="2741" t="s">
        <v>2642</v>
      </c>
      <c r="P20" s="2742" t="s">
        <v>2647</v>
      </c>
      <c r="Q20" s="2878"/>
      <c r="R20" s="2178"/>
      <c r="S20" s="2178"/>
      <c r="T20" s="2178"/>
      <c r="U20" s="2178"/>
      <c r="V20" s="2178"/>
      <c r="W20" s="2178"/>
      <c r="X20" s="2178"/>
      <c r="Y20" s="1459"/>
      <c r="Z20" s="1459"/>
      <c r="AA20" s="1459"/>
      <c r="AB20" s="1459"/>
      <c r="AC20" s="1459"/>
      <c r="AD20" s="1459"/>
    </row>
    <row r="21" spans="1:40" s="1416" customFormat="1" ht="14.25">
      <c r="A21" s="1626" t="s">
        <v>1837</v>
      </c>
      <c r="B21" s="1467" t="s">
        <v>2758</v>
      </c>
      <c r="C21" s="1152">
        <f>IF(B21="容积率修正",IF(G3&lt;=10,D22,J22),C23)</f>
        <v>0</v>
      </c>
      <c r="D21" s="1468"/>
      <c r="E21" s="1468"/>
      <c r="F21" s="1468"/>
      <c r="G21" s="1468"/>
      <c r="H21" s="1468"/>
      <c r="I21" s="1468"/>
      <c r="J21" s="1469"/>
      <c r="K21" s="3146"/>
      <c r="L21" s="1468"/>
      <c r="M21" s="1468"/>
      <c r="N21" s="1465" t="s">
        <v>975</v>
      </c>
      <c r="O21" s="1528"/>
      <c r="P21" s="2730">
        <f>SUMPRODUCT((地价!A3:A28=YEAR(G19)&amp;"-"&amp;ROUNDUP(MONTH(G19)/3,0))*(地价!AD2:AH2=N21)*(地价!AD3:AH28))</f>
        <v>1.41E-2</v>
      </c>
      <c r="Q21" s="2878"/>
      <c r="R21" s="2178"/>
      <c r="S21" s="2178"/>
      <c r="T21" s="2178"/>
      <c r="U21" s="2178"/>
      <c r="V21" s="2178"/>
      <c r="W21" s="2178"/>
      <c r="X21" s="2178"/>
      <c r="Y21" s="1398"/>
      <c r="Z21" s="1398"/>
      <c r="AA21" s="1398"/>
      <c r="AB21" s="1398"/>
      <c r="AC21" s="1459"/>
      <c r="AD21" s="1459"/>
    </row>
    <row r="22" spans="1:40" s="1416" customFormat="1" ht="14.25">
      <c r="A22" s="1627" t="s">
        <v>1870</v>
      </c>
      <c r="B22" s="1470" t="s">
        <v>976</v>
      </c>
      <c r="C22" s="1054" t="s">
        <v>1702</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977</v>
      </c>
      <c r="J22" s="1054" t="str">
        <f>IF(G3&gt;10,D113,"——")</f>
        <v>——</v>
      </c>
      <c r="K22" s="3149"/>
      <c r="L22" s="1468"/>
      <c r="M22" s="1468"/>
      <c r="N22" s="1465" t="s">
        <v>978</v>
      </c>
      <c r="O22" s="1528"/>
      <c r="P22" s="2730">
        <f>SUMPRODUCT((地价!A3:A28=YEAR(G19)&amp;"-"&amp;ROUNDUP(MONTH(G19)/3,0))*(地价!AD2:AH2=N22)*(地价!AD3:AH28))</f>
        <v>1.41E-2</v>
      </c>
      <c r="Q22" s="2878"/>
      <c r="R22" s="2178"/>
      <c r="S22" s="2178"/>
      <c r="T22" s="2178"/>
      <c r="U22" s="2178"/>
      <c r="V22" s="2178"/>
      <c r="W22" s="2178"/>
      <c r="X22" s="2178"/>
      <c r="Y22" s="1459"/>
      <c r="Z22" s="1459"/>
      <c r="AA22" s="1459"/>
      <c r="AB22" s="1459"/>
      <c r="AC22" s="1459"/>
      <c r="AD22" s="1459"/>
    </row>
    <row r="23" spans="1:40" ht="15.75" thickBot="1">
      <c r="A23" s="1627" t="s">
        <v>1871</v>
      </c>
      <c r="B23" s="1470" t="s">
        <v>979</v>
      </c>
      <c r="C23" s="1055">
        <f>ROUND(IF(G3&gt;1,IF(I3&lt;7,SUMPRODUCT((B93:B98=I3)*(C92:N92=G2)*(C93:N98)),SUMIF(C92:N92,G2,C100:N100)),IF(I3&lt;7,SUMPRODUCT((B102:B107=I3)*(C92:N92=G2)*(C102:N107)),SUMIF(C92:N92,G2,C109:N109))),4)</f>
        <v>0</v>
      </c>
      <c r="D23" s="1516"/>
      <c r="E23" s="1516"/>
      <c r="F23" s="1517"/>
      <c r="G23" s="1518"/>
      <c r="H23" s="1519"/>
      <c r="I23" s="1520"/>
      <c r="J23" s="1520"/>
      <c r="K23" s="3150"/>
      <c r="L23" s="1396"/>
      <c r="M23" s="1396"/>
      <c r="N23" s="1465" t="s">
        <v>923</v>
      </c>
      <c r="O23" s="1528"/>
      <c r="P23" s="2730">
        <f>SUMPRODUCT((地价!A3:A28=YEAR(G19)&amp;"-"&amp;ROUNDUP(MONTH(G19)/3,0))*(地价!AD2:AH2=N23)*(地价!AD3:AH28))</f>
        <v>2.1600000000000001E-2</v>
      </c>
      <c r="Q23" s="2878"/>
      <c r="R23" s="2178"/>
      <c r="S23" s="2178"/>
      <c r="T23" s="2178"/>
      <c r="U23" s="2178"/>
      <c r="V23" s="2178"/>
      <c r="W23" s="2178"/>
      <c r="X23" s="2178"/>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6">
        <f>SUMIF(A44:A87,E2,B44:B87)</f>
        <v>0</v>
      </c>
      <c r="D24" s="1521"/>
      <c r="E24" s="1522"/>
      <c r="F24" s="1522"/>
      <c r="G24" s="1522"/>
      <c r="H24" s="1522"/>
      <c r="I24" s="1522"/>
      <c r="J24" s="1522"/>
      <c r="K24" s="3150"/>
      <c r="L24" s="1468"/>
      <c r="M24" s="1468"/>
      <c r="N24" s="1465" t="s">
        <v>981</v>
      </c>
      <c r="O24" s="3154"/>
      <c r="P24" s="2730">
        <f>SUMPRODUCT((地价!A3:A28=YEAR(G19)&amp;"-"&amp;ROUNDUP(MONTH(G19)/3,0))*(地价!AD2:AH2=N24)*(地价!AD3:AH28))</f>
        <v>1.38E-2</v>
      </c>
      <c r="Q24" s="2878"/>
      <c r="R24" s="2178"/>
      <c r="S24" s="2178"/>
      <c r="T24" s="2178"/>
      <c r="U24" s="2178"/>
      <c r="V24" s="2178"/>
      <c r="W24" s="2178"/>
      <c r="X24" s="2178"/>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8"/>
      <c r="M25" s="2178"/>
      <c r="N25" s="3156" t="s">
        <v>2645</v>
      </c>
      <c r="O25" s="3157"/>
      <c r="P25" s="2409">
        <f>SUMPRODUCT((地价!A3:A28=YEAR(G19)&amp;"-"&amp;ROUNDUP(MONTH(G19)/3,0))*(地价!AD2:AH2=N25)*(地价!AD3:AH28))</f>
        <v>1.9800000000000002E-2</v>
      </c>
      <c r="Q25" s="2878"/>
      <c r="R25" s="2178"/>
      <c r="S25" s="2178"/>
      <c r="T25" s="2178"/>
      <c r="U25" s="2178"/>
      <c r="V25" s="2178"/>
      <c r="W25" s="2178"/>
      <c r="X25" s="2178"/>
      <c r="Y25" s="1398"/>
      <c r="Z25" s="1398"/>
      <c r="AA25" s="1398"/>
      <c r="AB25" s="1398"/>
      <c r="AC25" s="1398"/>
      <c r="AE25" s="1399"/>
      <c r="AF25" s="1399"/>
      <c r="AG25" s="1399"/>
      <c r="AH25" s="1399"/>
      <c r="AI25" s="1400"/>
      <c r="AJ25" s="1400"/>
      <c r="AK25" s="1400"/>
      <c r="AL25" s="1400"/>
      <c r="AM25" s="1400"/>
    </row>
    <row r="26" spans="1:40" ht="14.25">
      <c r="A26" s="1475"/>
      <c r="B26" s="1470" t="s">
        <v>986</v>
      </c>
      <c r="C26" s="1057" t="e">
        <f>E29+SUM(E33:E39)</f>
        <v>#DIV/0!</v>
      </c>
      <c r="D26" s="1476"/>
      <c r="E26" s="1451"/>
      <c r="F26" s="1477"/>
      <c r="G26" s="1451"/>
      <c r="H26" s="1451"/>
      <c r="I26" s="1451"/>
      <c r="J26" s="1478"/>
      <c r="K26" s="1451"/>
      <c r="L26" s="1582" t="s">
        <v>898</v>
      </c>
      <c r="M26" s="1423" t="s">
        <v>983</v>
      </c>
      <c r="N26" s="1423" t="s">
        <v>984</v>
      </c>
      <c r="O26" s="1423" t="s">
        <v>902</v>
      </c>
      <c r="P26" s="1463" t="s">
        <v>985</v>
      </c>
      <c r="Q26" s="2878"/>
      <c r="R26" s="2178"/>
      <c r="S26" s="2178"/>
      <c r="T26" s="2178"/>
      <c r="U26" s="2178"/>
      <c r="V26" s="2178"/>
      <c r="W26" s="2178"/>
      <c r="X26" s="2178"/>
      <c r="Y26" s="1459"/>
      <c r="Z26" s="1459"/>
      <c r="AA26" s="1459"/>
      <c r="AB26" s="1459"/>
      <c r="AC26" s="1398"/>
      <c r="AE26" s="1399"/>
      <c r="AF26" s="1399"/>
      <c r="AG26" s="1399"/>
      <c r="AH26" s="1399"/>
      <c r="AI26" s="1400"/>
      <c r="AJ26" s="1400"/>
      <c r="AK26" s="1400"/>
      <c r="AL26" s="1400"/>
      <c r="AM26" s="1400"/>
    </row>
    <row r="27" spans="1:40" ht="15" thickBot="1">
      <c r="A27" s="1475"/>
      <c r="B27" s="1479" t="s">
        <v>988</v>
      </c>
      <c r="C27" s="1058" t="e">
        <f>E30+SUM(I33:I39)</f>
        <v>#DIV/0!</v>
      </c>
      <c r="D27" s="1480"/>
      <c r="E27" s="1481"/>
      <c r="F27" s="1482"/>
      <c r="G27" s="1481"/>
      <c r="H27" s="1481"/>
      <c r="I27" s="1481"/>
      <c r="J27" s="1483"/>
      <c r="K27" s="1451"/>
      <c r="L27" s="1455" t="s">
        <v>987</v>
      </c>
      <c r="M27" s="1045">
        <v>0.25</v>
      </c>
      <c r="N27" s="1045">
        <v>0.2</v>
      </c>
      <c r="O27" s="1045">
        <v>0.15</v>
      </c>
      <c r="P27" s="1525">
        <v>0.1</v>
      </c>
      <c r="Q27" s="2178"/>
      <c r="R27" s="2878"/>
      <c r="S27" s="2878"/>
      <c r="T27" s="2878"/>
      <c r="U27" s="2878"/>
      <c r="V27" s="2878"/>
      <c r="W27" s="2178"/>
      <c r="X27" s="2178"/>
      <c r="Y27" s="2178"/>
      <c r="Z27" s="2178"/>
      <c r="AA27" s="2178"/>
      <c r="AB27" s="2178"/>
      <c r="AC27" s="2178"/>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8"/>
      <c r="R28" s="2878"/>
      <c r="S28" s="2878"/>
      <c r="T28" s="2878"/>
      <c r="U28" s="2878"/>
      <c r="V28" s="2878"/>
      <c r="W28" s="2178"/>
      <c r="X28" s="2178"/>
      <c r="Y28" s="2178"/>
      <c r="Z28" s="2178"/>
      <c r="AA28" s="2178"/>
      <c r="AB28" s="2178"/>
      <c r="AC28" s="2178"/>
      <c r="AD28" s="1459"/>
      <c r="AE28" s="1459"/>
      <c r="AF28" s="1459"/>
      <c r="AG28" s="1459"/>
    </row>
    <row r="29" spans="1:40" ht="14.25">
      <c r="A29" s="1488"/>
      <c r="B29" s="1489" t="s">
        <v>993</v>
      </c>
      <c r="C29" s="1057" t="e">
        <f>ROUND(C5*C18*C19*C20*C21*C24,0)</f>
        <v>#DIV/0!</v>
      </c>
      <c r="D29" s="1490"/>
      <c r="E29" s="1832" t="e">
        <f>ROUND(C29*D29/10000,0)</f>
        <v>#DIV/0!</v>
      </c>
      <c r="F29" s="1491" t="s">
        <v>1701</v>
      </c>
      <c r="G29" s="1492"/>
      <c r="H29" s="1492"/>
      <c r="I29" s="1492"/>
      <c r="J29" s="1493"/>
      <c r="K29" s="3151"/>
      <c r="L29" s="3151"/>
      <c r="M29" s="3151"/>
      <c r="N29" s="3151"/>
      <c r="O29" s="3151"/>
      <c r="P29" s="1396"/>
      <c r="Q29" s="2178"/>
      <c r="R29" s="2178"/>
      <c r="S29" s="2178"/>
      <c r="T29" s="2178"/>
      <c r="U29" s="2178"/>
      <c r="V29" s="2178"/>
      <c r="W29" s="2878"/>
      <c r="X29" s="2878"/>
      <c r="Y29" s="2878"/>
      <c r="Z29" s="2878"/>
      <c r="AA29" s="2878"/>
      <c r="AB29" s="2178"/>
      <c r="AC29" s="2178"/>
      <c r="AD29" s="2178"/>
      <c r="AE29" s="2178"/>
      <c r="AF29" s="2178"/>
      <c r="AG29" s="2178"/>
      <c r="AH29" s="2178"/>
      <c r="AJ29" s="1398"/>
      <c r="AK29" s="1398"/>
      <c r="AL29" s="1398"/>
      <c r="AM29" s="1397"/>
      <c r="AN29" s="1397"/>
    </row>
    <row r="30" spans="1:40" ht="24.75" thickBot="1">
      <c r="A30" s="1494"/>
      <c r="B30" s="1495" t="s">
        <v>994</v>
      </c>
      <c r="C30" s="1049" t="e">
        <f>ROUND(IF(E2="工业",C29*M39,C29*M38),0)</f>
        <v>#DIV/0!</v>
      </c>
      <c r="D30" s="1496"/>
      <c r="E30" s="1832" t="e">
        <f>ROUND(C30*D30/10000,0)</f>
        <v>#DIV/0!</v>
      </c>
      <c r="F30" s="1497" t="s">
        <v>995</v>
      </c>
      <c r="G30" s="1498"/>
      <c r="H30" s="1498"/>
      <c r="I30" s="1498"/>
      <c r="J30" s="1499"/>
      <c r="K30" s="1451"/>
      <c r="L30" s="1451"/>
      <c r="M30" s="1451"/>
      <c r="N30" s="1451"/>
      <c r="O30" s="1451"/>
      <c r="P30" s="1396"/>
      <c r="Q30" s="2172"/>
      <c r="R30" s="2172"/>
      <c r="S30" s="2172"/>
      <c r="T30" s="2172"/>
      <c r="U30" s="2172"/>
      <c r="V30" s="2172"/>
      <c r="W30" s="2173"/>
      <c r="X30" s="2173"/>
      <c r="Y30" s="2173"/>
      <c r="Z30" s="2173"/>
      <c r="AA30" s="2173"/>
      <c r="AB30" s="2172"/>
      <c r="AC30" s="2172"/>
      <c r="AD30" s="2172"/>
      <c r="AE30" s="2172"/>
      <c r="AF30" s="2172"/>
      <c r="AG30" s="2172"/>
      <c r="AH30" s="2172"/>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2"/>
      <c r="R31" s="2172"/>
      <c r="S31" s="2172"/>
      <c r="T31" s="2172"/>
      <c r="U31" s="2172"/>
      <c r="V31" s="2172"/>
      <c r="W31" s="2173"/>
      <c r="X31" s="2173"/>
      <c r="Y31" s="2173"/>
      <c r="Z31" s="2173"/>
      <c r="AA31" s="2173"/>
      <c r="AB31" s="2172"/>
      <c r="AC31" s="2172"/>
      <c r="AD31" s="2172"/>
      <c r="AE31" s="2172"/>
      <c r="AF31" s="2172"/>
      <c r="AG31" s="2172"/>
      <c r="AH31" s="2172"/>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2"/>
      <c r="L32" s="3152"/>
      <c r="M32" s="3152"/>
      <c r="N32" s="3152"/>
      <c r="O32" s="3152"/>
      <c r="P32" s="1396"/>
      <c r="Q32" s="2172"/>
      <c r="R32" s="2172"/>
      <c r="S32" s="2172"/>
      <c r="T32" s="2172"/>
      <c r="U32" s="2172"/>
      <c r="V32" s="2172"/>
      <c r="W32" s="2173"/>
      <c r="X32" s="2173"/>
      <c r="Y32" s="2173"/>
      <c r="Z32" s="2173"/>
      <c r="AA32" s="2173"/>
      <c r="AB32" s="2172"/>
      <c r="AC32" s="2172"/>
      <c r="AD32" s="2172"/>
      <c r="AE32" s="2172"/>
      <c r="AF32" s="2172"/>
      <c r="AG32" s="2172"/>
      <c r="AH32" s="2172"/>
      <c r="AI32" s="1397"/>
      <c r="AJ32" s="1397"/>
      <c r="AK32" s="1397"/>
      <c r="AL32" s="1397"/>
      <c r="AM32" s="1397"/>
      <c r="AN32" s="1397"/>
    </row>
    <row r="33" spans="1:44" ht="12.75">
      <c r="A33" s="3512" t="s">
        <v>2957</v>
      </c>
      <c r="B33" s="1510" t="s">
        <v>999</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53"/>
      <c r="L33" s="3153"/>
      <c r="M33" s="3153"/>
      <c r="N33" s="3153"/>
      <c r="O33" s="3153"/>
      <c r="P33" s="1396"/>
      <c r="Q33" s="2172"/>
      <c r="R33" s="2172"/>
      <c r="S33" s="2172"/>
      <c r="T33" s="2172"/>
      <c r="U33" s="2172"/>
      <c r="V33" s="2172"/>
      <c r="W33" s="2173"/>
      <c r="X33" s="2173"/>
      <c r="Y33" s="2173"/>
      <c r="Z33" s="2173"/>
      <c r="AA33" s="2173"/>
      <c r="AB33" s="2172"/>
      <c r="AC33" s="2172"/>
      <c r="AD33" s="2172"/>
      <c r="AE33" s="2172"/>
      <c r="AF33" s="2172"/>
      <c r="AG33" s="2172"/>
      <c r="AH33" s="2173"/>
      <c r="AJ33" s="1398"/>
      <c r="AK33" s="1398"/>
      <c r="AL33" s="1398"/>
      <c r="AM33" s="1398"/>
      <c r="AN33" s="1398"/>
      <c r="AO33" s="1399"/>
      <c r="AP33" s="1399"/>
      <c r="AQ33" s="1399"/>
      <c r="AR33" s="1399"/>
    </row>
    <row r="34" spans="1:44" ht="12.75">
      <c r="A34" s="3513"/>
      <c r="B34" s="1440" t="s">
        <v>1000</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53"/>
      <c r="L34" s="3153"/>
      <c r="M34" s="3153"/>
      <c r="N34" s="3153"/>
      <c r="O34" s="3153"/>
      <c r="P34" s="1396"/>
      <c r="Q34" s="2172"/>
      <c r="R34" s="2172"/>
      <c r="S34" s="2172"/>
      <c r="T34" s="2172"/>
      <c r="U34" s="2172"/>
      <c r="V34" s="2172"/>
      <c r="W34" s="2173"/>
      <c r="X34" s="2173"/>
      <c r="Y34" s="2173"/>
      <c r="Z34" s="2173"/>
      <c r="AA34" s="2173"/>
      <c r="AB34" s="2172"/>
      <c r="AC34" s="2172"/>
      <c r="AD34" s="2172"/>
      <c r="AE34" s="2172"/>
      <c r="AF34" s="2172"/>
      <c r="AG34" s="2172"/>
      <c r="AH34" s="2173"/>
      <c r="AJ34" s="1398"/>
      <c r="AK34" s="1398"/>
      <c r="AL34" s="1398"/>
      <c r="AM34" s="1398"/>
      <c r="AN34" s="1398"/>
      <c r="AO34" s="1399"/>
      <c r="AP34" s="1399"/>
      <c r="AQ34" s="1399"/>
      <c r="AR34" s="1399"/>
    </row>
    <row r="35" spans="1:44" ht="12.75">
      <c r="A35" s="3513"/>
      <c r="B35" s="1440" t="s">
        <v>1001</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53"/>
      <c r="L35" s="3153"/>
      <c r="M35" s="3153"/>
      <c r="N35" s="3153"/>
      <c r="O35" s="3153"/>
      <c r="P35" s="1396"/>
      <c r="Q35" s="2172"/>
      <c r="R35" s="2172"/>
      <c r="S35" s="2172"/>
      <c r="T35" s="2172"/>
      <c r="U35" s="2172"/>
      <c r="V35" s="2172"/>
      <c r="W35" s="2173"/>
      <c r="X35" s="2173"/>
      <c r="Y35" s="2173"/>
      <c r="Z35" s="2173"/>
      <c r="AA35" s="2173"/>
      <c r="AB35" s="2172"/>
      <c r="AC35" s="2172"/>
      <c r="AD35" s="2172"/>
      <c r="AE35" s="2172"/>
      <c r="AF35" s="2172"/>
      <c r="AG35" s="2172"/>
      <c r="AH35" s="2173"/>
      <c r="AJ35" s="1398"/>
      <c r="AK35" s="1398"/>
      <c r="AL35" s="1398"/>
      <c r="AM35" s="1398"/>
      <c r="AN35" s="1398"/>
      <c r="AO35" s="1399"/>
      <c r="AP35" s="1399"/>
      <c r="AQ35" s="1399"/>
      <c r="AR35" s="1399"/>
    </row>
    <row r="36" spans="1:44" ht="13.5" thickBot="1">
      <c r="A36" s="3514"/>
      <c r="B36" s="1440" t="s">
        <v>1002</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53"/>
      <c r="L36" s="3153"/>
      <c r="M36" s="3153"/>
      <c r="N36" s="3153"/>
      <c r="O36" s="3153"/>
      <c r="P36" s="1396"/>
      <c r="Q36" s="2172"/>
      <c r="R36" s="2172"/>
      <c r="S36" s="2172"/>
      <c r="T36" s="2172"/>
      <c r="U36" s="2172"/>
      <c r="V36" s="2172"/>
      <c r="W36" s="2173"/>
      <c r="X36" s="2173"/>
      <c r="Y36" s="2173"/>
      <c r="Z36" s="2173"/>
      <c r="AA36" s="2173"/>
      <c r="AB36" s="2172"/>
      <c r="AC36" s="2172"/>
      <c r="AD36" s="2172"/>
      <c r="AE36" s="2172"/>
      <c r="AF36" s="2172"/>
      <c r="AG36" s="2172"/>
      <c r="AH36" s="2173"/>
      <c r="AJ36" s="1398"/>
      <c r="AK36" s="1398"/>
      <c r="AL36" s="1398"/>
      <c r="AM36" s="1398"/>
      <c r="AN36" s="1398"/>
      <c r="AO36" s="1399"/>
      <c r="AP36" s="1399"/>
      <c r="AQ36" s="1399"/>
      <c r="AR36" s="1399"/>
    </row>
    <row r="37" spans="1:44" ht="12.75">
      <c r="A37" s="1509"/>
      <c r="B37" s="1440" t="s">
        <v>1003</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1703</v>
      </c>
      <c r="M37" s="1530"/>
      <c r="N37" s="2172"/>
      <c r="O37" s="2172"/>
      <c r="P37" s="2172"/>
      <c r="Q37" s="2172"/>
      <c r="R37" s="2173"/>
      <c r="S37" s="2173"/>
      <c r="T37" s="2173"/>
      <c r="U37" s="2173"/>
      <c r="V37" s="2173"/>
      <c r="W37" s="2172"/>
      <c r="X37" s="2172"/>
      <c r="Y37" s="2172"/>
      <c r="Z37" s="2172"/>
      <c r="AA37" s="2172"/>
      <c r="AB37" s="2172"/>
      <c r="AC37" s="2173"/>
    </row>
    <row r="38" spans="1:44" ht="12.75">
      <c r="A38" s="1509"/>
      <c r="B38" s="1440" t="s">
        <v>1004</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1705</v>
      </c>
      <c r="M38" s="1532">
        <v>0.25</v>
      </c>
      <c r="N38" s="2172"/>
      <c r="O38" s="2172"/>
      <c r="P38" s="2172"/>
      <c r="Q38" s="2172"/>
      <c r="R38" s="2173"/>
      <c r="S38" s="2173"/>
      <c r="T38" s="2173"/>
      <c r="U38" s="2173"/>
      <c r="V38" s="2173"/>
      <c r="W38" s="2172"/>
      <c r="X38" s="2172"/>
      <c r="Y38" s="2172"/>
      <c r="Z38" s="2172"/>
      <c r="AA38" s="2172"/>
      <c r="AB38" s="2172"/>
      <c r="AC38" s="2173"/>
    </row>
    <row r="39" spans="1:44" ht="13.5" thickBot="1">
      <c r="A39" s="1494"/>
      <c r="B39" s="1512" t="s">
        <v>1005</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1704</v>
      </c>
      <c r="M39" s="1534">
        <v>0.15</v>
      </c>
      <c r="N39" s="2172"/>
      <c r="O39" s="2172"/>
      <c r="P39" s="2172"/>
      <c r="Q39" s="2172"/>
      <c r="R39" s="2173"/>
      <c r="S39" s="2173"/>
      <c r="T39" s="2173"/>
      <c r="U39" s="2173"/>
      <c r="V39" s="2173"/>
      <c r="W39" s="2172"/>
      <c r="X39" s="2172"/>
      <c r="Y39" s="2172"/>
      <c r="Z39" s="2172"/>
      <c r="AA39" s="2172"/>
      <c r="AB39" s="2172"/>
      <c r="AC39" s="2173"/>
    </row>
    <row r="40" spans="1:44" s="1397"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8"/>
      <c r="AE40" s="1398"/>
      <c r="AF40" s="1398"/>
      <c r="AG40" s="1398"/>
      <c r="AH40" s="1398"/>
      <c r="AI40" s="1398"/>
      <c r="AJ40" s="1398"/>
      <c r="AK40" s="1398"/>
      <c r="AL40" s="1398"/>
      <c r="AM40" s="1398"/>
    </row>
    <row r="41" spans="1:44" s="1397" customFormat="1" ht="12.75">
      <c r="A41" s="1398"/>
      <c r="B41" s="3144" t="s">
        <v>2984</v>
      </c>
      <c r="C41" s="838" t="e">
        <f>ROUND(POWER(1+E41,H41-G41)*(POWER(1+E41,G41)-1)/(POWER(1+E41,H41)-1),4)</f>
        <v>#DIV/0!</v>
      </c>
      <c r="D41" s="377" t="s">
        <v>2982</v>
      </c>
      <c r="E41" s="3143">
        <f>G20</f>
        <v>0</v>
      </c>
      <c r="F41" s="377" t="s">
        <v>2983</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8"/>
      <c r="AE41" s="1398"/>
      <c r="AF41" s="1398"/>
      <c r="AG41" s="1398"/>
      <c r="AH41" s="1398"/>
      <c r="AI41" s="1398"/>
      <c r="AJ41" s="1398"/>
      <c r="AK41" s="1398"/>
      <c r="AL41" s="1398"/>
      <c r="AM41" s="1398"/>
    </row>
    <row r="42" spans="1:44" s="1397" customFormat="1">
      <c r="A42" s="1398"/>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8"/>
      <c r="AE42" s="1398"/>
      <c r="AF42" s="1398"/>
      <c r="AG42" s="1398"/>
      <c r="AH42" s="1398"/>
      <c r="AI42" s="1398"/>
      <c r="AJ42" s="1398"/>
      <c r="AK42" s="1398"/>
      <c r="AL42" s="1398"/>
      <c r="AM42" s="1398"/>
    </row>
    <row r="43" spans="1:44" s="1397" customFormat="1">
      <c r="A43" s="1398"/>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8"/>
      <c r="AE43" s="1398"/>
      <c r="AF43" s="1398"/>
      <c r="AG43" s="1398"/>
      <c r="AH43" s="1398"/>
      <c r="AI43" s="1398"/>
      <c r="AJ43" s="1398"/>
      <c r="AK43" s="1398"/>
      <c r="AL43" s="1398"/>
      <c r="AM43" s="1398"/>
    </row>
    <row r="44" spans="1:44" s="1397"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8"/>
      <c r="AE44" s="1398"/>
      <c r="AF44" s="1398"/>
      <c r="AG44" s="1398"/>
      <c r="AH44" s="1398"/>
      <c r="AI44" s="1398"/>
      <c r="AJ44" s="1398"/>
      <c r="AK44" s="1398"/>
      <c r="AL44" s="1398"/>
      <c r="AM44" s="1398"/>
    </row>
    <row r="45" spans="1:44" s="1397"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8"/>
      <c r="AE45" s="1398"/>
      <c r="AF45" s="1398"/>
      <c r="AG45" s="1398"/>
      <c r="AH45" s="1398"/>
      <c r="AI45" s="1398"/>
      <c r="AJ45" s="1398"/>
      <c r="AK45" s="1398"/>
      <c r="AL45" s="1398"/>
      <c r="AM45" s="1398"/>
    </row>
    <row r="46" spans="1:44" s="1397" customFormat="1" ht="24">
      <c r="A46" s="1061" t="s">
        <v>1008</v>
      </c>
      <c r="B46" s="2370" t="s">
        <v>1009</v>
      </c>
      <c r="C46" s="2392" t="s">
        <v>1010</v>
      </c>
      <c r="D46" s="2393" t="s">
        <v>1011</v>
      </c>
      <c r="E46" s="2394" t="s">
        <v>1013</v>
      </c>
      <c r="F46" s="2395" t="s">
        <v>2249</v>
      </c>
      <c r="G46" s="2393" t="s">
        <v>1014</v>
      </c>
      <c r="H46" s="2376" t="s">
        <v>2416</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8"/>
      <c r="AF46" s="1398"/>
      <c r="AG46" s="1398"/>
      <c r="AH46" s="1398"/>
      <c r="AI46" s="1398"/>
      <c r="AJ46" s="1398"/>
      <c r="AK46" s="1398"/>
      <c r="AL46" s="1398"/>
      <c r="AM46" s="1398"/>
      <c r="AN46" s="1398"/>
    </row>
    <row r="47" spans="1:44" s="1397" customFormat="1" ht="36">
      <c r="A47" s="1061" t="s">
        <v>1020</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8"/>
      <c r="AF47" s="1398"/>
      <c r="AG47" s="1398"/>
      <c r="AH47" s="1398"/>
      <c r="AI47" s="1398"/>
      <c r="AJ47" s="1398"/>
      <c r="AK47" s="1398"/>
      <c r="AL47" s="1398"/>
      <c r="AM47" s="1398"/>
      <c r="AN47" s="1398"/>
    </row>
    <row r="48" spans="1:44" s="1397" customFormat="1" ht="48">
      <c r="A48" s="1061" t="s">
        <v>1021</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8"/>
      <c r="AF48" s="1398"/>
      <c r="AG48" s="1398"/>
      <c r="AH48" s="1398"/>
      <c r="AI48" s="1398"/>
      <c r="AJ48" s="1398"/>
      <c r="AK48" s="1398"/>
      <c r="AL48" s="1398"/>
      <c r="AM48" s="1398"/>
      <c r="AN48" s="1398"/>
    </row>
    <row r="49" spans="1:40" s="1397"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8"/>
      <c r="AF49" s="1398"/>
      <c r="AG49" s="1398"/>
      <c r="AH49" s="1398"/>
      <c r="AI49" s="1398"/>
      <c r="AJ49" s="1398"/>
      <c r="AK49" s="1398"/>
      <c r="AL49" s="1398"/>
      <c r="AM49" s="1398"/>
      <c r="AN49" s="1398"/>
    </row>
    <row r="50" spans="1:40" s="1397" customFormat="1" ht="36">
      <c r="A50" s="1061" t="s">
        <v>1023</v>
      </c>
      <c r="B50" s="3046" t="s">
        <v>2934</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8"/>
      <c r="AF50" s="1398"/>
      <c r="AG50" s="1398"/>
      <c r="AH50" s="1398"/>
      <c r="AI50" s="1398"/>
      <c r="AJ50" s="1398"/>
      <c r="AK50" s="1398"/>
      <c r="AL50" s="1398"/>
      <c r="AM50" s="1398"/>
      <c r="AN50" s="1398"/>
    </row>
    <row r="51" spans="1:40" s="1397"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8"/>
      <c r="AF51" s="1398"/>
      <c r="AG51" s="1398"/>
      <c r="AH51" s="1398"/>
      <c r="AI51" s="1398"/>
      <c r="AJ51" s="1398"/>
      <c r="AK51" s="1398"/>
      <c r="AL51" s="1398"/>
      <c r="AM51" s="1398"/>
      <c r="AN51" s="1398"/>
    </row>
    <row r="52" spans="1:40" s="1397" customFormat="1" ht="24">
      <c r="A52" s="1061" t="s">
        <v>1025</v>
      </c>
      <c r="B52" s="3045" t="s">
        <v>2933</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8"/>
      <c r="AF52" s="1398"/>
      <c r="AG52" s="1398"/>
      <c r="AH52" s="1398"/>
      <c r="AI52" s="1398"/>
      <c r="AJ52" s="1398"/>
      <c r="AK52" s="1398"/>
      <c r="AL52" s="1398"/>
      <c r="AM52" s="1398"/>
      <c r="AN52" s="1398"/>
    </row>
    <row r="53" spans="1:40" s="1397" customFormat="1" ht="24">
      <c r="A53" s="2402" t="s">
        <v>1026</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8"/>
      <c r="AF53" s="1398"/>
      <c r="AG53" s="1398"/>
      <c r="AH53" s="1398"/>
      <c r="AI53" s="1398"/>
      <c r="AJ53" s="1398"/>
      <c r="AK53" s="1398"/>
      <c r="AL53" s="1398"/>
      <c r="AM53" s="1398"/>
      <c r="AN53" s="1398"/>
    </row>
    <row r="54" spans="1:40" s="1397" customFormat="1" ht="24">
      <c r="A54" s="2402" t="s">
        <v>1027</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8"/>
      <c r="AF54" s="1398"/>
      <c r="AG54" s="1398"/>
      <c r="AH54" s="1398"/>
      <c r="AI54" s="1398"/>
      <c r="AJ54" s="1398"/>
      <c r="AK54" s="1398"/>
      <c r="AL54" s="1398"/>
      <c r="AM54" s="1398"/>
      <c r="AN54" s="1398"/>
    </row>
    <row r="55" spans="1:40" s="1397" customFormat="1" ht="24.75" thickBot="1">
      <c r="A55" s="2403" t="s">
        <v>1028</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8"/>
      <c r="AF55" s="1398"/>
      <c r="AG55" s="1398"/>
      <c r="AH55" s="1398"/>
      <c r="AI55" s="1398"/>
      <c r="AJ55" s="1398"/>
      <c r="AK55" s="1398"/>
      <c r="AL55" s="1398"/>
      <c r="AM55" s="1398"/>
      <c r="AN55" s="1398"/>
    </row>
    <row r="56" spans="1:40" s="1397"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8"/>
      <c r="AF56" s="1398"/>
      <c r="AG56" s="1398"/>
      <c r="AH56" s="1398"/>
      <c r="AI56" s="1398"/>
      <c r="AJ56" s="1398"/>
      <c r="AK56" s="1398"/>
      <c r="AL56" s="1398"/>
      <c r="AM56" s="1398"/>
      <c r="AN56" s="1398"/>
    </row>
    <row r="57" spans="1:40" s="1397" customFormat="1" ht="24">
      <c r="A57" s="1061" t="s">
        <v>1008</v>
      </c>
      <c r="B57" s="2370"/>
      <c r="C57" s="2392" t="s">
        <v>1010</v>
      </c>
      <c r="D57" s="2393" t="s">
        <v>1011</v>
      </c>
      <c r="E57" s="2394" t="s">
        <v>1013</v>
      </c>
      <c r="F57" s="2395" t="s">
        <v>2250</v>
      </c>
      <c r="G57" s="2393" t="s">
        <v>1014</v>
      </c>
      <c r="H57" s="2376" t="s">
        <v>2416</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8"/>
      <c r="AF57" s="1398"/>
      <c r="AG57" s="1398"/>
      <c r="AH57" s="1398"/>
      <c r="AI57" s="1398"/>
      <c r="AJ57" s="1398"/>
      <c r="AK57" s="1398"/>
      <c r="AL57" s="1398"/>
      <c r="AM57" s="1398"/>
      <c r="AN57" s="1398"/>
    </row>
    <row r="58" spans="1:40" s="1397" customFormat="1" ht="36">
      <c r="A58" s="1061" t="s">
        <v>1030</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8"/>
      <c r="AF58" s="1398"/>
      <c r="AG58" s="1398"/>
      <c r="AH58" s="1398"/>
      <c r="AI58" s="1398"/>
      <c r="AJ58" s="1398"/>
      <c r="AK58" s="1398"/>
      <c r="AL58" s="1398"/>
      <c r="AM58" s="1398"/>
      <c r="AN58" s="1398"/>
    </row>
    <row r="59" spans="1:40" s="1397" customFormat="1" ht="48">
      <c r="A59" s="1061" t="s">
        <v>1021</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8"/>
      <c r="AF59" s="1398"/>
      <c r="AG59" s="1398"/>
      <c r="AH59" s="1398"/>
      <c r="AI59" s="1398"/>
      <c r="AJ59" s="1398"/>
      <c r="AK59" s="1398"/>
      <c r="AL59" s="1398"/>
      <c r="AM59" s="1398"/>
      <c r="AN59" s="1398"/>
    </row>
    <row r="60" spans="1:40" s="1397"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8"/>
      <c r="AF60" s="1398"/>
      <c r="AG60" s="1398"/>
      <c r="AH60" s="1398"/>
      <c r="AI60" s="1398"/>
      <c r="AJ60" s="1398"/>
      <c r="AK60" s="1398"/>
      <c r="AL60" s="1398"/>
      <c r="AM60" s="1398"/>
      <c r="AN60" s="1398"/>
    </row>
    <row r="61" spans="1:40" s="1397" customFormat="1" ht="36">
      <c r="A61" s="1061" t="s">
        <v>1023</v>
      </c>
      <c r="B61" s="3046" t="s">
        <v>2935</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8"/>
      <c r="AF61" s="1398"/>
      <c r="AG61" s="1398"/>
      <c r="AH61" s="1398"/>
      <c r="AI61" s="1398"/>
      <c r="AJ61" s="1398"/>
      <c r="AK61" s="1398"/>
      <c r="AL61" s="1398"/>
      <c r="AM61" s="1398"/>
      <c r="AN61" s="1398"/>
    </row>
    <row r="62" spans="1:40" s="1397"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8"/>
      <c r="AF62" s="1398"/>
      <c r="AG62" s="1398"/>
      <c r="AH62" s="1398"/>
      <c r="AI62" s="1398"/>
      <c r="AJ62" s="1398"/>
      <c r="AK62" s="1398"/>
      <c r="AL62" s="1398"/>
      <c r="AM62" s="1398"/>
      <c r="AN62" s="1398"/>
    </row>
    <row r="63" spans="1:40" s="1397" customFormat="1" ht="24">
      <c r="A63" s="1061" t="s">
        <v>1025</v>
      </c>
      <c r="B63" s="3045" t="s">
        <v>2933</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8"/>
      <c r="AF63" s="1398"/>
      <c r="AG63" s="1398"/>
      <c r="AH63" s="1398"/>
      <c r="AI63" s="1398"/>
      <c r="AJ63" s="1398"/>
      <c r="AK63" s="1398"/>
      <c r="AL63" s="1398"/>
      <c r="AM63" s="1398"/>
      <c r="AN63" s="1398"/>
    </row>
    <row r="64" spans="1:40" s="1397" customFormat="1" ht="24">
      <c r="A64" s="1061" t="s">
        <v>1026</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8"/>
      <c r="AF64" s="1398"/>
      <c r="AG64" s="1398"/>
      <c r="AH64" s="1398"/>
      <c r="AI64" s="1398"/>
      <c r="AJ64" s="1398"/>
      <c r="AK64" s="1398"/>
      <c r="AL64" s="1398"/>
      <c r="AM64" s="1398"/>
      <c r="AN64" s="1398"/>
    </row>
    <row r="65" spans="1:40" s="1397" customFormat="1" ht="24">
      <c r="A65" s="1061" t="s">
        <v>1027</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8"/>
      <c r="AF65" s="1398"/>
      <c r="AG65" s="1398"/>
      <c r="AH65" s="1398"/>
      <c r="AI65" s="1398"/>
      <c r="AJ65" s="1398"/>
      <c r="AK65" s="1398"/>
      <c r="AL65" s="1398"/>
      <c r="AM65" s="1398"/>
      <c r="AN65" s="1398"/>
    </row>
    <row r="66" spans="1:40" s="1397" customFormat="1" ht="24.75" thickBot="1">
      <c r="A66" s="2403" t="s">
        <v>1028</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8"/>
      <c r="AF66" s="1398"/>
      <c r="AG66" s="1398"/>
      <c r="AH66" s="1398"/>
      <c r="AI66" s="1398"/>
      <c r="AJ66" s="1398"/>
      <c r="AK66" s="1398"/>
      <c r="AL66" s="1398"/>
      <c r="AM66" s="1398"/>
      <c r="AN66" s="1398"/>
    </row>
    <row r="67" spans="1:40" s="1397"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8"/>
      <c r="AF67" s="1398"/>
      <c r="AG67" s="1398"/>
      <c r="AH67" s="1398"/>
      <c r="AI67" s="1398"/>
      <c r="AJ67" s="1398"/>
      <c r="AK67" s="1398"/>
      <c r="AL67" s="1398"/>
      <c r="AM67" s="1398"/>
      <c r="AN67" s="1398"/>
    </row>
    <row r="68" spans="1:40" s="1397" customFormat="1" ht="24">
      <c r="A68" s="1061" t="s">
        <v>1008</v>
      </c>
      <c r="B68" s="2370"/>
      <c r="C68" s="2392" t="s">
        <v>1010</v>
      </c>
      <c r="D68" s="2393" t="s">
        <v>1011</v>
      </c>
      <c r="E68" s="2394" t="s">
        <v>1013</v>
      </c>
      <c r="F68" s="2395" t="s">
        <v>2251</v>
      </c>
      <c r="G68" s="2393" t="s">
        <v>1014</v>
      </c>
      <c r="H68" s="2376" t="s">
        <v>2416</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8"/>
      <c r="AF68" s="1398"/>
      <c r="AG68" s="1398"/>
      <c r="AH68" s="1398"/>
      <c r="AI68" s="1398"/>
      <c r="AJ68" s="1398"/>
      <c r="AK68" s="1398"/>
      <c r="AL68" s="1398"/>
      <c r="AM68" s="1398"/>
      <c r="AN68" s="1398"/>
    </row>
    <row r="69" spans="1:40" s="1397" customFormat="1" ht="48">
      <c r="A69" s="1061" t="s">
        <v>1032</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8"/>
      <c r="AF69" s="1398"/>
      <c r="AG69" s="1398"/>
      <c r="AH69" s="1398"/>
      <c r="AI69" s="1398"/>
      <c r="AJ69" s="1398"/>
      <c r="AK69" s="1398"/>
      <c r="AL69" s="1398"/>
      <c r="AM69" s="1398"/>
      <c r="AN69" s="1398"/>
    </row>
    <row r="70" spans="1:40" s="1397" customFormat="1" ht="48">
      <c r="A70" s="1061" t="s">
        <v>1033</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8"/>
      <c r="AF70" s="1398"/>
      <c r="AG70" s="1398"/>
      <c r="AH70" s="1398"/>
      <c r="AI70" s="1398"/>
      <c r="AJ70" s="1398"/>
      <c r="AK70" s="1398"/>
      <c r="AL70" s="1398"/>
      <c r="AM70" s="1398"/>
      <c r="AN70" s="1398"/>
    </row>
    <row r="71" spans="1:40" s="1397" customFormat="1" ht="24">
      <c r="A71" s="1061" t="s">
        <v>1022</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8"/>
      <c r="AF71" s="1398"/>
      <c r="AG71" s="1398"/>
      <c r="AH71" s="1398"/>
      <c r="AI71" s="1398"/>
      <c r="AJ71" s="1398"/>
      <c r="AK71" s="1398"/>
      <c r="AL71" s="1398"/>
      <c r="AM71" s="1398"/>
      <c r="AN71" s="1398"/>
    </row>
    <row r="72" spans="1:40" s="1397" customFormat="1" ht="14.25">
      <c r="A72" s="1061" t="s">
        <v>1034</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8"/>
      <c r="AF72" s="1398"/>
      <c r="AG72" s="1398"/>
      <c r="AH72" s="1398"/>
      <c r="AI72" s="1398"/>
      <c r="AJ72" s="1398"/>
      <c r="AK72" s="1398"/>
      <c r="AL72" s="1398"/>
      <c r="AM72" s="1398"/>
      <c r="AN72" s="1398"/>
    </row>
    <row r="73" spans="1:40" s="1397" customFormat="1" ht="24">
      <c r="A73" s="1061" t="s">
        <v>1026</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8"/>
      <c r="AF73" s="1398"/>
      <c r="AG73" s="1398"/>
      <c r="AH73" s="1398"/>
      <c r="AI73" s="1398"/>
      <c r="AJ73" s="1398"/>
      <c r="AK73" s="1398"/>
      <c r="AL73" s="1398"/>
      <c r="AM73" s="1398"/>
      <c r="AN73" s="1398"/>
    </row>
    <row r="74" spans="1:40" s="1397" customFormat="1" ht="24">
      <c r="A74" s="1061" t="s">
        <v>1027</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8"/>
      <c r="AF74" s="1398"/>
      <c r="AG74" s="1398"/>
      <c r="AH74" s="1398"/>
      <c r="AI74" s="1398"/>
      <c r="AJ74" s="1398"/>
      <c r="AK74" s="1398"/>
      <c r="AL74" s="1398"/>
      <c r="AM74" s="1398"/>
      <c r="AN74" s="1398"/>
    </row>
    <row r="75" spans="1:40" s="1397" customFormat="1" ht="24">
      <c r="A75" s="1061" t="s">
        <v>1025</v>
      </c>
      <c r="B75" s="3045" t="s">
        <v>2933</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8"/>
      <c r="AF75" s="1398"/>
      <c r="AG75" s="1398"/>
      <c r="AH75" s="1398"/>
      <c r="AI75" s="1398"/>
      <c r="AJ75" s="1398"/>
      <c r="AK75" s="1398"/>
      <c r="AL75" s="1398"/>
      <c r="AM75" s="1398"/>
      <c r="AN75" s="1398"/>
    </row>
    <row r="76" spans="1:40" ht="24">
      <c r="A76" s="1061" t="s">
        <v>1028</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8"/>
      <c r="AN76" s="1399"/>
    </row>
    <row r="77" spans="1:40" ht="24.75" thickBot="1">
      <c r="A77" s="2403" t="s">
        <v>1035</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0"/>
      <c r="AD77" s="1399"/>
      <c r="AJ77" s="1398"/>
      <c r="AN77" s="1399"/>
    </row>
    <row r="78" spans="1:40" ht="15">
      <c r="A78" s="2386" t="s">
        <v>1036</v>
      </c>
      <c r="B78" s="2387">
        <f>1+E80</f>
        <v>1</v>
      </c>
      <c r="C78" s="2406"/>
      <c r="D78" s="2389"/>
      <c r="E78" s="2390"/>
      <c r="F78" s="2391"/>
      <c r="G78" s="2385"/>
      <c r="H78" s="2385"/>
      <c r="I78" s="2385"/>
      <c r="J78" s="1060"/>
      <c r="K78" s="1060"/>
      <c r="L78" s="1060"/>
      <c r="M78" s="1060"/>
      <c r="N78" s="1060"/>
      <c r="AC78" s="1400"/>
      <c r="AD78" s="1399"/>
      <c r="AJ78" s="1398"/>
      <c r="AN78" s="1399"/>
    </row>
    <row r="79" spans="1:40" ht="24">
      <c r="A79" s="1061" t="s">
        <v>1008</v>
      </c>
      <c r="B79" s="2370"/>
      <c r="C79" s="2392" t="s">
        <v>1010</v>
      </c>
      <c r="D79" s="2393" t="s">
        <v>1011</v>
      </c>
      <c r="E79" s="2394" t="s">
        <v>1013</v>
      </c>
      <c r="F79" s="2395" t="s">
        <v>2252</v>
      </c>
      <c r="G79" s="2393" t="s">
        <v>1014</v>
      </c>
      <c r="H79" s="2376" t="s">
        <v>2416</v>
      </c>
      <c r="I79" s="2393" t="s">
        <v>1012</v>
      </c>
      <c r="J79" s="2396" t="s">
        <v>1015</v>
      </c>
      <c r="K79" s="2396" t="s">
        <v>1016</v>
      </c>
      <c r="L79" s="2396" t="s">
        <v>1017</v>
      </c>
      <c r="M79" s="2396" t="s">
        <v>1018</v>
      </c>
      <c r="N79" s="2396" t="s">
        <v>1019</v>
      </c>
      <c r="AC79" s="1400"/>
      <c r="AD79" s="1399"/>
      <c r="AJ79" s="1398"/>
      <c r="AN79" s="1399"/>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0"/>
      <c r="AD80" s="1399"/>
      <c r="AJ80" s="1398"/>
      <c r="AN80" s="1399"/>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0"/>
      <c r="AD81" s="1399"/>
      <c r="AJ81" s="1398"/>
      <c r="AN81" s="1399"/>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0"/>
      <c r="AD82" s="1399"/>
      <c r="AJ82" s="1398"/>
      <c r="AN82" s="1399"/>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0"/>
      <c r="AD83" s="1399"/>
      <c r="AJ83" s="1398"/>
      <c r="AN83" s="1399"/>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0"/>
      <c r="AD84" s="1399"/>
      <c r="AJ84" s="1398"/>
      <c r="AN84" s="1399"/>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0"/>
      <c r="AD85" s="1399"/>
      <c r="AJ85" s="1398"/>
      <c r="AN85" s="1399"/>
    </row>
    <row r="86" spans="1:40" ht="24">
      <c r="A86" s="1061" t="s">
        <v>1025</v>
      </c>
      <c r="B86" s="3045" t="s">
        <v>2933</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0"/>
      <c r="AD86" s="1399"/>
      <c r="AJ86" s="1398"/>
      <c r="AN86" s="1399"/>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0"/>
      <c r="AD87" s="1399"/>
      <c r="AJ87" s="1398"/>
      <c r="AN87" s="1399"/>
    </row>
    <row r="90" spans="1:40">
      <c r="A90" s="3510" t="s">
        <v>1633</v>
      </c>
      <c r="B90" s="3510"/>
      <c r="C90" s="3510"/>
      <c r="D90" s="3510"/>
      <c r="E90" s="3510"/>
      <c r="F90" s="3510"/>
      <c r="G90" s="3510"/>
      <c r="H90" s="3510"/>
      <c r="I90" s="3510"/>
      <c r="J90" s="3510"/>
      <c r="K90" s="2412"/>
      <c r="L90" s="2412"/>
      <c r="M90" s="2412"/>
      <c r="N90" s="2412"/>
    </row>
    <row r="91" spans="1:40">
      <c r="A91" s="3511" t="s">
        <v>1443</v>
      </c>
      <c r="B91" s="3511" t="s">
        <v>1634</v>
      </c>
      <c r="C91" s="1134" t="s">
        <v>1635</v>
      </c>
      <c r="D91" s="1135"/>
      <c r="E91" s="1135"/>
      <c r="F91" s="1135"/>
      <c r="G91" s="1135"/>
      <c r="H91" s="1135"/>
      <c r="I91" s="1135"/>
      <c r="J91" s="1136"/>
      <c r="K91" s="1128"/>
      <c r="L91" s="1128"/>
      <c r="M91" s="1128"/>
      <c r="N91" s="1128"/>
    </row>
    <row r="92" spans="1:40">
      <c r="A92" s="3511"/>
      <c r="B92" s="3511"/>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518"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19"/>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19"/>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19"/>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19"/>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19"/>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19"/>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20"/>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18" t="s">
        <v>1637</v>
      </c>
      <c r="B101" s="1141" t="s">
        <v>906</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519"/>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519"/>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519"/>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519"/>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519"/>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519"/>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519"/>
      <c r="B108" s="3521"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20"/>
      <c r="B109" s="3522"/>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504" t="s">
        <v>1639</v>
      </c>
      <c r="B110" s="3504"/>
      <c r="C110" s="3504"/>
      <c r="D110" s="3504"/>
      <c r="E110" s="3504"/>
      <c r="F110" s="3504"/>
      <c r="G110" s="3504"/>
      <c r="H110" s="3504"/>
      <c r="I110" s="3504"/>
      <c r="J110" s="3504"/>
      <c r="K110" s="2410"/>
      <c r="L110" s="2410"/>
      <c r="M110" s="2410"/>
      <c r="N110" s="2410"/>
    </row>
    <row r="112" spans="1:14" ht="12.75" thickBot="1"/>
    <row r="113" spans="1:13" ht="25.5" thickBot="1">
      <c r="A113" s="1014" t="s">
        <v>896</v>
      </c>
      <c r="B113" s="2413">
        <f>G3</f>
        <v>0</v>
      </c>
      <c r="C113" s="1015" t="s">
        <v>897</v>
      </c>
      <c r="D113" s="1016">
        <f>SUMPRODUCT((A115:A118=F113)*(B114:M114=H113)*B115:M118)</f>
        <v>0</v>
      </c>
      <c r="E113" s="1017" t="s">
        <v>898</v>
      </c>
      <c r="F113" s="1018">
        <f>E2</f>
        <v>0</v>
      </c>
      <c r="G113" s="1017" t="s">
        <v>899</v>
      </c>
      <c r="H113" s="1018">
        <f>G2</f>
        <v>0</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901</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902</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903</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3" t="s">
        <v>2987</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3" customFormat="1" ht="19.5" customHeight="1">
      <c r="A18" s="3511" t="s">
        <v>1007</v>
      </c>
      <c r="B18" s="1148" t="s">
        <v>1446</v>
      </c>
      <c r="C18" s="1125" t="s">
        <v>1447</v>
      </c>
      <c r="D18" s="1126"/>
      <c r="E18" s="1148">
        <v>1</v>
      </c>
      <c r="F18" s="1127" t="s">
        <v>1448</v>
      </c>
      <c r="G18" s="1128"/>
      <c r="H18" s="1099"/>
      <c r="I18" s="1099"/>
    </row>
    <row r="19" spans="1:9" s="1583" customFormat="1" ht="19.5" customHeight="1">
      <c r="A19" s="3511"/>
      <c r="B19" s="3511" t="s">
        <v>1449</v>
      </c>
      <c r="C19" s="1125" t="s">
        <v>1450</v>
      </c>
      <c r="D19" s="1126"/>
      <c r="E19" s="1148">
        <v>0.9</v>
      </c>
      <c r="F19" s="1127" t="s">
        <v>1451</v>
      </c>
      <c r="G19" s="1128"/>
      <c r="H19" s="1099"/>
      <c r="I19" s="1099"/>
    </row>
    <row r="20" spans="1:9" s="1583" customFormat="1" ht="19.5" customHeight="1">
      <c r="A20" s="3511"/>
      <c r="B20" s="3511"/>
      <c r="C20" s="1125" t="s">
        <v>1452</v>
      </c>
      <c r="D20" s="1126"/>
      <c r="E20" s="1148">
        <v>1.1000000000000001</v>
      </c>
      <c r="F20" s="1127" t="s">
        <v>1453</v>
      </c>
      <c r="G20" s="1128"/>
      <c r="H20" s="1099"/>
      <c r="I20" s="1099"/>
    </row>
    <row r="21" spans="1:9" s="1583" customFormat="1" ht="19.5" customHeight="1">
      <c r="A21" s="3511"/>
      <c r="B21" s="3511"/>
      <c r="C21" s="1125" t="s">
        <v>1454</v>
      </c>
      <c r="D21" s="1126"/>
      <c r="E21" s="1148">
        <v>0.8</v>
      </c>
      <c r="F21" s="1127" t="s">
        <v>1455</v>
      </c>
      <c r="G21" s="1128"/>
      <c r="H21" s="1099"/>
      <c r="I21" s="1099"/>
    </row>
    <row r="22" spans="1:9" s="1583" customFormat="1" ht="19.5" customHeight="1">
      <c r="A22" s="3511"/>
      <c r="B22" s="3511"/>
      <c r="C22" s="1125" t="s">
        <v>1456</v>
      </c>
      <c r="D22" s="1126"/>
      <c r="E22" s="1148">
        <v>0.5</v>
      </c>
      <c r="F22" s="1127"/>
      <c r="G22" s="1128"/>
      <c r="H22" s="1099"/>
      <c r="I22" s="1099"/>
    </row>
    <row r="23" spans="1:9" s="1583" customFormat="1" ht="19.5" customHeight="1">
      <c r="A23" s="3511" t="s">
        <v>1029</v>
      </c>
      <c r="B23" s="1148" t="s">
        <v>1446</v>
      </c>
      <c r="C23" s="1125" t="s">
        <v>1457</v>
      </c>
      <c r="D23" s="1126"/>
      <c r="E23" s="1148">
        <v>1</v>
      </c>
      <c r="F23" s="1127" t="s">
        <v>1458</v>
      </c>
      <c r="G23" s="1128"/>
      <c r="H23" s="1099"/>
      <c r="I23" s="1099"/>
    </row>
    <row r="24" spans="1:9" s="1583" customFormat="1" ht="19.5" customHeight="1">
      <c r="A24" s="3511"/>
      <c r="B24" s="3511" t="s">
        <v>1449</v>
      </c>
      <c r="C24" s="1125" t="s">
        <v>1459</v>
      </c>
      <c r="D24" s="1126"/>
      <c r="E24" s="1148">
        <v>0.5</v>
      </c>
      <c r="F24" s="1127"/>
      <c r="G24" s="1128"/>
      <c r="H24" s="1099"/>
      <c r="I24" s="1099"/>
    </row>
    <row r="25" spans="1:9" s="1583" customFormat="1" ht="19.5" customHeight="1">
      <c r="A25" s="3511"/>
      <c r="B25" s="3511"/>
      <c r="C25" s="1125" t="s">
        <v>1460</v>
      </c>
      <c r="D25" s="1126"/>
      <c r="E25" s="1148">
        <v>1.1000000000000001</v>
      </c>
      <c r="F25" s="1127"/>
      <c r="G25" s="1128"/>
      <c r="H25" s="1099"/>
      <c r="I25" s="1099"/>
    </row>
    <row r="26" spans="1:9" s="1583" customFormat="1" ht="19.5" customHeight="1">
      <c r="A26" s="3511"/>
      <c r="B26" s="3511"/>
      <c r="C26" s="1125" t="s">
        <v>1461</v>
      </c>
      <c r="D26" s="1126"/>
      <c r="E26" s="1148">
        <v>1.1000000000000001</v>
      </c>
      <c r="F26" s="1127"/>
      <c r="G26" s="1128"/>
      <c r="H26" s="1099"/>
      <c r="I26" s="1099"/>
    </row>
    <row r="27" spans="1:9" s="1583" customFormat="1" ht="19.5" customHeight="1">
      <c r="A27" s="3511"/>
      <c r="B27" s="3511"/>
      <c r="C27" s="1125" t="s">
        <v>1462</v>
      </c>
      <c r="D27" s="1126"/>
      <c r="E27" s="1148">
        <v>0.9</v>
      </c>
      <c r="F27" s="1127" t="s">
        <v>1463</v>
      </c>
      <c r="G27" s="1128"/>
      <c r="H27" s="1099"/>
      <c r="I27" s="1099"/>
    </row>
    <row r="28" spans="1:9" s="1583" customFormat="1" ht="19.5" customHeight="1">
      <c r="A28" s="3511"/>
      <c r="B28" s="3511"/>
      <c r="C28" s="1125" t="s">
        <v>1464</v>
      </c>
      <c r="D28" s="1126"/>
      <c r="E28" s="1148">
        <v>0.9</v>
      </c>
      <c r="F28" s="1127" t="s">
        <v>1465</v>
      </c>
      <c r="G28" s="1128"/>
      <c r="H28" s="1099"/>
      <c r="I28" s="1099"/>
    </row>
    <row r="29" spans="1:9" s="1583" customFormat="1" ht="19.5" customHeight="1">
      <c r="A29" s="3511"/>
      <c r="B29" s="3511"/>
      <c r="C29" s="1125" t="s">
        <v>1466</v>
      </c>
      <c r="D29" s="1126"/>
      <c r="E29" s="1148">
        <v>0.9</v>
      </c>
      <c r="F29" s="1127" t="s">
        <v>1467</v>
      </c>
      <c r="G29" s="1128"/>
      <c r="H29" s="1099"/>
      <c r="I29" s="1099"/>
    </row>
    <row r="30" spans="1:9" s="1583" customFormat="1" ht="19.5" customHeight="1">
      <c r="A30" s="3511"/>
      <c r="B30" s="3511"/>
      <c r="C30" s="1125" t="s">
        <v>1468</v>
      </c>
      <c r="D30" s="1126"/>
      <c r="E30" s="1148">
        <v>0.9</v>
      </c>
      <c r="F30" s="1127" t="s">
        <v>1469</v>
      </c>
      <c r="G30" s="1128"/>
      <c r="H30" s="1099"/>
      <c r="I30" s="1099"/>
    </row>
    <row r="31" spans="1:9" s="1583" customFormat="1" ht="19.5" customHeight="1">
      <c r="A31" s="3511"/>
      <c r="B31" s="3511"/>
      <c r="C31" s="1125" t="s">
        <v>1470</v>
      </c>
      <c r="D31" s="1126"/>
      <c r="E31" s="1148">
        <v>0.8</v>
      </c>
      <c r="F31" s="1127" t="s">
        <v>1471</v>
      </c>
      <c r="G31" s="1128"/>
      <c r="H31" s="1099"/>
      <c r="I31" s="1099"/>
    </row>
    <row r="32" spans="1:9" s="1583" customFormat="1" ht="19.5" customHeight="1">
      <c r="A32" s="3511"/>
      <c r="B32" s="3511"/>
      <c r="C32" s="1125" t="s">
        <v>1472</v>
      </c>
      <c r="D32" s="1126"/>
      <c r="E32" s="1148">
        <v>0.8</v>
      </c>
      <c r="F32" s="1127" t="s">
        <v>1473</v>
      </c>
      <c r="G32" s="1128"/>
      <c r="H32" s="1099"/>
      <c r="I32" s="1099"/>
    </row>
    <row r="33" spans="1:9" s="1583" customFormat="1" ht="19.5" customHeight="1">
      <c r="A33" s="3511" t="s">
        <v>1474</v>
      </c>
      <c r="B33" s="1148" t="s">
        <v>1446</v>
      </c>
      <c r="C33" s="1125" t="s">
        <v>1475</v>
      </c>
      <c r="D33" s="1126"/>
      <c r="E33" s="1148">
        <v>1</v>
      </c>
      <c r="F33" s="1127" t="s">
        <v>1476</v>
      </c>
      <c r="G33" s="1128"/>
      <c r="H33" s="1099"/>
      <c r="I33" s="1099"/>
    </row>
    <row r="34" spans="1:9" s="1583" customFormat="1" ht="19.5" customHeight="1">
      <c r="A34" s="3511"/>
      <c r="B34" s="1148" t="s">
        <v>1449</v>
      </c>
      <c r="C34" s="1125" t="s">
        <v>1477</v>
      </c>
      <c r="D34" s="1126"/>
      <c r="E34" s="1148">
        <v>1.5</v>
      </c>
      <c r="F34" s="1127" t="s">
        <v>1478</v>
      </c>
      <c r="G34" s="1128"/>
      <c r="H34" s="1099"/>
      <c r="I34" s="1099"/>
    </row>
    <row r="35" spans="1:9" s="1583" customFormat="1" ht="19.5" customHeight="1">
      <c r="A35" s="3511" t="s">
        <v>1432</v>
      </c>
      <c r="B35" s="1148" t="s">
        <v>1446</v>
      </c>
      <c r="C35" s="1125" t="s">
        <v>1479</v>
      </c>
      <c r="D35" s="1126"/>
      <c r="E35" s="1148">
        <v>1</v>
      </c>
      <c r="F35" s="1127" t="s">
        <v>1480</v>
      </c>
      <c r="G35" s="1128"/>
      <c r="H35" s="1099"/>
      <c r="I35" s="1099"/>
    </row>
    <row r="36" spans="1:9" s="1583" customFormat="1" ht="19.5" customHeight="1">
      <c r="A36" s="3511"/>
      <c r="B36" s="3511" t="s">
        <v>1449</v>
      </c>
      <c r="C36" s="1125" t="s">
        <v>1481</v>
      </c>
      <c r="D36" s="1126"/>
      <c r="E36" s="1148">
        <v>1</v>
      </c>
      <c r="F36" s="1127" t="s">
        <v>1482</v>
      </c>
      <c r="G36" s="1128"/>
      <c r="H36" s="1099"/>
      <c r="I36" s="1099"/>
    </row>
    <row r="37" spans="1:9" s="1583" customFormat="1" ht="19.5" customHeight="1">
      <c r="A37" s="3511"/>
      <c r="B37" s="3511"/>
      <c r="C37" s="1125" t="s">
        <v>1483</v>
      </c>
      <c r="D37" s="1126"/>
      <c r="E37" s="1148">
        <v>1.5</v>
      </c>
      <c r="F37" s="1127" t="s">
        <v>1484</v>
      </c>
      <c r="G37" s="1128"/>
      <c r="H37" s="1099"/>
      <c r="I37" s="1099"/>
    </row>
    <row r="38" spans="1:9" s="1583" customFormat="1" ht="19.5" customHeight="1">
      <c r="A38" s="3511"/>
      <c r="B38" s="3511"/>
      <c r="C38" s="1125" t="s">
        <v>1485</v>
      </c>
      <c r="D38" s="1126"/>
      <c r="E38" s="1148">
        <v>1</v>
      </c>
      <c r="F38" s="1127" t="s">
        <v>1486</v>
      </c>
      <c r="G38" s="1128"/>
      <c r="H38" s="1099"/>
      <c r="I38" s="1099"/>
    </row>
    <row r="39" spans="1:9" s="1583" customFormat="1" ht="19.5" customHeight="1">
      <c r="A39" s="3511"/>
      <c r="B39" s="3511"/>
      <c r="C39" s="1125" t="s">
        <v>1487</v>
      </c>
      <c r="D39" s="1126"/>
      <c r="E39" s="1148">
        <v>1</v>
      </c>
      <c r="F39" s="1127" t="s">
        <v>1488</v>
      </c>
      <c r="G39" s="1128"/>
      <c r="H39" s="1099"/>
      <c r="I39" s="1099"/>
    </row>
    <row r="40" spans="1:9" s="1583" customFormat="1" ht="19.5" customHeight="1">
      <c r="A40" s="1584" t="s">
        <v>1489</v>
      </c>
      <c r="B40" s="1584"/>
      <c r="C40" s="1584"/>
      <c r="D40" s="1584"/>
      <c r="E40" s="1584"/>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511" t="s">
        <v>1501</v>
      </c>
      <c r="C61" s="1062" t="s">
        <v>1502</v>
      </c>
      <c r="D61" s="1062" t="s">
        <v>1503</v>
      </c>
      <c r="E61" s="1133">
        <v>0.5</v>
      </c>
      <c r="F61" s="1148">
        <v>80</v>
      </c>
      <c r="H61" s="1099">
        <f>SUMIF(C59:C119,基准地价!C8,E59:E119)</f>
        <v>0</v>
      </c>
    </row>
    <row r="62" spans="1:8" s="1099" customFormat="1" ht="24">
      <c r="A62" s="1148">
        <v>2</v>
      </c>
      <c r="B62" s="3511"/>
      <c r="C62" s="1062" t="s">
        <v>1504</v>
      </c>
      <c r="D62" s="1062" t="s">
        <v>1505</v>
      </c>
      <c r="E62" s="1133">
        <v>0.5</v>
      </c>
      <c r="F62" s="1148">
        <v>80</v>
      </c>
    </row>
    <row r="63" spans="1:8" s="1099" customFormat="1" ht="36">
      <c r="A63" s="1148">
        <v>3</v>
      </c>
      <c r="B63" s="3511"/>
      <c r="C63" s="1062" t="s">
        <v>1506</v>
      </c>
      <c r="D63" s="1062" t="s">
        <v>1507</v>
      </c>
      <c r="E63" s="1133">
        <v>0.5</v>
      </c>
      <c r="F63" s="1148">
        <v>80</v>
      </c>
    </row>
    <row r="64" spans="1:8" s="1099" customFormat="1" ht="36">
      <c r="A64" s="1148">
        <v>4</v>
      </c>
      <c r="B64" s="3511"/>
      <c r="C64" s="1062" t="s">
        <v>1508</v>
      </c>
      <c r="D64" s="1062" t="s">
        <v>1509</v>
      </c>
      <c r="E64" s="1133">
        <v>0.4</v>
      </c>
      <c r="F64" s="1148">
        <v>60</v>
      </c>
    </row>
    <row r="65" spans="1:6" s="1099" customFormat="1" ht="36">
      <c r="A65" s="1148">
        <v>5</v>
      </c>
      <c r="B65" s="3511"/>
      <c r="C65" s="1062" t="s">
        <v>1510</v>
      </c>
      <c r="D65" s="1062" t="s">
        <v>1511</v>
      </c>
      <c r="E65" s="1133">
        <v>0.2</v>
      </c>
      <c r="F65" s="1148">
        <v>30</v>
      </c>
    </row>
    <row r="66" spans="1:6" s="1099" customFormat="1" ht="36">
      <c r="A66" s="1148">
        <v>6</v>
      </c>
      <c r="B66" s="3511"/>
      <c r="C66" s="1062" t="s">
        <v>1512</v>
      </c>
      <c r="D66" s="1062" t="s">
        <v>1513</v>
      </c>
      <c r="E66" s="1133">
        <v>0.3</v>
      </c>
      <c r="F66" s="1148">
        <v>50</v>
      </c>
    </row>
    <row r="67" spans="1:6" s="1099" customFormat="1" ht="36">
      <c r="A67" s="1148">
        <v>7</v>
      </c>
      <c r="B67" s="3511"/>
      <c r="C67" s="1062" t="s">
        <v>1514</v>
      </c>
      <c r="D67" s="1062" t="s">
        <v>1515</v>
      </c>
      <c r="E67" s="1133">
        <v>0.2</v>
      </c>
      <c r="F67" s="1148">
        <v>30</v>
      </c>
    </row>
    <row r="68" spans="1:6" s="1099" customFormat="1" ht="36">
      <c r="A68" s="1148">
        <v>8</v>
      </c>
      <c r="B68" s="3511"/>
      <c r="C68" s="1062" t="s">
        <v>1516</v>
      </c>
      <c r="D68" s="1062" t="s">
        <v>1517</v>
      </c>
      <c r="E68" s="1133">
        <v>0.2</v>
      </c>
      <c r="F68" s="1148">
        <v>30</v>
      </c>
    </row>
    <row r="69" spans="1:6" s="1099" customFormat="1" ht="36">
      <c r="A69" s="1148">
        <v>9</v>
      </c>
      <c r="B69" s="3511"/>
      <c r="C69" s="1062" t="s">
        <v>1518</v>
      </c>
      <c r="D69" s="1062" t="s">
        <v>1519</v>
      </c>
      <c r="E69" s="1133">
        <v>0.2</v>
      </c>
      <c r="F69" s="1148">
        <v>30</v>
      </c>
    </row>
    <row r="70" spans="1:6" s="1099" customFormat="1" ht="48">
      <c r="A70" s="1148">
        <v>10</v>
      </c>
      <c r="B70" s="3511"/>
      <c r="C70" s="1062" t="s">
        <v>1520</v>
      </c>
      <c r="D70" s="1062" t="s">
        <v>1521</v>
      </c>
      <c r="E70" s="1133">
        <v>0.2</v>
      </c>
      <c r="F70" s="1148">
        <v>30</v>
      </c>
    </row>
    <row r="71" spans="1:6" s="1099" customFormat="1" ht="48">
      <c r="A71" s="1148">
        <v>11</v>
      </c>
      <c r="B71" s="3511"/>
      <c r="C71" s="1062" t="s">
        <v>1522</v>
      </c>
      <c r="D71" s="1062" t="s">
        <v>1523</v>
      </c>
      <c r="E71" s="1133">
        <v>0.2</v>
      </c>
      <c r="F71" s="1148">
        <v>30</v>
      </c>
    </row>
    <row r="72" spans="1:6" s="1099" customFormat="1" ht="36">
      <c r="A72" s="1148">
        <v>12</v>
      </c>
      <c r="B72" s="3511"/>
      <c r="C72" s="1062" t="s">
        <v>1524</v>
      </c>
      <c r="D72" s="1062" t="s">
        <v>1525</v>
      </c>
      <c r="E72" s="1133">
        <v>0.5</v>
      </c>
      <c r="F72" s="1148">
        <v>80</v>
      </c>
    </row>
    <row r="73" spans="1:6" s="1099" customFormat="1" ht="24">
      <c r="A73" s="1148">
        <v>13</v>
      </c>
      <c r="B73" s="3511"/>
      <c r="C73" s="1062" t="s">
        <v>1526</v>
      </c>
      <c r="D73" s="1062" t="s">
        <v>1527</v>
      </c>
      <c r="E73" s="1133">
        <v>0.4</v>
      </c>
      <c r="F73" s="1148">
        <v>60</v>
      </c>
    </row>
    <row r="74" spans="1:6" s="1099" customFormat="1" ht="24">
      <c r="A74" s="1148">
        <v>14</v>
      </c>
      <c r="B74" s="3511"/>
      <c r="C74" s="1062" t="s">
        <v>1528</v>
      </c>
      <c r="D74" s="1062" t="s">
        <v>1529</v>
      </c>
      <c r="E74" s="1133">
        <v>0.2</v>
      </c>
      <c r="F74" s="1148">
        <v>30</v>
      </c>
    </row>
    <row r="75" spans="1:6" s="1099" customFormat="1" ht="24">
      <c r="A75" s="1148">
        <v>15</v>
      </c>
      <c r="B75" s="3511"/>
      <c r="C75" s="1062" t="s">
        <v>1530</v>
      </c>
      <c r="D75" s="1062" t="s">
        <v>1531</v>
      </c>
      <c r="E75" s="1133">
        <v>0.2</v>
      </c>
      <c r="F75" s="1148">
        <v>30</v>
      </c>
    </row>
    <row r="76" spans="1:6" s="1099" customFormat="1" ht="24">
      <c r="A76" s="1148">
        <v>16</v>
      </c>
      <c r="B76" s="3511" t="s">
        <v>1532</v>
      </c>
      <c r="C76" s="1062" t="s">
        <v>1533</v>
      </c>
      <c r="D76" s="1062" t="s">
        <v>1534</v>
      </c>
      <c r="E76" s="1133">
        <v>0.5</v>
      </c>
      <c r="F76" s="1148">
        <v>80</v>
      </c>
    </row>
    <row r="77" spans="1:6" s="1099" customFormat="1" ht="24">
      <c r="A77" s="1148">
        <v>17</v>
      </c>
      <c r="B77" s="3511"/>
      <c r="C77" s="1062" t="s">
        <v>1535</v>
      </c>
      <c r="D77" s="1062" t="s">
        <v>1536</v>
      </c>
      <c r="E77" s="1133">
        <v>0.5</v>
      </c>
      <c r="F77" s="1148">
        <v>80</v>
      </c>
    </row>
    <row r="78" spans="1:6" s="1099" customFormat="1" ht="24">
      <c r="A78" s="1148">
        <v>18</v>
      </c>
      <c r="B78" s="3511"/>
      <c r="C78" s="1062" t="s">
        <v>1537</v>
      </c>
      <c r="D78" s="1062" t="s">
        <v>1538</v>
      </c>
      <c r="E78" s="1133">
        <v>0.2</v>
      </c>
      <c r="F78" s="1148">
        <v>30</v>
      </c>
    </row>
    <row r="79" spans="1:6" s="1099" customFormat="1" ht="24">
      <c r="A79" s="1148">
        <v>19</v>
      </c>
      <c r="B79" s="3511"/>
      <c r="C79" s="1062" t="s">
        <v>1539</v>
      </c>
      <c r="D79" s="1062" t="s">
        <v>1540</v>
      </c>
      <c r="E79" s="1133">
        <v>0.5</v>
      </c>
      <c r="F79" s="1148">
        <v>80</v>
      </c>
    </row>
    <row r="80" spans="1:6" s="1099" customFormat="1" ht="36">
      <c r="A80" s="1148">
        <v>20</v>
      </c>
      <c r="B80" s="3511"/>
      <c r="C80" s="1062" t="s">
        <v>1541</v>
      </c>
      <c r="D80" s="1062" t="s">
        <v>1542</v>
      </c>
      <c r="E80" s="1133">
        <v>0.2</v>
      </c>
      <c r="F80" s="1148">
        <v>30</v>
      </c>
    </row>
    <row r="81" spans="1:6" s="1099" customFormat="1" ht="36">
      <c r="A81" s="1148">
        <v>21</v>
      </c>
      <c r="B81" s="3511"/>
      <c r="C81" s="1062" t="s">
        <v>1543</v>
      </c>
      <c r="D81" s="1062" t="s">
        <v>1544</v>
      </c>
      <c r="E81" s="1133">
        <v>0.2</v>
      </c>
      <c r="F81" s="1148">
        <v>30</v>
      </c>
    </row>
    <row r="82" spans="1:6" s="1099" customFormat="1" ht="48">
      <c r="A82" s="1148">
        <v>22</v>
      </c>
      <c r="B82" s="3511"/>
      <c r="C82" s="1062" t="s">
        <v>1545</v>
      </c>
      <c r="D82" s="1062" t="s">
        <v>1546</v>
      </c>
      <c r="E82" s="1133">
        <v>0.2</v>
      </c>
      <c r="F82" s="1148">
        <v>30</v>
      </c>
    </row>
    <row r="83" spans="1:6" s="1099" customFormat="1" ht="48">
      <c r="A83" s="1148">
        <v>23</v>
      </c>
      <c r="B83" s="3511"/>
      <c r="C83" s="1062" t="s">
        <v>1547</v>
      </c>
      <c r="D83" s="1062" t="s">
        <v>1548</v>
      </c>
      <c r="E83" s="1133">
        <v>0.2</v>
      </c>
      <c r="F83" s="1148">
        <v>30</v>
      </c>
    </row>
    <row r="84" spans="1:6" s="1099" customFormat="1" ht="36">
      <c r="A84" s="1148">
        <v>24</v>
      </c>
      <c r="B84" s="3511"/>
      <c r="C84" s="1062" t="s">
        <v>1549</v>
      </c>
      <c r="D84" s="1062" t="s">
        <v>1550</v>
      </c>
      <c r="E84" s="1133">
        <v>0.2</v>
      </c>
      <c r="F84" s="1148">
        <v>30</v>
      </c>
    </row>
    <row r="85" spans="1:6" s="1099" customFormat="1" ht="36">
      <c r="A85" s="1148">
        <v>25</v>
      </c>
      <c r="B85" s="3511"/>
      <c r="C85" s="1062" t="s">
        <v>1551</v>
      </c>
      <c r="D85" s="1062" t="s">
        <v>1552</v>
      </c>
      <c r="E85" s="1133">
        <v>0.5</v>
      </c>
      <c r="F85" s="1148">
        <v>80</v>
      </c>
    </row>
    <row r="86" spans="1:6" s="1099" customFormat="1" ht="36">
      <c r="A86" s="1148">
        <v>26</v>
      </c>
      <c r="B86" s="3511"/>
      <c r="C86" s="1062" t="s">
        <v>1553</v>
      </c>
      <c r="D86" s="1062" t="s">
        <v>1554</v>
      </c>
      <c r="E86" s="1133">
        <v>0.2</v>
      </c>
      <c r="F86" s="1148">
        <v>30</v>
      </c>
    </row>
    <row r="87" spans="1:6" s="1099" customFormat="1" ht="36">
      <c r="A87" s="1148">
        <v>27</v>
      </c>
      <c r="B87" s="3511"/>
      <c r="C87" s="1062" t="s">
        <v>1555</v>
      </c>
      <c r="D87" s="1062" t="s">
        <v>1556</v>
      </c>
      <c r="E87" s="1133">
        <v>0.2</v>
      </c>
      <c r="F87" s="1148">
        <v>30</v>
      </c>
    </row>
    <row r="88" spans="1:6" s="1099" customFormat="1" ht="36">
      <c r="A88" s="1148">
        <v>28</v>
      </c>
      <c r="B88" s="3511"/>
      <c r="C88" s="1062" t="s">
        <v>1557</v>
      </c>
      <c r="D88" s="1062" t="s">
        <v>1558</v>
      </c>
      <c r="E88" s="1133">
        <v>0.2</v>
      </c>
      <c r="F88" s="1148">
        <v>30</v>
      </c>
    </row>
    <row r="89" spans="1:6" s="1099" customFormat="1" ht="24">
      <c r="A89" s="1148">
        <v>29</v>
      </c>
      <c r="B89" s="3511"/>
      <c r="C89" s="1062" t="s">
        <v>1559</v>
      </c>
      <c r="D89" s="1062" t="s">
        <v>1560</v>
      </c>
      <c r="E89" s="1133">
        <v>0.2</v>
      </c>
      <c r="F89" s="1148">
        <v>30</v>
      </c>
    </row>
    <row r="90" spans="1:6" s="1099" customFormat="1" ht="24">
      <c r="A90" s="1148">
        <v>30</v>
      </c>
      <c r="B90" s="3511"/>
      <c r="C90" s="1062" t="s">
        <v>1561</v>
      </c>
      <c r="D90" s="1062" t="s">
        <v>1562</v>
      </c>
      <c r="E90" s="1133">
        <v>0.2</v>
      </c>
      <c r="F90" s="1148">
        <v>30</v>
      </c>
    </row>
    <row r="91" spans="1:6" s="1099" customFormat="1" ht="36">
      <c r="A91" s="1148">
        <v>31</v>
      </c>
      <c r="B91" s="3511"/>
      <c r="C91" s="1062" t="s">
        <v>1563</v>
      </c>
      <c r="D91" s="1062" t="s">
        <v>1564</v>
      </c>
      <c r="E91" s="1133">
        <v>0.2</v>
      </c>
      <c r="F91" s="1148">
        <v>30</v>
      </c>
    </row>
    <row r="92" spans="1:6" s="1099" customFormat="1" ht="24">
      <c r="A92" s="1148">
        <v>32</v>
      </c>
      <c r="B92" s="3511" t="s">
        <v>1565</v>
      </c>
      <c r="C92" s="1148" t="s">
        <v>1566</v>
      </c>
      <c r="D92" s="1062" t="s">
        <v>1567</v>
      </c>
      <c r="E92" s="1133">
        <v>0.2</v>
      </c>
      <c r="F92" s="1148">
        <v>30</v>
      </c>
    </row>
    <row r="93" spans="1:6" s="1099" customFormat="1" ht="36">
      <c r="A93" s="1148">
        <v>33</v>
      </c>
      <c r="B93" s="3511"/>
      <c r="C93" s="1148" t="s">
        <v>1568</v>
      </c>
      <c r="D93" s="1062" t="s">
        <v>1569</v>
      </c>
      <c r="E93" s="1133">
        <v>0.2</v>
      </c>
      <c r="F93" s="1148">
        <v>30</v>
      </c>
    </row>
    <row r="94" spans="1:6" s="1099" customFormat="1" ht="48">
      <c r="A94" s="1148">
        <v>34</v>
      </c>
      <c r="B94" s="3511"/>
      <c r="C94" s="1148" t="s">
        <v>1570</v>
      </c>
      <c r="D94" s="1062" t="s">
        <v>1571</v>
      </c>
      <c r="E94" s="1133">
        <v>0.2</v>
      </c>
      <c r="F94" s="1148">
        <v>30</v>
      </c>
    </row>
    <row r="95" spans="1:6" s="1099" customFormat="1" ht="36">
      <c r="A95" s="1148">
        <v>35</v>
      </c>
      <c r="B95" s="3511"/>
      <c r="C95" s="1148" t="s">
        <v>1572</v>
      </c>
      <c r="D95" s="1062" t="s">
        <v>1573</v>
      </c>
      <c r="E95" s="1133">
        <v>0.2</v>
      </c>
      <c r="F95" s="1148">
        <v>30</v>
      </c>
    </row>
    <row r="96" spans="1:6" s="1099" customFormat="1" ht="48">
      <c r="A96" s="1148">
        <v>36</v>
      </c>
      <c r="B96" s="3511"/>
      <c r="C96" s="1062" t="s">
        <v>1574</v>
      </c>
      <c r="D96" s="1062" t="s">
        <v>1575</v>
      </c>
      <c r="E96" s="1133">
        <v>0.2</v>
      </c>
      <c r="F96" s="1148">
        <v>30</v>
      </c>
    </row>
    <row r="97" spans="1:6" s="1099" customFormat="1" ht="36">
      <c r="A97" s="1148">
        <v>37</v>
      </c>
      <c r="B97" s="3511"/>
      <c r="C97" s="1148" t="s">
        <v>1576</v>
      </c>
      <c r="D97" s="1062" t="s">
        <v>1577</v>
      </c>
      <c r="E97" s="1133">
        <v>0.2</v>
      </c>
      <c r="F97" s="1148">
        <v>30</v>
      </c>
    </row>
    <row r="98" spans="1:6" s="1099" customFormat="1" ht="36">
      <c r="A98" s="1148">
        <v>38</v>
      </c>
      <c r="B98" s="3511"/>
      <c r="C98" s="1148" t="s">
        <v>1578</v>
      </c>
      <c r="D98" s="1062" t="s">
        <v>1579</v>
      </c>
      <c r="E98" s="1133">
        <v>0.2</v>
      </c>
      <c r="F98" s="1148">
        <v>30</v>
      </c>
    </row>
    <row r="99" spans="1:6" s="1099" customFormat="1" ht="36">
      <c r="A99" s="1148">
        <v>39</v>
      </c>
      <c r="B99" s="3511" t="s">
        <v>1580</v>
      </c>
      <c r="C99" s="1148" t="s">
        <v>1581</v>
      </c>
      <c r="D99" s="1062" t="s">
        <v>1582</v>
      </c>
      <c r="E99" s="1133">
        <v>0.3</v>
      </c>
      <c r="F99" s="1148">
        <v>50</v>
      </c>
    </row>
    <row r="100" spans="1:6" s="1099" customFormat="1" ht="24">
      <c r="A100" s="1148">
        <v>40</v>
      </c>
      <c r="B100" s="3511"/>
      <c r="C100" s="1148" t="s">
        <v>1583</v>
      </c>
      <c r="D100" s="1062" t="s">
        <v>1584</v>
      </c>
      <c r="E100" s="1133">
        <v>0.2</v>
      </c>
      <c r="F100" s="1148">
        <v>30</v>
      </c>
    </row>
    <row r="101" spans="1:6" s="1099" customFormat="1" ht="36">
      <c r="A101" s="1148">
        <v>41</v>
      </c>
      <c r="B101" s="3511"/>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511" t="s">
        <v>1595</v>
      </c>
      <c r="C105" s="1148" t="s">
        <v>1596</v>
      </c>
      <c r="D105" s="1062" t="s">
        <v>1597</v>
      </c>
      <c r="E105" s="1133">
        <v>0.2</v>
      </c>
      <c r="F105" s="1148">
        <v>30</v>
      </c>
    </row>
    <row r="106" spans="1:6" s="1099" customFormat="1" ht="36">
      <c r="A106" s="1148">
        <v>46</v>
      </c>
      <c r="B106" s="3511"/>
      <c r="C106" s="1148" t="s">
        <v>1598</v>
      </c>
      <c r="D106" s="1062" t="s">
        <v>1599</v>
      </c>
      <c r="E106" s="1133">
        <v>0.2</v>
      </c>
      <c r="F106" s="1148">
        <v>30</v>
      </c>
    </row>
    <row r="107" spans="1:6" s="1099" customFormat="1" ht="36">
      <c r="A107" s="1148">
        <v>47</v>
      </c>
      <c r="B107" s="3511" t="s">
        <v>1600</v>
      </c>
      <c r="C107" s="1148" t="s">
        <v>1601</v>
      </c>
      <c r="D107" s="1062" t="s">
        <v>1602</v>
      </c>
      <c r="E107" s="1133">
        <v>0.3</v>
      </c>
      <c r="F107" s="1148">
        <v>50</v>
      </c>
    </row>
    <row r="108" spans="1:6" s="1099" customFormat="1" ht="36">
      <c r="A108" s="1148">
        <v>48</v>
      </c>
      <c r="B108" s="3511"/>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511" t="s">
        <v>1611</v>
      </c>
      <c r="C111" s="1148" t="s">
        <v>1612</v>
      </c>
      <c r="D111" s="1062" t="s">
        <v>1613</v>
      </c>
      <c r="E111" s="1133">
        <v>0.2</v>
      </c>
      <c r="F111" s="1148">
        <v>30</v>
      </c>
    </row>
    <row r="112" spans="1:6" s="1099" customFormat="1" ht="24">
      <c r="A112" s="1148">
        <v>52</v>
      </c>
      <c r="B112" s="3511"/>
      <c r="C112" s="1148" t="s">
        <v>1614</v>
      </c>
      <c r="D112" s="1062" t="s">
        <v>1615</v>
      </c>
      <c r="E112" s="1133">
        <v>0.2</v>
      </c>
      <c r="F112" s="1148">
        <v>30</v>
      </c>
    </row>
    <row r="113" spans="1:14" s="1099" customFormat="1" ht="24">
      <c r="A113" s="1148">
        <v>53</v>
      </c>
      <c r="B113" s="3511"/>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511" t="s">
        <v>1624</v>
      </c>
      <c r="C116" s="1148" t="s">
        <v>1625</v>
      </c>
      <c r="D116" s="1062" t="s">
        <v>1626</v>
      </c>
      <c r="E116" s="1133">
        <v>0.2</v>
      </c>
      <c r="F116" s="1148">
        <v>30</v>
      </c>
    </row>
    <row r="117" spans="1:14" ht="36">
      <c r="A117" s="1148">
        <v>57</v>
      </c>
      <c r="B117" s="3511"/>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510" t="s">
        <v>1633</v>
      </c>
      <c r="B121" s="3510"/>
      <c r="C121" s="3510"/>
      <c r="D121" s="3510"/>
      <c r="E121" s="3510"/>
      <c r="F121" s="3510"/>
      <c r="G121" s="3510"/>
      <c r="H121" s="3510"/>
      <c r="I121" s="3510"/>
      <c r="J121" s="3510"/>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25" t="s">
        <v>1039</v>
      </c>
      <c r="B1" s="3525"/>
      <c r="C1" s="3525"/>
      <c r="D1" s="3525"/>
      <c r="E1" s="3525"/>
      <c r="F1" s="3525"/>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526" t="s">
        <v>1052</v>
      </c>
      <c r="B2" s="3526"/>
      <c r="C2" s="3526"/>
      <c r="D2" s="3526"/>
      <c r="E2" s="3526"/>
      <c r="F2" s="3526"/>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527"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528"/>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2420</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2421</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29" t="s">
        <v>2078</v>
      </c>
      <c r="B1" s="3529"/>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33" sqref="F33"/>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32" t="s">
        <v>2574</v>
      </c>
      <c r="C1" s="3532"/>
      <c r="D1" s="3532"/>
      <c r="E1" s="3532"/>
      <c r="F1" s="3532"/>
      <c r="G1" s="3531" t="s">
        <v>2575</v>
      </c>
      <c r="H1" s="3531"/>
      <c r="I1" s="3531"/>
      <c r="J1" s="3531"/>
      <c r="K1" s="3531"/>
      <c r="L1" s="3531"/>
      <c r="N1" s="3531" t="s">
        <v>2576</v>
      </c>
      <c r="O1" s="3531"/>
      <c r="P1" s="3531"/>
      <c r="Q1" s="3531"/>
      <c r="R1" s="2616"/>
      <c r="S1" s="3531" t="s">
        <v>2577</v>
      </c>
      <c r="T1" s="3531"/>
      <c r="U1" s="3531"/>
      <c r="V1" s="3531"/>
      <c r="X1" s="3530" t="s">
        <v>2637</v>
      </c>
      <c r="Y1" s="3531"/>
      <c r="Z1" s="3531"/>
      <c r="AA1" s="3531"/>
      <c r="AB1" s="3531"/>
      <c r="AD1" s="3530" t="s">
        <v>2641</v>
      </c>
      <c r="AE1" s="3531"/>
      <c r="AF1" s="3531"/>
      <c r="AG1" s="3531"/>
      <c r="AH1" s="3531"/>
    </row>
    <row r="2" spans="1:34" s="2717" customFormat="1" ht="14.25" thickBot="1">
      <c r="B2" s="2725" t="s">
        <v>2578</v>
      </c>
      <c r="C2" s="2725" t="s">
        <v>2639</v>
      </c>
      <c r="D2" s="2718" t="s">
        <v>1644</v>
      </c>
      <c r="E2" s="2718" t="s">
        <v>1949</v>
      </c>
      <c r="F2" s="2725" t="s">
        <v>2640</v>
      </c>
      <c r="G2" s="2721"/>
      <c r="H2" s="2720"/>
      <c r="I2" s="2725" t="s">
        <v>2952</v>
      </c>
      <c r="J2" s="2718" t="s">
        <v>2954</v>
      </c>
      <c r="K2" s="2718" t="s">
        <v>2955</v>
      </c>
      <c r="L2" s="2725" t="s">
        <v>2956</v>
      </c>
      <c r="N2" s="2725" t="s">
        <v>2578</v>
      </c>
      <c r="O2" s="2718" t="s">
        <v>2953</v>
      </c>
      <c r="P2" s="2718" t="s">
        <v>1949</v>
      </c>
      <c r="Q2" s="2725" t="s">
        <v>2640</v>
      </c>
      <c r="R2" s="2719"/>
      <c r="S2" s="2725" t="s">
        <v>2578</v>
      </c>
      <c r="T2" s="2718" t="s">
        <v>2953</v>
      </c>
      <c r="U2" s="2718" t="s">
        <v>1949</v>
      </c>
      <c r="V2" s="2725" t="s">
        <v>2640</v>
      </c>
      <c r="X2" s="2725" t="s">
        <v>2578</v>
      </c>
      <c r="Y2" s="2725" t="s">
        <v>2639</v>
      </c>
      <c r="Z2" s="2718" t="s">
        <v>1644</v>
      </c>
      <c r="AA2" s="2718" t="s">
        <v>1949</v>
      </c>
      <c r="AB2" s="2725" t="s">
        <v>2640</v>
      </c>
      <c r="AD2" s="2725" t="s">
        <v>2578</v>
      </c>
      <c r="AE2" s="2725" t="s">
        <v>2639</v>
      </c>
      <c r="AF2" s="2718" t="s">
        <v>1644</v>
      </c>
      <c r="AG2" s="2718" t="s">
        <v>1949</v>
      </c>
      <c r="AH2" s="2725" t="s">
        <v>2640</v>
      </c>
    </row>
    <row r="3" spans="1:34" s="3080" customFormat="1" ht="14.25">
      <c r="A3" s="3092" t="s">
        <v>2965</v>
      </c>
      <c r="B3" s="3081"/>
      <c r="C3" s="3081"/>
      <c r="D3" s="3082"/>
      <c r="E3" s="3082"/>
      <c r="F3" s="3081"/>
      <c r="G3" s="3083"/>
      <c r="H3" s="3084"/>
      <c r="I3" s="3091">
        <f>ROUND(AVERAGE($I4:$I28),2)</f>
        <v>1.98</v>
      </c>
      <c r="J3" s="3091">
        <f>ROUND(AVERAGE($J4:$J28),2)</f>
        <v>1.41</v>
      </c>
      <c r="K3" s="3091">
        <f>ROUND(AVERAGE($K4:$K28),2)</f>
        <v>2.16</v>
      </c>
      <c r="L3" s="3091">
        <f>ROUND(AVERAGE($L4:$L28),2)</f>
        <v>1.38</v>
      </c>
      <c r="N3" s="3083"/>
      <c r="O3" s="3085"/>
      <c r="P3" s="3085"/>
      <c r="Q3" s="3085"/>
      <c r="R3" s="3085"/>
      <c r="S3" s="3083"/>
      <c r="T3" s="3085"/>
      <c r="U3" s="3085"/>
      <c r="V3" s="3085"/>
      <c r="W3" s="3088"/>
      <c r="X3" s="3086">
        <f>ROUND(SUMPRODUCT(PRODUCT(1+N3:N$27)),4)</f>
        <v>1.5516000000000001</v>
      </c>
      <c r="Y3" s="3086">
        <f>ROUND(SUMPRODUCT(PRODUCT(1+O3:O$27)),4)</f>
        <v>1.3649</v>
      </c>
      <c r="Z3" s="3086">
        <f t="shared" ref="Z3:Z25" si="0">Y3</f>
        <v>1.3649</v>
      </c>
      <c r="AA3" s="3086">
        <f>ROUND(SUMPRODUCT(PRODUCT(1+P3:P$27)),4)</f>
        <v>1.6133999999999999</v>
      </c>
      <c r="AB3" s="3086">
        <f>ROUND(SUMPRODUCT(PRODUCT(1+Q3:Q$27)),4)</f>
        <v>1.3713</v>
      </c>
      <c r="AD3" s="3087">
        <f>ROUND(AVERAGE(I3:I$28)/100,4)</f>
        <v>1.9800000000000002E-2</v>
      </c>
      <c r="AE3" s="3087">
        <f>ROUND(AVERAGE(J3:J$28)/100,4)</f>
        <v>1.41E-2</v>
      </c>
      <c r="AF3" s="3087">
        <f t="shared" ref="AF3:AF26" si="1">AE3</f>
        <v>1.41E-2</v>
      </c>
      <c r="AG3" s="3087">
        <f>ROUND(AVERAGE(K3:K$28)/100,4)</f>
        <v>2.1600000000000001E-2</v>
      </c>
      <c r="AH3" s="3087">
        <f>ROUND(AVERAGE(L3:L$28)/100,4)</f>
        <v>1.38E-2</v>
      </c>
    </row>
    <row r="4" spans="1:34" s="2710" customFormat="1" ht="14.25">
      <c r="B4" s="2711"/>
      <c r="C4" s="2711"/>
      <c r="D4" s="2712"/>
      <c r="E4" s="2712"/>
      <c r="F4" s="2711"/>
      <c r="G4" s="2716"/>
      <c r="H4" s="2713"/>
      <c r="I4" s="3076"/>
      <c r="J4" s="3076"/>
      <c r="K4" s="3076"/>
      <c r="L4" s="3076"/>
      <c r="N4" s="2716"/>
      <c r="O4" s="2714"/>
      <c r="P4" s="2714"/>
      <c r="Q4" s="2714"/>
      <c r="R4" s="2714"/>
      <c r="S4" s="2716"/>
      <c r="T4" s="2714"/>
      <c r="U4" s="2714"/>
      <c r="V4" s="2714"/>
      <c r="W4" s="3089"/>
      <c r="X4" s="2715"/>
      <c r="Y4" s="2715"/>
      <c r="Z4" s="2715"/>
      <c r="AA4" s="2715"/>
      <c r="AB4" s="2715"/>
      <c r="AD4" s="2635"/>
      <c r="AE4" s="2635"/>
      <c r="AF4" s="2635"/>
      <c r="AG4" s="2635"/>
      <c r="AH4" s="2635"/>
    </row>
    <row r="5" spans="1:34" s="3064" customFormat="1">
      <c r="A5" s="3062" t="s">
        <v>2994</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63">
        <v>4</v>
      </c>
      <c r="I5" s="3077">
        <v>0</v>
      </c>
      <c r="J5" s="3077">
        <v>0</v>
      </c>
      <c r="K5" s="3077">
        <v>0</v>
      </c>
      <c r="L5" s="3077">
        <v>0</v>
      </c>
      <c r="N5" s="2723">
        <f t="shared" ref="N5" si="7">I5/100</f>
        <v>0</v>
      </c>
      <c r="O5" s="2723">
        <f t="shared" ref="O5" si="8">J5/100</f>
        <v>0</v>
      </c>
      <c r="P5" s="2723">
        <f t="shared" ref="P5" si="9">K5/100</f>
        <v>0</v>
      </c>
      <c r="Q5" s="2723">
        <f t="shared" ref="Q5" si="10">L5/100</f>
        <v>0</v>
      </c>
      <c r="R5" s="3065"/>
      <c r="S5" s="3066"/>
      <c r="T5" s="3065"/>
      <c r="U5" s="3065"/>
      <c r="V5" s="3065"/>
      <c r="W5" s="3090" t="s">
        <v>2966</v>
      </c>
      <c r="X5" s="3067">
        <f>ROUND(IF(项目基本情况!B7="出让",SUMPRODUCT(PRODUCT(1+N5:N$28)),SUMPRODUCT(PRODUCT(1+N5:N$27))),4)</f>
        <v>1.5516000000000001</v>
      </c>
      <c r="Y5" s="3067">
        <f>ROUND(IF(项目基本情况!B7="出让",SUMPRODUCT(PRODUCT(1+O5:O$28)),SUMPRODUCT(PRODUCT(1+O5:O$27))),4)</f>
        <v>1.3649</v>
      </c>
      <c r="Z5" s="3067">
        <f t="shared" ref="Z5" si="11">Y5</f>
        <v>1.3649</v>
      </c>
      <c r="AA5" s="3067">
        <f>ROUND(IF(项目基本情况!B7="出让",SUMPRODUCT(PRODUCT(1+P5:P$28)),SUMPRODUCT(PRODUCT(1+P5:P$27))),4)</f>
        <v>1.6133999999999999</v>
      </c>
      <c r="AB5" s="3067">
        <f>ROUND(IF(项目基本情况!B7="出让",SUMPRODUCT(PRODUCT(1+Q5:Q$28)),SUMPRODUCT(PRODUCT(1+Q5:Q$27))),4)</f>
        <v>1.3713</v>
      </c>
      <c r="AD5" s="3068">
        <f>ROUND(AVERAGE(I5:I$28)/100,4)</f>
        <v>1.9800000000000002E-2</v>
      </c>
      <c r="AE5" s="3068">
        <f>ROUND(AVERAGE(J5:J$28)/100,4)</f>
        <v>1.41E-2</v>
      </c>
      <c r="AF5" s="3068">
        <f t="shared" ref="AF5" si="12">AE5</f>
        <v>1.41E-2</v>
      </c>
      <c r="AG5" s="3068">
        <f>ROUND(AVERAGE(K5:K$28)/100,4)</f>
        <v>2.1600000000000001E-2</v>
      </c>
      <c r="AH5" s="3068">
        <f>ROUND(AVERAGE(L5:L$28)/100,4)</f>
        <v>1.38E-2</v>
      </c>
    </row>
    <row r="6" spans="1:34" s="2722" customFormat="1" ht="13.5" thickBot="1">
      <c r="A6" s="2617" t="s">
        <v>2993</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2990</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2988</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2985</v>
      </c>
      <c r="B9" s="3176">
        <f t="shared" si="24"/>
        <v>464.37293017158942</v>
      </c>
      <c r="C9" s="3176">
        <f t="shared" ref="C9" si="45">C10*(1+O9)</f>
        <v>344.73679941385956</v>
      </c>
      <c r="D9" s="3176">
        <f t="shared" ref="D9" si="46">C9</f>
        <v>344.73679941385956</v>
      </c>
      <c r="E9" s="3176">
        <f t="shared" ref="E9" si="47">E10*(1+P9)</f>
        <v>663.2377795103107</v>
      </c>
      <c r="F9" s="3177">
        <f t="shared" ref="F9" si="48">F10*(1+Q9)</f>
        <v>304.75936311478398</v>
      </c>
      <c r="G9" s="3534">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2975</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534"/>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2976</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534"/>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2972</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540"/>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2963</v>
      </c>
      <c r="B13" s="3094">
        <v>439</v>
      </c>
      <c r="C13" s="3094">
        <v>327</v>
      </c>
      <c r="D13" s="3094">
        <f t="shared" si="76"/>
        <v>327</v>
      </c>
      <c r="E13" s="3094">
        <v>627</v>
      </c>
      <c r="F13" s="3095">
        <v>283</v>
      </c>
      <c r="G13" s="3539">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2967</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534"/>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2579</v>
      </c>
      <c r="B15" s="2630">
        <f t="shared" si="88"/>
        <v>419.31181600000002</v>
      </c>
      <c r="C15" s="2630">
        <f t="shared" si="88"/>
        <v>313.95436800000004</v>
      </c>
      <c r="D15" s="2630">
        <f t="shared" si="76"/>
        <v>313.95436800000004</v>
      </c>
      <c r="E15" s="2630">
        <f t="shared" si="89"/>
        <v>596.63028431999999</v>
      </c>
      <c r="F15" s="2630">
        <f t="shared" si="89"/>
        <v>274.74220703999998</v>
      </c>
      <c r="G15" s="3534"/>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2580</v>
      </c>
      <c r="B16" s="2630">
        <f t="shared" si="88"/>
        <v>405.524</v>
      </c>
      <c r="C16" s="2630">
        <f t="shared" si="88"/>
        <v>307.79840000000002</v>
      </c>
      <c r="D16" s="2630">
        <f t="shared" si="76"/>
        <v>307.79840000000002</v>
      </c>
      <c r="E16" s="2630">
        <f t="shared" si="89"/>
        <v>574.67759999999998</v>
      </c>
      <c r="F16" s="2630">
        <f t="shared" si="89"/>
        <v>270.20280000000002</v>
      </c>
      <c r="G16" s="3540"/>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539">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534"/>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534"/>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535"/>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533">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534"/>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534"/>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535"/>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533">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534"/>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534"/>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535"/>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2638</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2581</v>
      </c>
      <c r="B29" s="2622">
        <v>299</v>
      </c>
      <c r="C29" s="2622">
        <v>252</v>
      </c>
      <c r="D29" s="2622">
        <f t="shared" si="98"/>
        <v>252</v>
      </c>
      <c r="E29" s="2622">
        <v>409</v>
      </c>
      <c r="F29" s="2623">
        <v>227</v>
      </c>
      <c r="G29" s="3536">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2582</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537"/>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2583</v>
      </c>
      <c r="B31" s="2630">
        <f t="shared" si="107"/>
        <v>288.2649053828776</v>
      </c>
      <c r="C31" s="2630">
        <f t="shared" si="107"/>
        <v>243.64564425013293</v>
      </c>
      <c r="D31" s="2630">
        <f t="shared" si="98"/>
        <v>243.64564425013293</v>
      </c>
      <c r="E31" s="2630">
        <f t="shared" si="108"/>
        <v>393.31080825986544</v>
      </c>
      <c r="F31" s="2630">
        <f t="shared" si="108"/>
        <v>223.07903790551154</v>
      </c>
      <c r="G31" s="3537"/>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2584</v>
      </c>
      <c r="B32" s="2630">
        <f t="shared" si="107"/>
        <v>282.50186729015837</v>
      </c>
      <c r="C32" s="2630">
        <f t="shared" si="107"/>
        <v>238.09796174155468</v>
      </c>
      <c r="D32" s="2630">
        <f t="shared" si="98"/>
        <v>238.09796174155468</v>
      </c>
      <c r="E32" s="2630">
        <f t="shared" si="108"/>
        <v>385.33438646014054</v>
      </c>
      <c r="F32" s="2630">
        <f t="shared" si="108"/>
        <v>221.55034055567739</v>
      </c>
      <c r="G32" s="3538"/>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2585</v>
      </c>
      <c r="B33" s="2660">
        <v>278</v>
      </c>
      <c r="C33" s="2660">
        <v>234</v>
      </c>
      <c r="D33" s="2660">
        <f t="shared" si="98"/>
        <v>234</v>
      </c>
      <c r="E33" s="2660">
        <v>379</v>
      </c>
      <c r="F33" s="2661">
        <v>220</v>
      </c>
      <c r="G33" s="3533">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2586</v>
      </c>
      <c r="B34" s="2630">
        <f>B33/(1+N33)</f>
        <v>275.49301357645425</v>
      </c>
      <c r="C34" s="2630">
        <f>C33/(1+O33)</f>
        <v>232.41954707985698</v>
      </c>
      <c r="D34" s="2630">
        <f t="shared" si="98"/>
        <v>232.41954707985698</v>
      </c>
      <c r="E34" s="2630">
        <f t="shared" ref="E34:F36" si="109">E33/(1+P33)</f>
        <v>375.32184591008121</v>
      </c>
      <c r="F34" s="2630">
        <f t="shared" si="109"/>
        <v>218.03766105054513</v>
      </c>
      <c r="G34" s="3534"/>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2587</v>
      </c>
      <c r="B35" s="2630">
        <f>B34/(1+N34)</f>
        <v>275.24529281292263</v>
      </c>
      <c r="C35" s="2630">
        <f>C34/(1+O34)</f>
        <v>231.74747938962707</v>
      </c>
      <c r="D35" s="2630">
        <f t="shared" si="98"/>
        <v>231.74747938962707</v>
      </c>
      <c r="E35" s="2630">
        <f t="shared" si="109"/>
        <v>375.35938184826603</v>
      </c>
      <c r="F35" s="2630">
        <f t="shared" si="109"/>
        <v>216.78033510692495</v>
      </c>
      <c r="G35" s="3534"/>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2588</v>
      </c>
      <c r="B36" s="2630">
        <f>B35/(1+N35)</f>
        <v>275.19025476197027</v>
      </c>
      <c r="C36" s="2662">
        <v>232</v>
      </c>
      <c r="D36" s="2662">
        <f t="shared" si="98"/>
        <v>232</v>
      </c>
      <c r="E36" s="2630">
        <f t="shared" si="109"/>
        <v>375.65990977608692</v>
      </c>
      <c r="F36" s="2630">
        <f t="shared" si="109"/>
        <v>214.12518283971252</v>
      </c>
      <c r="G36" s="3535"/>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2589</v>
      </c>
      <c r="B37" s="2622">
        <v>275</v>
      </c>
      <c r="C37" s="2622">
        <v>232</v>
      </c>
      <c r="D37" s="2622">
        <f t="shared" si="98"/>
        <v>232</v>
      </c>
      <c r="E37" s="2622">
        <v>376</v>
      </c>
      <c r="F37" s="2623">
        <v>213</v>
      </c>
      <c r="G37" s="3533">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2590</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534">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2591</v>
      </c>
      <c r="B39" s="2630">
        <f t="shared" si="110"/>
        <v>275.19335084830601</v>
      </c>
      <c r="C39" s="2630">
        <f t="shared" si="110"/>
        <v>230.18088050139744</v>
      </c>
      <c r="D39" s="2630">
        <f t="shared" si="98"/>
        <v>230.18088050139744</v>
      </c>
      <c r="E39" s="2630">
        <f t="shared" si="111"/>
        <v>377.58482925212331</v>
      </c>
      <c r="F39" s="2630">
        <f t="shared" si="111"/>
        <v>210.90687997847917</v>
      </c>
      <c r="G39" s="3534">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2592</v>
      </c>
      <c r="B40" s="2630">
        <f t="shared" si="110"/>
        <v>276.29854502841971</v>
      </c>
      <c r="C40" s="2630">
        <f t="shared" si="110"/>
        <v>229.79023709833027</v>
      </c>
      <c r="D40" s="2630">
        <f t="shared" si="98"/>
        <v>229.79023709833027</v>
      </c>
      <c r="E40" s="2630">
        <f t="shared" si="111"/>
        <v>379.78759731655936</v>
      </c>
      <c r="F40" s="2630">
        <f t="shared" si="111"/>
        <v>211.32953905659235</v>
      </c>
      <c r="G40" s="3535">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2593</v>
      </c>
      <c r="B41" s="2622">
        <v>269</v>
      </c>
      <c r="C41" s="2622">
        <v>221</v>
      </c>
      <c r="D41" s="2622">
        <f t="shared" si="98"/>
        <v>221</v>
      </c>
      <c r="E41" s="2622">
        <v>373</v>
      </c>
      <c r="F41" s="2623">
        <v>196</v>
      </c>
      <c r="G41" s="3533">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2594</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534">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2595</v>
      </c>
      <c r="B43" s="2630">
        <f t="shared" si="112"/>
        <v>242.95398227588385</v>
      </c>
      <c r="C43" s="2630">
        <f t="shared" si="112"/>
        <v>199.59137053614126</v>
      </c>
      <c r="D43" s="2630">
        <f t="shared" si="98"/>
        <v>199.59137053614126</v>
      </c>
      <c r="E43" s="2630">
        <f t="shared" si="113"/>
        <v>335.92189522342125</v>
      </c>
      <c r="F43" s="2630">
        <f t="shared" si="113"/>
        <v>183.10139991109489</v>
      </c>
      <c r="G43" s="3534">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2596</v>
      </c>
      <c r="B44" s="2630">
        <f t="shared" si="112"/>
        <v>232.06990378821649</v>
      </c>
      <c r="C44" s="2630">
        <f t="shared" si="112"/>
        <v>192.74878854286936</v>
      </c>
      <c r="D44" s="2630">
        <f t="shared" si="98"/>
        <v>192.74878854286936</v>
      </c>
      <c r="E44" s="2630">
        <f t="shared" si="113"/>
        <v>319.71247284992984</v>
      </c>
      <c r="F44" s="2630">
        <f t="shared" si="113"/>
        <v>175.67053622862409</v>
      </c>
      <c r="G44" s="3535">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2597</v>
      </c>
      <c r="B45" s="2622">
        <v>220</v>
      </c>
      <c r="C45" s="2622">
        <v>187</v>
      </c>
      <c r="D45" s="2622">
        <f t="shared" si="98"/>
        <v>187</v>
      </c>
      <c r="E45" s="2622">
        <v>301</v>
      </c>
      <c r="F45" s="2623">
        <v>168</v>
      </c>
      <c r="G45" s="3533">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2598</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534">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2599</v>
      </c>
      <c r="B47" s="2630">
        <f t="shared" si="114"/>
        <v>210.630522469011</v>
      </c>
      <c r="C47" s="2630">
        <f t="shared" si="114"/>
        <v>181.69567812247232</v>
      </c>
      <c r="D47" s="2630">
        <f t="shared" si="98"/>
        <v>181.69567812247232</v>
      </c>
      <c r="E47" s="2630">
        <f t="shared" si="115"/>
        <v>286.13517466736738</v>
      </c>
      <c r="F47" s="2630">
        <f t="shared" si="115"/>
        <v>165.47535084591149</v>
      </c>
      <c r="G47" s="3534">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2600</v>
      </c>
      <c r="B48" s="2630">
        <f t="shared" si="114"/>
        <v>208.83454537875372</v>
      </c>
      <c r="C48" s="2630">
        <f t="shared" si="114"/>
        <v>183.77230517090351</v>
      </c>
      <c r="D48" s="2630">
        <f t="shared" si="98"/>
        <v>183.77230517090351</v>
      </c>
      <c r="E48" s="2630">
        <f t="shared" si="115"/>
        <v>281.10342338870947</v>
      </c>
      <c r="F48" s="2630">
        <f t="shared" si="115"/>
        <v>168.97309388942256</v>
      </c>
      <c r="G48" s="3535">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2601</v>
      </c>
      <c r="B49" s="2660">
        <v>214</v>
      </c>
      <c r="C49" s="2660">
        <v>188</v>
      </c>
      <c r="D49" s="2660">
        <f t="shared" si="98"/>
        <v>188</v>
      </c>
      <c r="E49" s="2660">
        <v>289</v>
      </c>
      <c r="F49" s="2661">
        <v>166</v>
      </c>
      <c r="G49" s="3533">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2602</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534">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2603</v>
      </c>
      <c r="B51" s="2630">
        <f t="shared" si="116"/>
        <v>206.31694671589116</v>
      </c>
      <c r="C51" s="2630">
        <f t="shared" si="116"/>
        <v>183.61041121036101</v>
      </c>
      <c r="D51" s="2630">
        <f t="shared" si="98"/>
        <v>183.61041121036101</v>
      </c>
      <c r="E51" s="2630">
        <f t="shared" si="117"/>
        <v>276.66850301795557</v>
      </c>
      <c r="F51" s="2630">
        <f t="shared" si="117"/>
        <v>165.1360938278614</v>
      </c>
      <c r="G51" s="3534">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2604</v>
      </c>
      <c r="B52" s="2663">
        <f t="shared" si="116"/>
        <v>196.62341248059772</v>
      </c>
      <c r="C52" s="2663">
        <f t="shared" si="116"/>
        <v>170.99125648199012</v>
      </c>
      <c r="D52" s="2663">
        <f t="shared" si="98"/>
        <v>170.99125648199012</v>
      </c>
      <c r="E52" s="2663">
        <f t="shared" si="117"/>
        <v>266.07857570490052</v>
      </c>
      <c r="F52" s="2663">
        <f t="shared" si="117"/>
        <v>154.53499328828505</v>
      </c>
      <c r="G52" s="3535">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2605</v>
      </c>
      <c r="B53" s="2622">
        <v>188</v>
      </c>
      <c r="C53" s="2622">
        <v>165</v>
      </c>
      <c r="D53" s="2622">
        <f t="shared" si="98"/>
        <v>165</v>
      </c>
      <c r="E53" s="2622">
        <v>254</v>
      </c>
      <c r="F53" s="2623">
        <v>148</v>
      </c>
      <c r="G53" s="3533">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2606</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534">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2607</v>
      </c>
      <c r="B55" s="2630">
        <f t="shared" si="120"/>
        <v>168.82017748715555</v>
      </c>
      <c r="C55" s="2630">
        <f t="shared" si="120"/>
        <v>148.06267029972753</v>
      </c>
      <c r="D55" s="2630">
        <f t="shared" si="98"/>
        <v>148.06267029972753</v>
      </c>
      <c r="E55" s="2630">
        <f t="shared" si="121"/>
        <v>216.46288379323747</v>
      </c>
      <c r="F55" s="2630">
        <f t="shared" si="121"/>
        <v>134.23529411764704</v>
      </c>
      <c r="G55" s="3534">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2608</v>
      </c>
      <c r="B56" s="2630">
        <f t="shared" si="120"/>
        <v>163.84913591779542</v>
      </c>
      <c r="C56" s="2630">
        <f t="shared" si="120"/>
        <v>145.0283378746594</v>
      </c>
      <c r="D56" s="2630">
        <f t="shared" si="98"/>
        <v>145.0283378746594</v>
      </c>
      <c r="E56" s="2630">
        <f t="shared" si="121"/>
        <v>204.95180722891567</v>
      </c>
      <c r="F56" s="2630">
        <f t="shared" si="121"/>
        <v>125.95920303605313</v>
      </c>
      <c r="G56" s="3535">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2609</v>
      </c>
      <c r="B57" s="2644">
        <v>159</v>
      </c>
      <c r="C57" s="2644">
        <v>141</v>
      </c>
      <c r="D57" s="2644">
        <f t="shared" si="98"/>
        <v>141</v>
      </c>
      <c r="E57" s="2644">
        <v>195</v>
      </c>
      <c r="F57" s="2645">
        <v>122</v>
      </c>
      <c r="G57" s="3533">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2610</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534">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2611</v>
      </c>
      <c r="B59" s="2630">
        <f t="shared" si="124"/>
        <v>146.57412060301507</v>
      </c>
      <c r="C59" s="2630">
        <f t="shared" si="124"/>
        <v>136.46831955922866</v>
      </c>
      <c r="D59" s="2630">
        <f t="shared" si="98"/>
        <v>136.46831955922866</v>
      </c>
      <c r="E59" s="2630">
        <f t="shared" si="125"/>
        <v>166.73864894795128</v>
      </c>
      <c r="F59" s="2630">
        <f t="shared" si="125"/>
        <v>115.05882352941177</v>
      </c>
      <c r="G59" s="3534">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2612</v>
      </c>
      <c r="B60" s="2630">
        <f t="shared" si="124"/>
        <v>144.04145728643215</v>
      </c>
      <c r="C60" s="2630">
        <f t="shared" si="124"/>
        <v>136.12396694214877</v>
      </c>
      <c r="D60" s="2630">
        <f t="shared" si="98"/>
        <v>136.12396694214877</v>
      </c>
      <c r="E60" s="2630">
        <f t="shared" si="125"/>
        <v>158.32225913621264</v>
      </c>
      <c r="F60" s="2630">
        <f t="shared" si="125"/>
        <v>114.04278074866311</v>
      </c>
      <c r="G60" s="3535">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2613</v>
      </c>
      <c r="B61" s="2644">
        <v>138</v>
      </c>
      <c r="C61" s="2644">
        <v>131</v>
      </c>
      <c r="D61" s="2644">
        <f t="shared" si="98"/>
        <v>131</v>
      </c>
      <c r="E61" s="2644">
        <v>155</v>
      </c>
      <c r="F61" s="2645">
        <v>114</v>
      </c>
      <c r="G61" s="3533">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2614</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534">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2615</v>
      </c>
      <c r="B63" s="2630">
        <f t="shared" si="128"/>
        <v>124.29032258064517</v>
      </c>
      <c r="C63" s="2630">
        <f t="shared" si="128"/>
        <v>123.8968609865471</v>
      </c>
      <c r="D63" s="2630">
        <f t="shared" si="98"/>
        <v>123.8968609865471</v>
      </c>
      <c r="E63" s="2630">
        <f t="shared" si="129"/>
        <v>138.00507614213197</v>
      </c>
      <c r="F63" s="2630">
        <f t="shared" si="129"/>
        <v>107.96106557377048</v>
      </c>
      <c r="G63" s="3534">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2616</v>
      </c>
      <c r="B64" s="2630">
        <f t="shared" si="128"/>
        <v>122.57204301075269</v>
      </c>
      <c r="C64" s="2630">
        <f t="shared" si="128"/>
        <v>123.4932735426009</v>
      </c>
      <c r="D64" s="2630">
        <f t="shared" si="98"/>
        <v>123.4932735426009</v>
      </c>
      <c r="E64" s="2630">
        <f t="shared" si="129"/>
        <v>129.82233502538071</v>
      </c>
      <c r="F64" s="2630">
        <f t="shared" si="129"/>
        <v>107.39446721311475</v>
      </c>
      <c r="G64" s="3535">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2617</v>
      </c>
      <c r="B65" s="2660">
        <v>121</v>
      </c>
      <c r="C65" s="2660">
        <v>122</v>
      </c>
      <c r="D65" s="2660">
        <f t="shared" si="98"/>
        <v>122</v>
      </c>
      <c r="E65" s="2660">
        <v>124</v>
      </c>
      <c r="F65" s="2661">
        <v>107</v>
      </c>
      <c r="G65" s="3533">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2618</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534">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2619</v>
      </c>
      <c r="B67" s="2630">
        <f t="shared" si="132"/>
        <v>116.99099099099099</v>
      </c>
      <c r="C67" s="2630">
        <f t="shared" si="132"/>
        <v>118.84848484848486</v>
      </c>
      <c r="D67" s="2630">
        <f t="shared" si="98"/>
        <v>118.84848484848486</v>
      </c>
      <c r="E67" s="2630">
        <f t="shared" si="133"/>
        <v>117.60960960960961</v>
      </c>
      <c r="F67" s="2630">
        <f t="shared" si="133"/>
        <v>104</v>
      </c>
      <c r="G67" s="3534">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2620</v>
      </c>
      <c r="B68" s="2663">
        <f t="shared" si="132"/>
        <v>112.48648648648648</v>
      </c>
      <c r="C68" s="2663">
        <f t="shared" si="132"/>
        <v>115.21212121212122</v>
      </c>
      <c r="D68" s="2663">
        <f t="shared" si="98"/>
        <v>115.21212121212122</v>
      </c>
      <c r="E68" s="2663">
        <f t="shared" si="133"/>
        <v>110.4024024024024</v>
      </c>
      <c r="F68" s="2663">
        <f t="shared" si="133"/>
        <v>104</v>
      </c>
      <c r="G68" s="3535">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2621</v>
      </c>
      <c r="B69" s="2681">
        <v>111</v>
      </c>
      <c r="C69" s="2681">
        <v>114</v>
      </c>
      <c r="D69" s="2681">
        <f t="shared" si="98"/>
        <v>114</v>
      </c>
      <c r="E69" s="2681">
        <v>108</v>
      </c>
      <c r="F69" s="2682">
        <v>104</v>
      </c>
      <c r="G69" s="3533">
        <v>2003</v>
      </c>
      <c r="H69" s="2671">
        <v>4</v>
      </c>
      <c r="I69" s="2683"/>
      <c r="J69" s="2683"/>
      <c r="K69" s="2683"/>
      <c r="L69" s="2683"/>
      <c r="N69" s="2684"/>
      <c r="O69" s="2683"/>
      <c r="P69" s="2683"/>
      <c r="Q69" s="2683"/>
      <c r="S69" s="2684"/>
      <c r="T69" s="2683"/>
      <c r="U69" s="2683"/>
      <c r="V69" s="2683"/>
      <c r="X69" s="2675"/>
      <c r="Y69" s="2675"/>
      <c r="Z69" s="2675"/>
    </row>
    <row r="70" spans="1:26">
      <c r="A70" s="2617" t="s">
        <v>2622</v>
      </c>
      <c r="B70" s="2685">
        <f t="shared" ref="B70:C72" si="134">B71+(B$69-B$73)/4</f>
        <v>109.75</v>
      </c>
      <c r="C70" s="2685">
        <f t="shared" si="134"/>
        <v>112.25</v>
      </c>
      <c r="D70" s="2685">
        <f t="shared" si="98"/>
        <v>112.25</v>
      </c>
      <c r="E70" s="2685">
        <f t="shared" ref="E70:F72" si="135">E71+(E$69-E$73)/4</f>
        <v>107.25</v>
      </c>
      <c r="F70" s="2685">
        <f t="shared" si="135"/>
        <v>103.5</v>
      </c>
      <c r="G70" s="3534">
        <v>2003</v>
      </c>
      <c r="H70" s="2641">
        <v>3</v>
      </c>
      <c r="I70" s="2683"/>
      <c r="J70" s="2683"/>
      <c r="K70" s="2683"/>
      <c r="L70" s="2683"/>
      <c r="X70" s="2675"/>
      <c r="Y70" s="2675"/>
      <c r="Z70" s="2675"/>
    </row>
    <row r="71" spans="1:26">
      <c r="A71" s="2617" t="s">
        <v>2623</v>
      </c>
      <c r="B71" s="2685">
        <f t="shared" si="134"/>
        <v>108.5</v>
      </c>
      <c r="C71" s="2685">
        <f t="shared" si="134"/>
        <v>110.5</v>
      </c>
      <c r="D71" s="2685">
        <f t="shared" si="98"/>
        <v>110.5</v>
      </c>
      <c r="E71" s="2685">
        <f t="shared" si="135"/>
        <v>106.5</v>
      </c>
      <c r="F71" s="2685">
        <f t="shared" si="135"/>
        <v>103</v>
      </c>
      <c r="G71" s="3534">
        <v>2003</v>
      </c>
      <c r="H71" s="2621">
        <v>2</v>
      </c>
      <c r="I71" s="2683"/>
      <c r="J71" s="2683"/>
      <c r="K71" s="2683"/>
      <c r="L71" s="2683"/>
      <c r="X71" s="2675"/>
      <c r="Y71" s="2675"/>
      <c r="Z71" s="2675"/>
    </row>
    <row r="72" spans="1:26" ht="13.5" thickBot="1">
      <c r="A72" s="2617" t="s">
        <v>2624</v>
      </c>
      <c r="B72" s="2685">
        <f t="shared" si="134"/>
        <v>107.25</v>
      </c>
      <c r="C72" s="2685">
        <f t="shared" si="134"/>
        <v>108.75</v>
      </c>
      <c r="D72" s="2685">
        <f t="shared" si="98"/>
        <v>108.75</v>
      </c>
      <c r="E72" s="2685">
        <f t="shared" si="135"/>
        <v>105.75</v>
      </c>
      <c r="F72" s="2685">
        <f t="shared" si="135"/>
        <v>102.5</v>
      </c>
      <c r="G72" s="3535">
        <v>2003</v>
      </c>
      <c r="H72" s="2686">
        <v>1</v>
      </c>
      <c r="I72" s="2683"/>
      <c r="J72" s="2683"/>
      <c r="K72" s="2683"/>
      <c r="L72" s="2683"/>
      <c r="S72" s="2625"/>
      <c r="T72" s="2626"/>
      <c r="U72" s="2626"/>
      <c r="X72" s="2675"/>
      <c r="Y72" s="2675"/>
      <c r="Z72" s="2675"/>
    </row>
    <row r="73" spans="1:26" ht="13.5" thickBot="1">
      <c r="A73" s="2617" t="s">
        <v>2625</v>
      </c>
      <c r="B73" s="2687">
        <v>106</v>
      </c>
      <c r="C73" s="2687">
        <v>107</v>
      </c>
      <c r="D73" s="2687">
        <f t="shared" si="98"/>
        <v>107</v>
      </c>
      <c r="E73" s="2687">
        <v>105</v>
      </c>
      <c r="F73" s="2688">
        <v>102</v>
      </c>
      <c r="G73" s="3533">
        <v>2002</v>
      </c>
      <c r="H73" s="2636">
        <v>4</v>
      </c>
      <c r="I73" s="2683"/>
      <c r="J73" s="2683"/>
      <c r="K73" s="2683"/>
      <c r="L73" s="2683"/>
      <c r="N73" s="2684"/>
      <c r="O73" s="2683"/>
      <c r="P73" s="2683"/>
      <c r="Q73" s="2683"/>
      <c r="S73" s="2684"/>
      <c r="T73" s="2683"/>
      <c r="U73" s="2683"/>
      <c r="V73" s="2683"/>
      <c r="X73" s="2675"/>
      <c r="Y73" s="2675"/>
      <c r="Z73" s="2675"/>
    </row>
    <row r="74" spans="1:26">
      <c r="A74" s="2617" t="s">
        <v>2626</v>
      </c>
      <c r="B74" s="2685">
        <f t="shared" ref="B74:C76" si="136">B75+(B$73-B$77)/4</f>
        <v>105</v>
      </c>
      <c r="C74" s="2685">
        <f t="shared" si="136"/>
        <v>106</v>
      </c>
      <c r="D74" s="2685">
        <f t="shared" si="98"/>
        <v>106</v>
      </c>
      <c r="E74" s="2685">
        <f t="shared" ref="E74:F76" si="137">E75+(E$73-E$77)/4</f>
        <v>104.5</v>
      </c>
      <c r="F74" s="2685">
        <f t="shared" si="137"/>
        <v>101.5</v>
      </c>
      <c r="G74" s="3534">
        <v>2002</v>
      </c>
      <c r="H74" s="2641">
        <v>3</v>
      </c>
      <c r="I74" s="2683"/>
      <c r="J74" s="2683"/>
      <c r="K74" s="2683"/>
      <c r="L74" s="2683"/>
      <c r="X74" s="2675"/>
      <c r="Y74" s="2675"/>
      <c r="Z74" s="2675"/>
    </row>
    <row r="75" spans="1:26">
      <c r="A75" s="2617" t="s">
        <v>2627</v>
      </c>
      <c r="B75" s="2685">
        <f t="shared" si="136"/>
        <v>104</v>
      </c>
      <c r="C75" s="2685">
        <f t="shared" si="136"/>
        <v>105</v>
      </c>
      <c r="D75" s="2685">
        <f t="shared" si="98"/>
        <v>105</v>
      </c>
      <c r="E75" s="2685">
        <f t="shared" si="137"/>
        <v>104</v>
      </c>
      <c r="F75" s="2685">
        <f t="shared" si="137"/>
        <v>101</v>
      </c>
      <c r="G75" s="3534">
        <v>2002</v>
      </c>
      <c r="H75" s="2621">
        <v>2</v>
      </c>
      <c r="I75" s="2683"/>
      <c r="J75" s="2683"/>
      <c r="K75" s="2683"/>
      <c r="L75" s="2683"/>
      <c r="X75" s="2675"/>
      <c r="Y75" s="2675"/>
      <c r="Z75" s="2675"/>
    </row>
    <row r="76" spans="1:26" s="2652" customFormat="1" ht="13.5" thickBot="1">
      <c r="A76" s="2648" t="s">
        <v>2628</v>
      </c>
      <c r="B76" s="2689">
        <f t="shared" si="136"/>
        <v>103</v>
      </c>
      <c r="C76" s="2689">
        <f t="shared" si="136"/>
        <v>104</v>
      </c>
      <c r="D76" s="2689">
        <f t="shared" si="98"/>
        <v>104</v>
      </c>
      <c r="E76" s="2689">
        <f t="shared" si="137"/>
        <v>103.5</v>
      </c>
      <c r="F76" s="2689">
        <f t="shared" si="137"/>
        <v>100.5</v>
      </c>
      <c r="G76" s="3535">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2629</v>
      </c>
      <c r="G79" s="2699"/>
      <c r="N79" s="2699"/>
      <c r="S79" s="2699"/>
    </row>
    <row r="80" spans="1:26" s="2698" customFormat="1">
      <c r="A80" s="2698" t="s">
        <v>2630</v>
      </c>
      <c r="G80" s="2699"/>
      <c r="N80" s="2699"/>
      <c r="S80" s="2699"/>
    </row>
    <row r="81" spans="1:22" s="2698" customFormat="1">
      <c r="A81" s="2698" t="s">
        <v>2631</v>
      </c>
      <c r="G81" s="2699"/>
      <c r="I81" s="2700"/>
      <c r="J81" s="2700"/>
      <c r="K81" s="2700"/>
      <c r="L81" s="2700"/>
      <c r="N81" s="2701"/>
      <c r="O81" s="2700"/>
      <c r="P81" s="2700"/>
      <c r="Q81" s="2700"/>
      <c r="S81" s="2701"/>
      <c r="T81" s="2700"/>
      <c r="U81" s="2700"/>
      <c r="V81" s="2700"/>
    </row>
    <row r="82" spans="1:22" s="2698" customFormat="1">
      <c r="A82" s="2698" t="s">
        <v>2632</v>
      </c>
      <c r="G82" s="2699"/>
      <c r="N82" s="2699"/>
      <c r="S82" s="2699"/>
    </row>
    <row r="89" spans="1:22" ht="13.5" thickBot="1"/>
    <row r="90" spans="1:22">
      <c r="G90" s="2624"/>
      <c r="S90" s="2702" t="s">
        <v>2633</v>
      </c>
      <c r="T90" s="2703" t="s">
        <v>2634</v>
      </c>
      <c r="U90" s="2703" t="s">
        <v>2635</v>
      </c>
      <c r="V90" s="2703" t="s">
        <v>2636</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2945</v>
      </c>
      <c r="B1" s="3054"/>
      <c r="C1" s="3054"/>
      <c r="D1" s="3054"/>
      <c r="E1" s="3054"/>
      <c r="F1" s="3054"/>
    </row>
    <row r="2" spans="1:6" ht="14.25">
      <c r="A2" s="3055" t="s">
        <v>2940</v>
      </c>
      <c r="B2" s="3056" t="e">
        <f ca="1">SUMIF(B7:B14,"&lt;&gt;#ref!",B7:B14)</f>
        <v>#DIV/0!</v>
      </c>
      <c r="C2" s="3055" t="s">
        <v>2941</v>
      </c>
      <c r="D2" s="3054"/>
      <c r="E2" s="3054"/>
      <c r="F2" s="3054"/>
    </row>
    <row r="3" spans="1:6" ht="14.25">
      <c r="A3" s="3055" t="s">
        <v>2973</v>
      </c>
      <c r="B3" s="3056" t="e">
        <f ca="1">ROUND(B2*10000/E3,0)</f>
        <v>#DIV/0!</v>
      </c>
      <c r="C3" s="3055" t="s">
        <v>2077</v>
      </c>
      <c r="D3" s="3055" t="s">
        <v>2942</v>
      </c>
      <c r="E3" s="3056">
        <f ca="1">SUMIF(E7:E14,"&lt;&gt;#ref!",E7:E14)</f>
        <v>0</v>
      </c>
      <c r="F3" s="3054"/>
    </row>
    <row r="4" spans="1:6" ht="14.25">
      <c r="A4" s="3055" t="s">
        <v>2949</v>
      </c>
      <c r="B4" s="3056" t="e">
        <f ca="1">ROUND(B2*10000/E4,0)</f>
        <v>#DIV/0!</v>
      </c>
      <c r="C4" s="3055" t="s">
        <v>2077</v>
      </c>
      <c r="D4" s="3055" t="s">
        <v>2950</v>
      </c>
      <c r="E4" s="3056">
        <f ca="1">SUMIF(F7:F14,"&lt;&gt;#ref!",F7:F14)</f>
        <v>0</v>
      </c>
      <c r="F4" s="3054"/>
    </row>
    <row r="5" spans="1:6" ht="14.25">
      <c r="A5" s="3057"/>
      <c r="B5" s="1864"/>
      <c r="C5" s="1864"/>
      <c r="D5" s="1864"/>
      <c r="E5" s="1864"/>
      <c r="F5" s="3054"/>
    </row>
    <row r="6" spans="1:6" ht="28.5">
      <c r="A6" s="3058" t="s">
        <v>2946</v>
      </c>
      <c r="B6" s="3055" t="s">
        <v>2943</v>
      </c>
      <c r="C6" s="3056"/>
      <c r="D6" s="1864"/>
      <c r="E6" s="3055" t="s">
        <v>2944</v>
      </c>
      <c r="F6" s="3055" t="s">
        <v>2948</v>
      </c>
    </row>
    <row r="7" spans="1:6" ht="14.25">
      <c r="A7" s="259" t="s">
        <v>2947</v>
      </c>
      <c r="B7" s="3059" t="e">
        <f ca="1">SUMIF(INDIRECT("'"&amp;A7&amp;"'"&amp;"!A:A"),"总价",INDIRECT("'"&amp;A7&amp;"'"&amp;"!B:B"))</f>
        <v>#DIV/0!</v>
      </c>
      <c r="C7" s="3055" t="s">
        <v>2941</v>
      </c>
      <c r="D7" s="1864"/>
      <c r="E7" s="3060">
        <f ca="1">SUMIF(INDIRECT("'"&amp;A7&amp;"'"&amp;"!C:C"),"建筑面积",INDIRECT("'"&amp;A7&amp;"'"&amp;"!D:D"))</f>
        <v>0</v>
      </c>
      <c r="F7" s="3060">
        <f ca="1">SUMIF(INDIRECT("'"&amp;A7&amp;"'"&amp;"!E:E"),"土地面积",INDIRECT("'"&amp;A7&amp;"'"&amp;"!F:F"))</f>
        <v>0</v>
      </c>
    </row>
    <row r="8" spans="1:6" ht="14.25">
      <c r="A8" s="259"/>
      <c r="B8" s="3059" t="e">
        <f t="shared" ref="B8:B14" ca="1" si="0">SUMIF(INDIRECT("'"&amp;A8&amp;"'"&amp;"!A:A"),"总价",INDIRECT("'"&amp;A8&amp;"'"&amp;"!B:B"))</f>
        <v>#REF!</v>
      </c>
      <c r="C8" s="3055" t="s">
        <v>2941</v>
      </c>
      <c r="D8" s="1864"/>
      <c r="E8" s="3060" t="e">
        <f t="shared" ref="E8:E14" ca="1" si="1">SUMIF(INDIRECT("'"&amp;A8&amp;"'"&amp;"!C:C"),"建筑面积",INDIRECT("'"&amp;A8&amp;"'"&amp;"!D:D"))</f>
        <v>#REF!</v>
      </c>
      <c r="F8" s="3060" t="e">
        <f t="shared" ref="F8:F14" ca="1" si="2">SUMIF(INDIRECT("'"&amp;A8&amp;"'"&amp;"!E:E"),"土地面积",INDIRECT("'"&amp;A8&amp;"'"&amp;"!F:F"))</f>
        <v>#REF!</v>
      </c>
    </row>
    <row r="9" spans="1:6" ht="14.25">
      <c r="A9" s="259"/>
      <c r="B9" s="3059" t="e">
        <f t="shared" ca="1" si="0"/>
        <v>#REF!</v>
      </c>
      <c r="C9" s="3055" t="s">
        <v>2941</v>
      </c>
      <c r="D9" s="1864"/>
      <c r="E9" s="3060" t="e">
        <f t="shared" ca="1" si="1"/>
        <v>#REF!</v>
      </c>
      <c r="F9" s="3060" t="e">
        <f t="shared" ca="1" si="2"/>
        <v>#REF!</v>
      </c>
    </row>
    <row r="10" spans="1:6" ht="14.25">
      <c r="A10" s="259"/>
      <c r="B10" s="3059" t="e">
        <f t="shared" ca="1" si="0"/>
        <v>#REF!</v>
      </c>
      <c r="C10" s="3055" t="s">
        <v>2941</v>
      </c>
      <c r="D10" s="1864"/>
      <c r="E10" s="3060" t="e">
        <f t="shared" ca="1" si="1"/>
        <v>#REF!</v>
      </c>
      <c r="F10" s="3060" t="e">
        <f t="shared" ca="1" si="2"/>
        <v>#REF!</v>
      </c>
    </row>
    <row r="11" spans="1:6" ht="14.25">
      <c r="A11" s="259"/>
      <c r="B11" s="3059" t="e">
        <f t="shared" ca="1" si="0"/>
        <v>#REF!</v>
      </c>
      <c r="C11" s="3055" t="s">
        <v>2941</v>
      </c>
      <c r="D11" s="1864"/>
      <c r="E11" s="3060" t="e">
        <f t="shared" ca="1" si="1"/>
        <v>#REF!</v>
      </c>
      <c r="F11" s="3060" t="e">
        <f t="shared" ca="1" si="2"/>
        <v>#REF!</v>
      </c>
    </row>
    <row r="12" spans="1:6" ht="14.25">
      <c r="A12" s="259"/>
      <c r="B12" s="3059" t="e">
        <f t="shared" ca="1" si="0"/>
        <v>#REF!</v>
      </c>
      <c r="C12" s="3055" t="s">
        <v>2941</v>
      </c>
      <c r="D12" s="1864"/>
      <c r="E12" s="3060" t="e">
        <f t="shared" ca="1" si="1"/>
        <v>#REF!</v>
      </c>
      <c r="F12" s="3060" t="e">
        <f t="shared" ca="1" si="2"/>
        <v>#REF!</v>
      </c>
    </row>
    <row r="13" spans="1:6" ht="14.25">
      <c r="A13" s="259"/>
      <c r="B13" s="3059" t="e">
        <f t="shared" ca="1" si="0"/>
        <v>#REF!</v>
      </c>
      <c r="C13" s="3055" t="s">
        <v>2941</v>
      </c>
      <c r="D13" s="1864"/>
      <c r="E13" s="3060" t="e">
        <f t="shared" ca="1" si="1"/>
        <v>#REF!</v>
      </c>
      <c r="F13" s="3060" t="e">
        <f t="shared" ca="1" si="2"/>
        <v>#REF!</v>
      </c>
    </row>
    <row r="14" spans="1:6" ht="14.25">
      <c r="A14" s="3053"/>
      <c r="B14" s="3059" t="e">
        <f t="shared" ca="1" si="0"/>
        <v>#REF!</v>
      </c>
      <c r="C14" s="3055" t="s">
        <v>2941</v>
      </c>
      <c r="D14" s="1864"/>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2372</v>
      </c>
      <c r="F1" s="2350">
        <f ca="1">J54</f>
        <v>-2</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8" t="s">
        <v>629</v>
      </c>
      <c r="B2" s="774">
        <f ca="1">IF(ISERROR(C45+J31),0,C45+J31)</f>
        <v>0</v>
      </c>
      <c r="C2" s="1345"/>
      <c r="D2" s="2038"/>
      <c r="E2" s="2039"/>
      <c r="F2" s="2039"/>
      <c r="G2" s="1575"/>
      <c r="H2" s="1357"/>
      <c r="I2" s="2040"/>
      <c r="J2" s="2040"/>
      <c r="K2" s="2041"/>
      <c r="L2" s="2040"/>
      <c r="M2" s="2040"/>
    </row>
    <row r="3" spans="1:25" ht="18" customHeight="1">
      <c r="A3" s="1629" t="s">
        <v>1686</v>
      </c>
      <c r="B3" s="1386">
        <f ca="1">ROUND(B2*10000/'数据-汇总表'!E3,0)</f>
        <v>0</v>
      </c>
      <c r="C3" s="1345"/>
      <c r="D3" s="2038"/>
      <c r="E3" s="2039"/>
      <c r="F3" s="2039"/>
      <c r="G3" s="1575"/>
      <c r="H3" s="775" t="s">
        <v>695</v>
      </c>
      <c r="I3" s="2040"/>
      <c r="J3" s="2040"/>
      <c r="K3" s="2041"/>
      <c r="L3" s="2040"/>
      <c r="M3" s="2040"/>
    </row>
    <row r="4" spans="1:25" ht="18" customHeight="1">
      <c r="A4" s="1630" t="s">
        <v>696</v>
      </c>
      <c r="B4" s="1346">
        <f ca="1">ROUND(B2*10000/'数据-汇总表'!D3,0)</f>
        <v>0</v>
      </c>
      <c r="C4" s="427"/>
      <c r="D4" s="2038"/>
      <c r="E4" s="2039"/>
      <c r="F4" s="2039"/>
      <c r="G4" s="1575"/>
      <c r="H4" s="775"/>
      <c r="I4" s="2040"/>
      <c r="J4" s="2040"/>
      <c r="K4" s="2041"/>
      <c r="L4" s="2040"/>
      <c r="M4" s="2040"/>
    </row>
    <row r="5" spans="1:25" ht="18" customHeight="1" thickBot="1">
      <c r="A5" s="1631"/>
      <c r="B5" s="429">
        <f ca="1">ROUND(B2/('数据-汇总表'!D3/666.67),0)</f>
        <v>0</v>
      </c>
      <c r="C5" s="430" t="s">
        <v>697</v>
      </c>
      <c r="D5" s="2038"/>
      <c r="E5" s="2039"/>
      <c r="F5" s="2039"/>
      <c r="G5" s="1575"/>
      <c r="H5" s="775"/>
      <c r="I5" s="2040"/>
      <c r="J5" s="2040"/>
      <c r="K5" s="2041"/>
      <c r="L5" s="2040"/>
      <c r="M5" s="2040"/>
    </row>
    <row r="6" spans="1:25" ht="18" customHeight="1">
      <c r="A6" s="1811" t="s">
        <v>698</v>
      </c>
      <c r="B6" s="1803" t="s">
        <v>699</v>
      </c>
      <c r="C6" s="1803" t="s">
        <v>632</v>
      </c>
      <c r="D6" s="1803" t="s">
        <v>633</v>
      </c>
      <c r="E6" s="778" t="s">
        <v>634</v>
      </c>
      <c r="F6" s="779"/>
      <c r="G6" s="1577"/>
      <c r="H6" s="1811" t="s">
        <v>630</v>
      </c>
      <c r="I6" s="1803" t="s">
        <v>631</v>
      </c>
      <c r="J6" s="1803" t="s">
        <v>632</v>
      </c>
      <c r="K6" s="1803" t="s">
        <v>633</v>
      </c>
      <c r="L6" s="778" t="s">
        <v>634</v>
      </c>
      <c r="M6" s="779"/>
    </row>
    <row r="7" spans="1:25" ht="18" customHeight="1">
      <c r="A7" s="780">
        <v>1</v>
      </c>
      <c r="B7" s="781" t="s">
        <v>2456</v>
      </c>
      <c r="C7" s="53">
        <f ca="1">C8+C12+C14</f>
        <v>0</v>
      </c>
      <c r="D7" s="2458" t="s">
        <v>2459</v>
      </c>
      <c r="E7" s="2452"/>
      <c r="F7" s="2453"/>
      <c r="G7" s="1577"/>
      <c r="H7" s="780">
        <v>1</v>
      </c>
      <c r="I7" s="781" t="s">
        <v>2456</v>
      </c>
      <c r="J7" s="53">
        <f ca="1">J8+J12+J14</f>
        <v>0</v>
      </c>
      <c r="K7" s="2458" t="s">
        <v>2459</v>
      </c>
      <c r="L7" s="2452"/>
      <c r="M7" s="2453"/>
    </row>
    <row r="8" spans="1:25" ht="18" customHeight="1">
      <c r="A8" s="1813" t="s">
        <v>1824</v>
      </c>
      <c r="B8" s="3542" t="s">
        <v>2461</v>
      </c>
      <c r="C8" s="1808">
        <f ca="1">ROUND(F8*F10*F9*(1-F11)/10000,0)</f>
        <v>0</v>
      </c>
      <c r="D8" s="1805" t="s">
        <v>2532</v>
      </c>
      <c r="E8" s="61" t="s">
        <v>637</v>
      </c>
      <c r="F8" s="784">
        <f ca="1">INDIRECT("'数据-取费表'!u"&amp;$G$1)</f>
        <v>0</v>
      </c>
      <c r="G8" s="1577"/>
      <c r="H8" s="2466" t="s">
        <v>1824</v>
      </c>
      <c r="I8" s="3542" t="s">
        <v>2461</v>
      </c>
      <c r="J8" s="782">
        <f ca="1">ROUND(M8*M10*M9*(1-M11)/10000,0)</f>
        <v>0</v>
      </c>
      <c r="K8" s="340" t="s">
        <v>2532</v>
      </c>
      <c r="L8" s="783" t="s">
        <v>1738</v>
      </c>
      <c r="M8" s="784">
        <f ca="1">INDIRECT("'数据-取费表'!z"&amp;$G$1)</f>
        <v>0</v>
      </c>
    </row>
    <row r="9" spans="1:25" ht="18" customHeight="1">
      <c r="A9" s="2462"/>
      <c r="B9" s="3543"/>
      <c r="C9" s="1809"/>
      <c r="D9" s="1806"/>
      <c r="E9" s="61" t="s">
        <v>638</v>
      </c>
      <c r="F9" s="784">
        <f ca="1">IF(INDIRECT("'数据-取费表'!ah"&amp;$G$1)="",INDIRECT("'数据-取费表'!k"&amp;$G$1),INDIRECT("'数据-取费表'!ah"&amp;$G$1))</f>
        <v>0</v>
      </c>
      <c r="G9" s="1577"/>
      <c r="H9" s="2451"/>
      <c r="I9" s="3543"/>
      <c r="J9" s="787"/>
      <c r="K9" s="788"/>
      <c r="L9" s="783" t="s">
        <v>1739</v>
      </c>
      <c r="M9" s="784">
        <f ca="1">F9</f>
        <v>0</v>
      </c>
    </row>
    <row r="10" spans="1:25" ht="18" customHeight="1">
      <c r="A10" s="2455"/>
      <c r="B10" s="3544"/>
      <c r="C10" s="1809"/>
      <c r="D10" s="1806"/>
      <c r="E10" s="61" t="s">
        <v>639</v>
      </c>
      <c r="F10" s="784">
        <f ca="1">INDIRECT("'数据-取费表'!ai"&amp;$G$1)</f>
        <v>0</v>
      </c>
      <c r="G10" s="1577"/>
      <c r="H10" s="2451"/>
      <c r="I10" s="3544"/>
      <c r="J10" s="787"/>
      <c r="K10" s="788"/>
      <c r="L10" s="783" t="s">
        <v>1740</v>
      </c>
      <c r="M10" s="784">
        <f ca="1">INDIRECT("'数据-取费表'!ai"&amp;$G$1)</f>
        <v>0</v>
      </c>
    </row>
    <row r="11" spans="1:25" ht="18" customHeight="1">
      <c r="A11" s="785"/>
      <c r="B11" s="3545"/>
      <c r="C11" s="1809"/>
      <c r="D11" s="1806"/>
      <c r="E11" s="61" t="s">
        <v>640</v>
      </c>
      <c r="F11" s="793">
        <f ca="1">INDIRECT("'数据-取费表'!w"&amp;$G$1)</f>
        <v>0</v>
      </c>
      <c r="G11" s="1577"/>
      <c r="H11" s="2467"/>
      <c r="I11" s="3544"/>
      <c r="J11" s="787"/>
      <c r="K11" s="788"/>
      <c r="L11" s="794" t="s">
        <v>1741</v>
      </c>
      <c r="M11" s="795">
        <f ca="1">INDIRECT("'数据-取费表'!ab"&amp;$G$1)</f>
        <v>0</v>
      </c>
    </row>
    <row r="12" spans="1:25" ht="18" customHeight="1">
      <c r="A12" s="1813" t="s">
        <v>1825</v>
      </c>
      <c r="B12" s="2456" t="s">
        <v>2457</v>
      </c>
      <c r="C12" s="798">
        <f ca="1">ROUND(IF(F12="押一",C8/12*F13,IF(F12="押二",C8/12*2*F13,IF(F12="押三",C8/12*3*F13,C13*F13))),0)</f>
        <v>0</v>
      </c>
      <c r="D12" s="2463" t="s">
        <v>2970</v>
      </c>
      <c r="E12" s="2460" t="s">
        <v>2462</v>
      </c>
      <c r="F12" s="2583"/>
      <c r="G12" s="1577"/>
      <c r="H12" s="2523" t="s">
        <v>1825</v>
      </c>
      <c r="I12" s="2528" t="s">
        <v>2457</v>
      </c>
      <c r="J12" s="782">
        <f ca="1">ROUND(IF(M12="押一",J8/12*M13,IF(M12="押二",J8/12*2*M13,IF(M12="押三",J8/12*3*M13,J13*M13))),0)</f>
        <v>0</v>
      </c>
      <c r="K12" s="2463" t="s">
        <v>2970</v>
      </c>
      <c r="L12" s="2460" t="s">
        <v>2462</v>
      </c>
      <c r="M12" s="2583"/>
    </row>
    <row r="13" spans="1:25" ht="18" customHeight="1">
      <c r="A13" s="789"/>
      <c r="B13" s="2457" t="s">
        <v>2571</v>
      </c>
      <c r="C13" s="2461"/>
      <c r="D13" s="788"/>
      <c r="E13" s="2460" t="s">
        <v>2454</v>
      </c>
      <c r="F13" s="795">
        <f ca="1">'数据-取费表'!B39</f>
        <v>1.4999999999999999E-2</v>
      </c>
      <c r="G13" s="1577"/>
      <c r="H13" s="2524"/>
      <c r="I13" s="2457" t="s">
        <v>2571</v>
      </c>
      <c r="J13" s="2461"/>
      <c r="K13" s="2525"/>
      <c r="L13" s="2460" t="s">
        <v>2454</v>
      </c>
      <c r="M13" s="2454">
        <f ca="1">'数据-取费表'!B39</f>
        <v>1.4999999999999999E-2</v>
      </c>
    </row>
    <row r="14" spans="1:25" ht="18" customHeight="1" thickBot="1">
      <c r="A14" s="2499" t="s">
        <v>2465</v>
      </c>
      <c r="B14" s="2500" t="s">
        <v>2458</v>
      </c>
      <c r="C14" s="2501"/>
      <c r="D14" s="2502"/>
      <c r="E14" s="2503"/>
      <c r="F14" s="2504"/>
      <c r="G14" s="1577"/>
      <c r="H14" s="2513" t="s">
        <v>2465</v>
      </c>
      <c r="I14" s="2526" t="s">
        <v>2458</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7"/>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7"/>
      <c r="H16" s="802" t="s">
        <v>2068</v>
      </c>
      <c r="I16" s="2214" t="s">
        <v>2822</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8"/>
      <c r="H17" s="802" t="s">
        <v>2069</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7"/>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8"/>
      <c r="H19" s="802" t="s">
        <v>2068</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8"/>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7"/>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8"/>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1.4999999999999999E-2</v>
      </c>
      <c r="G23" s="1578"/>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7"/>
      <c r="H24" s="1814" t="s">
        <v>2069</v>
      </c>
      <c r="I24" s="783" t="s">
        <v>676</v>
      </c>
      <c r="J24" s="53">
        <f ca="1">ROUND(J16*M24,0)</f>
        <v>0</v>
      </c>
      <c r="K24" s="1960" t="s">
        <v>677</v>
      </c>
      <c r="L24" s="783" t="s">
        <v>649</v>
      </c>
      <c r="M24" s="816">
        <f ca="1">INDIRECT("'数据-取费表'!Ak"&amp;$G$1)</f>
        <v>0</v>
      </c>
    </row>
    <row r="25" spans="1:25" s="2047" customFormat="1" ht="18" customHeight="1">
      <c r="A25" s="802" t="s">
        <v>1875</v>
      </c>
      <c r="B25" s="783" t="s">
        <v>2435</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8"/>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6.9999999999999999E-4</v>
      </c>
      <c r="D26" s="2533" t="str">
        <f>IF(F25&lt;=1,"销售费用×利率×(建设周期÷2)","销售费用×((1+利率)^(建设周期÷2)-1)")</f>
        <v>销售费用×((1+利率)^(建设周期÷2)-1)</v>
      </c>
      <c r="E26" s="783" t="s">
        <v>682</v>
      </c>
      <c r="F26" s="818">
        <f ca="1">'数据-取费表'!B40</f>
        <v>4.7500000000000001E-2</v>
      </c>
      <c r="G26" s="1578"/>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7"/>
      <c r="H27" s="796" t="s">
        <v>1828</v>
      </c>
      <c r="I27" s="2961" t="s">
        <v>2819</v>
      </c>
      <c r="J27" s="798">
        <f ca="1">J7-J18</f>
        <v>0</v>
      </c>
      <c r="K27" s="1962" t="s">
        <v>700</v>
      </c>
      <c r="L27" s="1964"/>
      <c r="M27" s="819"/>
    </row>
    <row r="28" spans="1:25" ht="18" customHeight="1">
      <c r="A28" s="802" t="s">
        <v>1875</v>
      </c>
      <c r="B28" s="783" t="s">
        <v>2436</v>
      </c>
      <c r="C28" s="53">
        <f ca="1">ROUND((C21+C22)*F28,0)</f>
        <v>0</v>
      </c>
      <c r="D28" s="811" t="s">
        <v>701</v>
      </c>
      <c r="E28" s="794" t="s">
        <v>702</v>
      </c>
      <c r="F28" s="793">
        <f ca="1">INDIRECT("'数据-取费表'!q"&amp;$G$1)</f>
        <v>0</v>
      </c>
      <c r="G28" s="1577"/>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7"/>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8"/>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2820</v>
      </c>
      <c r="C31" s="2506">
        <f ca="1">ROUND((C21+C22+C25+C28)/(1-F23-C26-C29-C30),0)</f>
        <v>0</v>
      </c>
      <c r="D31" s="2507"/>
      <c r="E31" s="2508"/>
      <c r="F31" s="2509"/>
      <c r="G31" s="1578"/>
      <c r="H31" s="822" t="s">
        <v>1872</v>
      </c>
      <c r="I31" s="2962" t="s">
        <v>2821</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541"/>
      <c r="J36" s="2062"/>
      <c r="K36" s="2063"/>
      <c r="L36" s="2062"/>
      <c r="M36" s="2062"/>
    </row>
    <row r="37" spans="1:18" ht="18" customHeight="1">
      <c r="A37" s="814"/>
      <c r="B37" s="792"/>
      <c r="C37" s="69"/>
      <c r="D37" s="815"/>
      <c r="E37" s="783" t="s">
        <v>674</v>
      </c>
      <c r="F37" s="784">
        <f ca="1">INDIRECT("'数据-取费表'!r"&amp;$G$1)</f>
        <v>0</v>
      </c>
      <c r="G37" s="2045"/>
      <c r="H37" s="2048"/>
      <c r="I37" s="3541"/>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1" t="s">
        <v>2958</v>
      </c>
      <c r="F43" s="3072">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7">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3" t="s">
        <v>2961</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2341</v>
      </c>
      <c r="J47" s="2341"/>
      <c r="K47" s="2342"/>
      <c r="L47" s="3105" t="str">
        <f ca="1">IF(M48="住宅",0,IF(L49&gt;J52,L61,J61))</f>
        <v>0</v>
      </c>
      <c r="O47" s="2356" t="s">
        <v>2408</v>
      </c>
      <c r="P47" s="1577"/>
      <c r="Q47" s="1588"/>
      <c r="R47" s="1577"/>
    </row>
    <row r="48" spans="1:18" s="2042" customFormat="1" ht="18" customHeight="1" thickBot="1">
      <c r="A48" s="2067"/>
      <c r="C48" s="2070"/>
      <c r="D48" s="2071"/>
      <c r="E48" s="2071"/>
      <c r="F48" s="2072"/>
      <c r="G48" s="2073"/>
      <c r="I48" s="3096" t="s">
        <v>2342</v>
      </c>
      <c r="J48" s="2343"/>
      <c r="K48" s="3102" t="s">
        <v>2347</v>
      </c>
      <c r="L48" s="3106">
        <f ca="1">INDIRECT("'数据-取费表'!d"&amp;$G$1)</f>
        <v>0</v>
      </c>
      <c r="M48" s="3070" t="str">
        <f>IF(ISNUMBER(FIND("住宅",C1)),"住宅","非住宅")</f>
        <v>非住宅</v>
      </c>
      <c r="O48" s="2357" t="s">
        <v>2373</v>
      </c>
      <c r="P48" s="2358" t="s">
        <v>2374</v>
      </c>
      <c r="Q48" s="2359" t="s">
        <v>2375</v>
      </c>
      <c r="R48" s="2358" t="s">
        <v>2376</v>
      </c>
    </row>
    <row r="49" spans="1:18" s="2042" customFormat="1" ht="18" customHeight="1" thickBot="1">
      <c r="A49" s="2067"/>
      <c r="D49" s="2074"/>
      <c r="E49" s="2075"/>
      <c r="F49" s="2072"/>
      <c r="G49" s="2073"/>
      <c r="H49" s="2076"/>
      <c r="I49" s="3075" t="s">
        <v>2343</v>
      </c>
      <c r="J49" s="2344"/>
      <c r="K49" s="3103" t="s">
        <v>2349</v>
      </c>
      <c r="L49" s="1891">
        <f ca="1">INDIRECT("'数据-取费表'!f"&amp;$G$1)</f>
        <v>0</v>
      </c>
      <c r="O49" s="2360" t="s">
        <v>2377</v>
      </c>
      <c r="P49" s="2361" t="s">
        <v>2403</v>
      </c>
      <c r="Q49" s="2362">
        <f ca="1">C41+J31</f>
        <v>0</v>
      </c>
      <c r="R49" s="2361" t="s">
        <v>2378</v>
      </c>
    </row>
    <row r="50" spans="1:18" s="2042" customFormat="1" ht="18" customHeight="1" thickBot="1">
      <c r="A50" s="2067"/>
      <c r="D50" s="2077"/>
      <c r="E50" s="2077"/>
      <c r="F50" s="2071"/>
      <c r="G50" s="2078"/>
      <c r="H50" s="2076"/>
      <c r="I50" s="3075" t="s">
        <v>2344</v>
      </c>
      <c r="J50" s="2345"/>
      <c r="K50" s="3104" t="s">
        <v>2350</v>
      </c>
      <c r="L50" s="2346"/>
      <c r="O50" s="2360" t="s">
        <v>2379</v>
      </c>
      <c r="P50" s="2361" t="s">
        <v>2404</v>
      </c>
      <c r="Q50" s="2362" t="str">
        <f ca="1">J61</f>
        <v>0</v>
      </c>
      <c r="R50" s="2361" t="s">
        <v>2380</v>
      </c>
    </row>
    <row r="51" spans="1:18" s="2042" customFormat="1" ht="18" customHeight="1" thickBot="1">
      <c r="A51" s="2079"/>
      <c r="D51" s="2077"/>
      <c r="E51" s="2077"/>
      <c r="F51" s="2068"/>
      <c r="H51" s="2076"/>
      <c r="I51" s="3075" t="s">
        <v>2345</v>
      </c>
      <c r="J51" s="3100">
        <f>SUMPRODUCT((I64:I66=J48)*(J63:L63=J49)*(J64:L66))</f>
        <v>0</v>
      </c>
      <c r="K51" s="3104" t="s">
        <v>2351</v>
      </c>
      <c r="L51" s="2346"/>
      <c r="O51" s="2363" t="s">
        <v>2381</v>
      </c>
      <c r="P51" s="2361" t="s">
        <v>2405</v>
      </c>
      <c r="Q51" s="2362">
        <f ca="1">C31</f>
        <v>0</v>
      </c>
      <c r="R51" s="2361" t="s">
        <v>2378</v>
      </c>
    </row>
    <row r="52" spans="1:18" s="2042" customFormat="1" ht="18" customHeight="1" thickBot="1">
      <c r="A52" s="2079"/>
      <c r="F52" s="2068"/>
      <c r="I52" s="3097" t="s">
        <v>2346</v>
      </c>
      <c r="J52" s="3101">
        <f>IF(J50="",J51,J50+J51-YEAR('数据-取费表'!B3))</f>
        <v>0</v>
      </c>
      <c r="K52" s="3075" t="s">
        <v>2352</v>
      </c>
      <c r="L52" s="3107">
        <f ca="1">ROUND(-PV(INDIRECT("'数据-取费表'!h"&amp;$G$1),L49,(C40-C14*J36),0),0)</f>
        <v>0</v>
      </c>
      <c r="O52" s="2363" t="s">
        <v>2382</v>
      </c>
      <c r="P52" s="2361" t="s">
        <v>2383</v>
      </c>
      <c r="Q52" s="2364" t="e">
        <f ca="1">J59</f>
        <v>#VALUE!</v>
      </c>
      <c r="R52" s="2365"/>
    </row>
    <row r="53" spans="1:18" s="2042" customFormat="1" ht="18" customHeight="1" thickBot="1">
      <c r="A53" s="2079"/>
      <c r="F53" s="2068"/>
      <c r="I53" s="3098" t="s">
        <v>2419</v>
      </c>
      <c r="J53" s="2347"/>
      <c r="K53" s="3098" t="s">
        <v>2418</v>
      </c>
      <c r="L53" s="2347"/>
      <c r="O53" s="2363" t="s">
        <v>2384</v>
      </c>
      <c r="P53" s="2361" t="s">
        <v>2385</v>
      </c>
      <c r="Q53" s="2364">
        <f>J53</f>
        <v>0</v>
      </c>
      <c r="R53" s="2365"/>
    </row>
    <row r="54" spans="1:18" s="2042" customFormat="1" ht="29.25" thickBot="1">
      <c r="A54" s="2079"/>
      <c r="I54" s="3099" t="s">
        <v>2974</v>
      </c>
      <c r="J54" s="3178">
        <f ca="1">IF(M48="住宅",MAX(J52,L49-'数据-取费表'!B20),MIN(J52,L49-'数据-取费表'!B20))</f>
        <v>-2</v>
      </c>
      <c r="K54" s="3546"/>
      <c r="L54" s="3547"/>
      <c r="O54" s="2363" t="s">
        <v>2386</v>
      </c>
      <c r="P54" s="2361" t="s">
        <v>2387</v>
      </c>
      <c r="Q54" s="2362">
        <f ca="1">J54</f>
        <v>-2</v>
      </c>
      <c r="R54" s="2361" t="s">
        <v>2388</v>
      </c>
    </row>
    <row r="55" spans="1:18" s="2042" customFormat="1" ht="18" customHeight="1" thickBot="1">
      <c r="A55" s="2079"/>
      <c r="I55" s="31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8"/>
      <c r="K55" s="3109"/>
      <c r="O55" s="2360" t="s">
        <v>2389</v>
      </c>
      <c r="P55" s="2361" t="s">
        <v>2406</v>
      </c>
      <c r="Q55" s="2362">
        <f ca="1">Q49+Q50</f>
        <v>0</v>
      </c>
      <c r="R55" s="2365" t="s">
        <v>2390</v>
      </c>
    </row>
    <row r="56" spans="1:18" s="2042" customFormat="1" ht="16.5" thickBot="1">
      <c r="A56" s="2079"/>
      <c r="B56" s="2080"/>
      <c r="C56" s="2080"/>
      <c r="I56" s="3110" t="s">
        <v>2353</v>
      </c>
      <c r="J56" s="3050" t="e">
        <f ca="1">ROUND(IF(J48="钢混",J58/J51,1-(1-2%)*(J51-J58)/J51),3)</f>
        <v>#VALUE!</v>
      </c>
      <c r="K56" s="3111" t="s">
        <v>2354</v>
      </c>
      <c r="L56" s="2348"/>
      <c r="O56" s="2366" t="s">
        <v>2409</v>
      </c>
      <c r="P56" s="1577"/>
      <c r="Q56" s="1588"/>
      <c r="R56" s="1577"/>
    </row>
    <row r="57" spans="1:18" s="2042" customFormat="1" ht="43.5" thickBot="1">
      <c r="A57" s="2079"/>
      <c r="B57" s="2080"/>
      <c r="C57" s="2080"/>
      <c r="I57" s="3112" t="s">
        <v>2355</v>
      </c>
      <c r="J57" s="3122" t="s">
        <v>1678</v>
      </c>
      <c r="K57" s="3075" t="s">
        <v>2360</v>
      </c>
      <c r="L57" s="1891">
        <f ca="1">IF(L49&lt;J52,"——",L49-J52)</f>
        <v>0</v>
      </c>
      <c r="O57" s="2357" t="s">
        <v>2373</v>
      </c>
      <c r="P57" s="2358" t="s">
        <v>2374</v>
      </c>
      <c r="Q57" s="2359" t="s">
        <v>2375</v>
      </c>
      <c r="R57" s="2358" t="s">
        <v>2376</v>
      </c>
    </row>
    <row r="58" spans="1:18" s="2042" customFormat="1" ht="29.25" thickBot="1">
      <c r="A58" s="2079"/>
      <c r="B58" s="2080"/>
      <c r="C58" s="2080"/>
      <c r="I58" s="3113" t="s">
        <v>2356</v>
      </c>
      <c r="J58" s="3114" t="str">
        <f ca="1">IF(OR(M48="住宅",J52&lt;L49,J57="是"),"——",J52-L49)</f>
        <v>——</v>
      </c>
      <c r="K58" s="3075" t="s">
        <v>2361</v>
      </c>
      <c r="L58" s="1891">
        <f ca="1">IF(L49&lt;J52,"——",IF(L56="比较法",L50,IF(L56="基准地价",L51,L52)))</f>
        <v>0</v>
      </c>
      <c r="O58" s="2360" t="s">
        <v>2377</v>
      </c>
      <c r="P58" s="2361" t="s">
        <v>2403</v>
      </c>
      <c r="Q58" s="2362">
        <f ca="1">C41+J31</f>
        <v>0</v>
      </c>
      <c r="R58" s="2361" t="s">
        <v>2378</v>
      </c>
    </row>
    <row r="59" spans="1:18" s="2042" customFormat="1" ht="29.25" thickBot="1">
      <c r="A59" s="2079"/>
      <c r="B59" s="2080"/>
      <c r="C59" s="2080"/>
      <c r="I59" s="3113" t="s">
        <v>2357</v>
      </c>
      <c r="J59" s="3051" t="e">
        <f ca="1">IF(J56&lt;0.4,0.4,J56)</f>
        <v>#VALUE!</v>
      </c>
      <c r="K59" s="3075" t="s">
        <v>2362</v>
      </c>
      <c r="L59" s="1891">
        <f ca="1">IF(ISERROR(POWER(1+L53,L48-L49)*(POWER(1+L53,L49)-1)/(POWER(1+L53,L48)-1)),0,POWER(1+L53,L48-L49)*(POWER(1+L53,L49)-1)/(POWER(1+L53,L48)-1))</f>
        <v>0</v>
      </c>
      <c r="O59" s="2360" t="s">
        <v>2379</v>
      </c>
      <c r="P59" s="2361" t="s">
        <v>2410</v>
      </c>
      <c r="Q59" s="2362" t="e">
        <f ca="1">L61</f>
        <v>#DIV/0!</v>
      </c>
      <c r="R59" s="2365" t="s">
        <v>2412</v>
      </c>
    </row>
    <row r="60" spans="1:18" s="2042" customFormat="1" ht="29.25" thickBot="1">
      <c r="A60" s="2079"/>
      <c r="B60" s="2080"/>
      <c r="C60" s="2080"/>
      <c r="I60" s="3113" t="s">
        <v>2358</v>
      </c>
      <c r="J60" s="3114" t="str">
        <f ca="1">IF(OR(M48="住宅",J52&lt;L49,J57="是"),"——",ROUND(C30*J59,0))</f>
        <v>——</v>
      </c>
      <c r="K60" s="3075" t="s">
        <v>2363</v>
      </c>
      <c r="L60" s="1891">
        <f ca="1">IF(ISERROR(POWER(1+L53,L48-J52)*(POWER(1+L53,J52)-1)/(POWER(1+L53,L48)-1)),0,POWER(1+L53,L48-J52)*(POWER(1+L53,J52)-1)/(POWER(1+L53,L48)-1))</f>
        <v>0</v>
      </c>
      <c r="O60" s="2363" t="s">
        <v>2381</v>
      </c>
      <c r="P60" s="2361" t="s">
        <v>2411</v>
      </c>
      <c r="Q60" s="2362">
        <f>IF(L56="比较法",L50,IF(L56="基准地价",L51,0))</f>
        <v>0</v>
      </c>
      <c r="R60" s="2361" t="s">
        <v>2378</v>
      </c>
    </row>
    <row r="61" spans="1:18" s="2042" customFormat="1" ht="15.75" thickBot="1">
      <c r="A61" s="2079"/>
      <c r="B61" s="2080"/>
      <c r="C61" s="2080"/>
      <c r="I61" s="3115" t="s">
        <v>2359</v>
      </c>
      <c r="J61" s="3116" t="str">
        <f ca="1">IF(OR(M48="住宅",J52&lt;L49,J57="是"),"0",ROUND(J60/(1+J53)^J54,0))</f>
        <v>0</v>
      </c>
      <c r="K61" s="3117" t="s">
        <v>2364</v>
      </c>
      <c r="L61" s="3116" t="e">
        <f ca="1">IF(OR(M48="住宅",L49&lt;J52),0,ROUND(L58*(L59/L60-1),0))</f>
        <v>#DIV/0!</v>
      </c>
      <c r="O61" s="2363" t="s">
        <v>2382</v>
      </c>
      <c r="P61" s="2361" t="s">
        <v>2391</v>
      </c>
      <c r="Q61" s="2364">
        <f>L53</f>
        <v>0</v>
      </c>
      <c r="R61" s="2365"/>
    </row>
    <row r="62" spans="1:18" s="2042" customFormat="1" ht="20.25" thickBot="1">
      <c r="A62" s="2079"/>
      <c r="B62" s="2080"/>
      <c r="C62" s="2080"/>
      <c r="K62" s="2069"/>
      <c r="O62" s="2363" t="s">
        <v>2384</v>
      </c>
      <c r="P62" s="2361" t="s">
        <v>2392</v>
      </c>
      <c r="Q62" s="2362">
        <f ca="1">L59</f>
        <v>0</v>
      </c>
      <c r="R62" s="2365" t="s">
        <v>2393</v>
      </c>
    </row>
    <row r="63" spans="1:18" s="2042" customFormat="1" ht="20.25" thickBot="1">
      <c r="A63" s="2079"/>
      <c r="B63" s="2080"/>
      <c r="C63" s="2080"/>
      <c r="I63" s="3118" t="s">
        <v>2365</v>
      </c>
      <c r="J63" s="3119" t="s">
        <v>2366</v>
      </c>
      <c r="K63" s="3119" t="s">
        <v>2367</v>
      </c>
      <c r="L63" s="3119" t="s">
        <v>2348</v>
      </c>
      <c r="M63" s="3120" t="s">
        <v>2939</v>
      </c>
      <c r="O63" s="2363" t="s">
        <v>2386</v>
      </c>
      <c r="P63" s="2361" t="s">
        <v>2394</v>
      </c>
      <c r="Q63" s="2362">
        <f ca="1">L60</f>
        <v>0</v>
      </c>
      <c r="R63" s="2365" t="s">
        <v>2395</v>
      </c>
    </row>
    <row r="64" spans="1:18" s="2042" customFormat="1" ht="15.75" thickBot="1">
      <c r="A64" s="2079"/>
      <c r="B64" s="2080"/>
      <c r="C64" s="2080"/>
      <c r="I64" s="3118" t="s">
        <v>2368</v>
      </c>
      <c r="J64" s="3119">
        <v>70</v>
      </c>
      <c r="K64" s="3119">
        <v>50</v>
      </c>
      <c r="L64" s="3119">
        <v>80</v>
      </c>
      <c r="M64" s="3121">
        <v>0.02</v>
      </c>
      <c r="O64" s="2360" t="s">
        <v>2389</v>
      </c>
      <c r="P64" s="2361" t="s">
        <v>2406</v>
      </c>
      <c r="Q64" s="2362" t="e">
        <f ca="1">Q58+Q59</f>
        <v>#DIV/0!</v>
      </c>
      <c r="R64" s="2365" t="s">
        <v>2390</v>
      </c>
    </row>
    <row r="65" spans="1:18" s="2042" customFormat="1" ht="16.5" thickBot="1">
      <c r="A65" s="2079"/>
      <c r="B65" s="2080"/>
      <c r="C65" s="2080"/>
      <c r="I65" s="3118" t="s">
        <v>2369</v>
      </c>
      <c r="J65" s="3119">
        <v>50</v>
      </c>
      <c r="K65" s="3119">
        <v>35</v>
      </c>
      <c r="L65" s="3119">
        <v>60</v>
      </c>
      <c r="M65" s="845">
        <v>0</v>
      </c>
      <c r="O65" s="2366" t="s">
        <v>2413</v>
      </c>
      <c r="P65" s="1577"/>
      <c r="Q65" s="1588"/>
      <c r="R65" s="1577"/>
    </row>
    <row r="66" spans="1:18" s="2042" customFormat="1" ht="15.75" thickBot="1">
      <c r="A66" s="2079"/>
      <c r="B66" s="2080"/>
      <c r="C66" s="2080"/>
      <c r="I66" s="3118" t="s">
        <v>2370</v>
      </c>
      <c r="J66" s="3119">
        <v>40</v>
      </c>
      <c r="K66" s="3119">
        <v>30</v>
      </c>
      <c r="L66" s="3119">
        <v>50</v>
      </c>
      <c r="M66" s="3121">
        <v>0.02</v>
      </c>
      <c r="O66" s="2357" t="s">
        <v>2373</v>
      </c>
      <c r="P66" s="2358" t="s">
        <v>2374</v>
      </c>
      <c r="Q66" s="2359" t="s">
        <v>2375</v>
      </c>
      <c r="R66" s="2358" t="s">
        <v>2376</v>
      </c>
    </row>
    <row r="67" spans="1:18" s="2042" customFormat="1" ht="15.75" thickBot="1">
      <c r="A67" s="2079"/>
      <c r="B67" s="2080"/>
      <c r="C67" s="2080"/>
      <c r="K67" s="2069"/>
      <c r="O67" s="2360" t="s">
        <v>2377</v>
      </c>
      <c r="P67" s="2361" t="s">
        <v>2403</v>
      </c>
      <c r="Q67" s="2362">
        <f ca="1">C41+J31</f>
        <v>0</v>
      </c>
      <c r="R67" s="2361" t="s">
        <v>2378</v>
      </c>
    </row>
    <row r="68" spans="1:18" s="2042" customFormat="1" ht="20.25" thickBot="1">
      <c r="A68" s="2079"/>
      <c r="B68" s="2080"/>
      <c r="C68" s="2080"/>
      <c r="K68" s="2069"/>
      <c r="O68" s="2360" t="s">
        <v>2379</v>
      </c>
      <c r="P68" s="2361" t="s">
        <v>2410</v>
      </c>
      <c r="Q68" s="2362" t="e">
        <f ca="1">L61</f>
        <v>#DIV/0!</v>
      </c>
      <c r="R68" s="2365" t="s">
        <v>2412</v>
      </c>
    </row>
    <row r="69" spans="1:18" s="2042" customFormat="1" ht="21.75" thickBot="1">
      <c r="A69" s="2079"/>
      <c r="B69" s="2080"/>
      <c r="C69" s="2080"/>
      <c r="K69" s="2069"/>
      <c r="O69" s="2363" t="s">
        <v>2381</v>
      </c>
      <c r="P69" s="2361" t="s">
        <v>2411</v>
      </c>
      <c r="Q69" s="2367">
        <f ca="1">L52</f>
        <v>0</v>
      </c>
      <c r="R69" s="2368" t="s">
        <v>2414</v>
      </c>
    </row>
    <row r="70" spans="1:18" s="2042" customFormat="1" ht="20.25" thickBot="1">
      <c r="A70" s="2079"/>
      <c r="B70" s="2080"/>
      <c r="C70" s="2080"/>
      <c r="K70" s="2069"/>
      <c r="O70" s="2363" t="s">
        <v>2382</v>
      </c>
      <c r="P70" s="2369" t="s">
        <v>2396</v>
      </c>
      <c r="Q70" s="2362">
        <f ca="1">ROUND(Q71-Q72*Q73,0)</f>
        <v>0</v>
      </c>
      <c r="R70" s="2365"/>
    </row>
    <row r="71" spans="1:18" s="2042" customFormat="1" ht="15.75" thickBot="1">
      <c r="A71" s="2079"/>
      <c r="B71" s="2080"/>
      <c r="C71" s="2080"/>
      <c r="K71" s="2069"/>
      <c r="O71" s="2363" t="s">
        <v>2397</v>
      </c>
      <c r="P71" s="2369" t="s">
        <v>2398</v>
      </c>
      <c r="Q71" s="2362">
        <f ca="1">C42</f>
        <v>0</v>
      </c>
      <c r="R71" s="2361" t="s">
        <v>2378</v>
      </c>
    </row>
    <row r="72" spans="1:18" s="2042" customFormat="1" ht="15.75" thickBot="1">
      <c r="A72" s="2079"/>
      <c r="B72" s="2080"/>
      <c r="C72" s="2080"/>
      <c r="K72" s="2069"/>
      <c r="O72" s="2363" t="s">
        <v>2399</v>
      </c>
      <c r="P72" s="2369" t="s">
        <v>2400</v>
      </c>
      <c r="Q72" s="2362">
        <f ca="1">C15</f>
        <v>0</v>
      </c>
      <c r="R72" s="2361" t="s">
        <v>2378</v>
      </c>
    </row>
    <row r="73" spans="1:18" s="2042" customFormat="1" ht="15.75" thickBot="1">
      <c r="A73" s="2079"/>
      <c r="B73" s="2080"/>
      <c r="C73" s="2080"/>
      <c r="K73" s="2069"/>
      <c r="O73" s="2363" t="s">
        <v>2401</v>
      </c>
      <c r="P73" s="2369" t="s">
        <v>2402</v>
      </c>
      <c r="Q73" s="2364">
        <f ca="1">F43</f>
        <v>0</v>
      </c>
      <c r="R73" s="2365"/>
    </row>
    <row r="74" spans="1:18" s="2042" customFormat="1" ht="15.75" thickBot="1">
      <c r="A74" s="2079"/>
      <c r="B74" s="2080"/>
      <c r="C74" s="2080"/>
      <c r="K74" s="2069"/>
      <c r="O74" s="2363" t="s">
        <v>2384</v>
      </c>
      <c r="P74" s="2361" t="s">
        <v>2391</v>
      </c>
      <c r="Q74" s="2364">
        <f>L53</f>
        <v>0</v>
      </c>
      <c r="R74" s="2365"/>
    </row>
    <row r="75" spans="1:18" s="2042" customFormat="1" ht="20.25" thickBot="1">
      <c r="A75" s="2079"/>
      <c r="B75" s="2080"/>
      <c r="C75" s="2080"/>
      <c r="K75" s="2069"/>
      <c r="O75" s="2363" t="s">
        <v>2386</v>
      </c>
      <c r="P75" s="2361" t="s">
        <v>2392</v>
      </c>
      <c r="Q75" s="2362">
        <f ca="1">L59</f>
        <v>0</v>
      </c>
      <c r="R75" s="2365" t="s">
        <v>2393</v>
      </c>
    </row>
    <row r="76" spans="1:18" s="2042" customFormat="1" ht="20.25" thickBot="1">
      <c r="A76" s="2079"/>
      <c r="B76" s="2080"/>
      <c r="C76" s="2080"/>
      <c r="K76" s="2069"/>
      <c r="O76" s="2363" t="s">
        <v>2415</v>
      </c>
      <c r="P76" s="2361" t="s">
        <v>2394</v>
      </c>
      <c r="Q76" s="2362">
        <f ca="1">L60</f>
        <v>0</v>
      </c>
      <c r="R76" s="2365" t="s">
        <v>2395</v>
      </c>
    </row>
    <row r="77" spans="1:18" s="2042" customFormat="1" ht="15.75" thickBot="1">
      <c r="A77" s="2079"/>
      <c r="B77" s="2080"/>
      <c r="C77" s="2080"/>
      <c r="K77" s="2069"/>
      <c r="O77" s="2360" t="s">
        <v>2389</v>
      </c>
      <c r="P77" s="2361" t="s">
        <v>2406</v>
      </c>
      <c r="Q77" s="2362" t="e">
        <f ca="1">Q67+Q68</f>
        <v>#DIV/0!</v>
      </c>
      <c r="R77" s="2365" t="s">
        <v>2390</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36905.32平方米。根据《建设工程规划许可证》[]、《出让合同》[]，估价对象规划建筑面积为140701.99平方米。</v>
      </c>
    </row>
    <row r="7" spans="1:4" ht="56.25">
      <c r="A7" s="1778" t="s">
        <v>2744</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2938</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由于估价对象已完成通平、具备施工条件，因此本次评估设定土地开发程度为红线外市政基础设施达“六通”、宗地红线内场地平整。本次评估估价结果不包含上述在建工程或已建建筑物价格。</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根据《国有土地使用证》[]，估价对象（分摊）出让国有建设用地使用权面积为36905.32平方米。根据《建设工程规划许可证》[]、《出让合同》[]，估价对象规划建筑面积为140701.99平方米。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本次估价对象为出让国有建设用地使用权，《国有土地使用证》[]证载土地终止日期为住宅2089年7月15日、商业2059年7月15日地下车库2069年7月15日。截至估价期日，出让国有建设用地使用权剩余土地使用年限为。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564" t="s">
        <v>2469</v>
      </c>
      <c r="B1" s="3565"/>
      <c r="C1" s="3566"/>
      <c r="D1" s="3567">
        <f>SUM(I10,I15,I20,I21,I23)</f>
        <v>0</v>
      </c>
      <c r="E1" s="3567"/>
      <c r="F1" s="3567"/>
      <c r="G1" s="3567"/>
      <c r="H1" s="3567"/>
      <c r="I1" s="3568"/>
    </row>
    <row r="2" spans="1:9">
      <c r="A2" s="3554" t="s">
        <v>2470</v>
      </c>
      <c r="B2" s="3555" t="s">
        <v>2471</v>
      </c>
      <c r="C2" s="3555"/>
      <c r="D2" s="2469" t="s">
        <v>2472</v>
      </c>
      <c r="E2" s="2469" t="s">
        <v>2473</v>
      </c>
      <c r="F2" s="2469" t="s">
        <v>2474</v>
      </c>
      <c r="G2" s="2469" t="s">
        <v>2475</v>
      </c>
      <c r="H2" s="2469" t="s">
        <v>2476</v>
      </c>
      <c r="I2" s="2470" t="s">
        <v>2477</v>
      </c>
    </row>
    <row r="3" spans="1:9">
      <c r="A3" s="3554"/>
      <c r="B3" s="3555" t="s">
        <v>2478</v>
      </c>
      <c r="C3" s="3555"/>
      <c r="D3" s="2471"/>
      <c r="E3" s="2469"/>
      <c r="F3" s="2472"/>
      <c r="G3" s="2472"/>
      <c r="H3" s="2473"/>
      <c r="I3" s="2474">
        <f>ROUND(D3*E3*F3*G3*H3/10000,0)</f>
        <v>0</v>
      </c>
    </row>
    <row r="4" spans="1:9">
      <c r="A4" s="3554"/>
      <c r="B4" s="3555" t="s">
        <v>2479</v>
      </c>
      <c r="C4" s="3555"/>
      <c r="D4" s="2471"/>
      <c r="E4" s="2469"/>
      <c r="F4" s="2472"/>
      <c r="G4" s="2472"/>
      <c r="H4" s="2473"/>
      <c r="I4" s="2474">
        <f t="shared" ref="I4:I9" si="0">ROUND(D4*E4*F4*G4*H4/10000,0)</f>
        <v>0</v>
      </c>
    </row>
    <row r="5" spans="1:9">
      <c r="A5" s="3554"/>
      <c r="B5" s="3555" t="s">
        <v>2480</v>
      </c>
      <c r="C5" s="3555"/>
      <c r="D5" s="2471"/>
      <c r="E5" s="2469"/>
      <c r="F5" s="2472"/>
      <c r="G5" s="2472"/>
      <c r="H5" s="2473"/>
      <c r="I5" s="2474">
        <f t="shared" si="0"/>
        <v>0</v>
      </c>
    </row>
    <row r="6" spans="1:9">
      <c r="A6" s="3554"/>
      <c r="B6" s="3555" t="s">
        <v>2481</v>
      </c>
      <c r="C6" s="3555"/>
      <c r="D6" s="2471"/>
      <c r="E6" s="2469"/>
      <c r="F6" s="2472"/>
      <c r="G6" s="2472"/>
      <c r="H6" s="2473"/>
      <c r="I6" s="2474">
        <f t="shared" si="0"/>
        <v>0</v>
      </c>
    </row>
    <row r="7" spans="1:9">
      <c r="A7" s="3554"/>
      <c r="B7" s="3555" t="s">
        <v>2482</v>
      </c>
      <c r="C7" s="3555"/>
      <c r="D7" s="2471"/>
      <c r="E7" s="2469"/>
      <c r="F7" s="2472"/>
      <c r="G7" s="2472"/>
      <c r="H7" s="2473"/>
      <c r="I7" s="2474">
        <f t="shared" si="0"/>
        <v>0</v>
      </c>
    </row>
    <row r="8" spans="1:9">
      <c r="A8" s="3554"/>
      <c r="B8" s="3555" t="s">
        <v>2483</v>
      </c>
      <c r="C8" s="3555"/>
      <c r="D8" s="2471"/>
      <c r="E8" s="2469"/>
      <c r="F8" s="2472"/>
      <c r="G8" s="2472"/>
      <c r="H8" s="2473"/>
      <c r="I8" s="2474">
        <f t="shared" si="0"/>
        <v>0</v>
      </c>
    </row>
    <row r="9" spans="1:9">
      <c r="A9" s="3554"/>
      <c r="B9" s="3555" t="s">
        <v>2484</v>
      </c>
      <c r="C9" s="3555"/>
      <c r="D9" s="2471"/>
      <c r="E9" s="2469"/>
      <c r="F9" s="2472"/>
      <c r="G9" s="2472"/>
      <c r="H9" s="2473"/>
      <c r="I9" s="2474">
        <f t="shared" si="0"/>
        <v>0</v>
      </c>
    </row>
    <row r="10" spans="1:9">
      <c r="A10" s="3554"/>
      <c r="B10" s="3556" t="s">
        <v>2485</v>
      </c>
      <c r="C10" s="3556"/>
      <c r="D10" s="2475">
        <v>527</v>
      </c>
      <c r="E10" s="2475" t="e">
        <f>ROUND(D1*10000/D10/H9,0)</f>
        <v>#DIV/0!</v>
      </c>
      <c r="F10" s="2476"/>
      <c r="G10" s="2476"/>
      <c r="H10" s="2477"/>
      <c r="I10" s="2478">
        <f>SUM(I3:I9)</f>
        <v>0</v>
      </c>
    </row>
    <row r="11" spans="1:9" ht="14.25">
      <c r="A11" s="3554" t="s">
        <v>2486</v>
      </c>
      <c r="B11" s="3555" t="s">
        <v>2487</v>
      </c>
      <c r="C11" s="3555"/>
      <c r="D11" s="2471" t="s">
        <v>2488</v>
      </c>
      <c r="E11" s="2471" t="s">
        <v>2489</v>
      </c>
      <c r="F11" s="2472" t="s">
        <v>2490</v>
      </c>
      <c r="G11" s="2472" t="s">
        <v>2491</v>
      </c>
      <c r="H11" s="2479" t="s">
        <v>2492</v>
      </c>
      <c r="I11" s="2470" t="s">
        <v>2493</v>
      </c>
    </row>
    <row r="12" spans="1:9">
      <c r="A12" s="3554"/>
      <c r="B12" s="3555" t="s">
        <v>2494</v>
      </c>
      <c r="C12" s="3555"/>
      <c r="D12" s="2471"/>
      <c r="E12" s="2471"/>
      <c r="F12" s="2472"/>
      <c r="G12" s="2473"/>
      <c r="H12" s="2480"/>
      <c r="I12" s="2470">
        <f>ROUND(D12*E12*F12*G12/10000,0)</f>
        <v>0</v>
      </c>
    </row>
    <row r="13" spans="1:9">
      <c r="A13" s="3554"/>
      <c r="B13" s="3555" t="s">
        <v>2495</v>
      </c>
      <c r="C13" s="3555"/>
      <c r="D13" s="2471"/>
      <c r="E13" s="2471"/>
      <c r="F13" s="2472"/>
      <c r="G13" s="2473"/>
      <c r="H13" s="2480"/>
      <c r="I13" s="2470">
        <f>ROUND(D13*E13*F13*G13/10000,0)</f>
        <v>0</v>
      </c>
    </row>
    <row r="14" spans="1:9">
      <c r="A14" s="3554"/>
      <c r="B14" s="3555" t="s">
        <v>2496</v>
      </c>
      <c r="C14" s="3555"/>
      <c r="D14" s="2471"/>
      <c r="E14" s="2471"/>
      <c r="F14" s="2472"/>
      <c r="G14" s="2473"/>
      <c r="H14" s="2480"/>
      <c r="I14" s="2470">
        <f>ROUND(D14*E14*F14*G14/10000,0)</f>
        <v>0</v>
      </c>
    </row>
    <row r="15" spans="1:9">
      <c r="A15" s="3554"/>
      <c r="B15" s="3556" t="s">
        <v>2485</v>
      </c>
      <c r="C15" s="3556"/>
      <c r="D15" s="2475"/>
      <c r="E15" s="2475">
        <f>SUM(E12:E14)</f>
        <v>0</v>
      </c>
      <c r="F15" s="2476"/>
      <c r="G15" s="2473"/>
      <c r="H15" s="2480"/>
      <c r="I15" s="2481">
        <f>SUM(I12:I14)</f>
        <v>0</v>
      </c>
    </row>
    <row r="16" spans="1:9" ht="24">
      <c r="A16" s="3554" t="s">
        <v>2497</v>
      </c>
      <c r="B16" s="3555" t="s">
        <v>2498</v>
      </c>
      <c r="C16" s="3555"/>
      <c r="D16" s="2471" t="s">
        <v>2499</v>
      </c>
      <c r="E16" s="2482" t="s">
        <v>2500</v>
      </c>
      <c r="F16" s="2472" t="s">
        <v>2501</v>
      </c>
      <c r="G16" s="2473" t="s">
        <v>2491</v>
      </c>
      <c r="H16" s="2479" t="s">
        <v>2492</v>
      </c>
      <c r="I16" s="2470" t="s">
        <v>2493</v>
      </c>
    </row>
    <row r="17" spans="1:9" ht="14.25">
      <c r="A17" s="3554"/>
      <c r="B17" s="3555" t="s">
        <v>2502</v>
      </c>
      <c r="C17" s="3555"/>
      <c r="D17" s="2471"/>
      <c r="E17" s="2471"/>
      <c r="F17" s="2472"/>
      <c r="G17" s="2473"/>
      <c r="H17" s="2483"/>
      <c r="I17" s="2484">
        <f>ROUND(D17*E17*F17*G17/10000,0)</f>
        <v>0</v>
      </c>
    </row>
    <row r="18" spans="1:9" ht="14.25">
      <c r="A18" s="3554"/>
      <c r="B18" s="3555" t="s">
        <v>2503</v>
      </c>
      <c r="C18" s="3555"/>
      <c r="D18" s="2471"/>
      <c r="E18" s="2471"/>
      <c r="F18" s="2472"/>
      <c r="G18" s="2473"/>
      <c r="H18" s="2483"/>
      <c r="I18" s="2484">
        <f>ROUND(D18*E18*F18*G18/10000,0)</f>
        <v>0</v>
      </c>
    </row>
    <row r="19" spans="1:9" ht="14.25">
      <c r="A19" s="3554"/>
      <c r="B19" s="3555" t="s">
        <v>2504</v>
      </c>
      <c r="C19" s="3555"/>
      <c r="D19" s="2471"/>
      <c r="E19" s="2471"/>
      <c r="F19" s="2472"/>
      <c r="G19" s="2473"/>
      <c r="H19" s="2483"/>
      <c r="I19" s="2484">
        <f>ROUND(D19*E19*F19*G19/10000,0)</f>
        <v>0</v>
      </c>
    </row>
    <row r="20" spans="1:9">
      <c r="A20" s="3554"/>
      <c r="B20" s="3556" t="s">
        <v>2485</v>
      </c>
      <c r="C20" s="3556"/>
      <c r="D20" s="2475">
        <f>SUM(D17:D19)</f>
        <v>0</v>
      </c>
      <c r="E20" s="2475"/>
      <c r="F20" s="2476"/>
      <c r="G20" s="2473"/>
      <c r="H20" s="2480"/>
      <c r="I20" s="2481">
        <f>SUM(I17:I19)</f>
        <v>0</v>
      </c>
    </row>
    <row r="21" spans="1:9">
      <c r="A21" s="3554" t="s">
        <v>2505</v>
      </c>
      <c r="B21" s="3557"/>
      <c r="C21" s="3557"/>
      <c r="D21" s="3557"/>
      <c r="E21" s="3557"/>
      <c r="F21" s="3557"/>
      <c r="G21" s="3557"/>
      <c r="H21" s="2485">
        <v>0.1</v>
      </c>
      <c r="I21" s="2478">
        <f>ROUND(I10*H21,0)</f>
        <v>0</v>
      </c>
    </row>
    <row r="22" spans="1:9" ht="14.25">
      <c r="A22" s="3558" t="s">
        <v>2506</v>
      </c>
      <c r="B22" s="3559"/>
      <c r="C22" s="3560"/>
      <c r="D22" s="2486" t="s">
        <v>2507</v>
      </c>
      <c r="E22" s="2486" t="s">
        <v>2508</v>
      </c>
      <c r="F22" s="2487" t="s">
        <v>2509</v>
      </c>
      <c r="G22" s="2487" t="s">
        <v>2510</v>
      </c>
      <c r="H22" s="2479" t="s">
        <v>2511</v>
      </c>
      <c r="I22" s="2470" t="s">
        <v>2512</v>
      </c>
    </row>
    <row r="23" spans="1:9" ht="14.25" thickBot="1">
      <c r="A23" s="3561"/>
      <c r="B23" s="3562"/>
      <c r="C23" s="3563"/>
      <c r="D23" s="2488"/>
      <c r="E23" s="2488"/>
      <c r="F23" s="2488"/>
      <c r="G23" s="2489"/>
      <c r="H23" s="2490"/>
      <c r="I23" s="2491">
        <f>ROUND(E23*D23*F23*(1-G23)/10000,0)</f>
        <v>0</v>
      </c>
    </row>
    <row r="26" spans="1:9">
      <c r="A26" s="2492" t="s">
        <v>2513</v>
      </c>
      <c r="B26" s="2492"/>
      <c r="C26" s="2492"/>
      <c r="D26" s="2492"/>
      <c r="E26" s="3551">
        <f>C27-C30-C31-C32</f>
        <v>0</v>
      </c>
      <c r="F26" s="3551"/>
      <c r="G26" s="3551"/>
      <c r="H26" s="2992" t="s">
        <v>2840</v>
      </c>
    </row>
    <row r="27" spans="1:9">
      <c r="A27" s="2493">
        <v>1</v>
      </c>
      <c r="B27" s="2494" t="s">
        <v>2514</v>
      </c>
      <c r="C27" s="2494"/>
      <c r="D27" s="2494"/>
      <c r="E27" s="3552"/>
      <c r="F27" s="3552"/>
      <c r="G27" s="3552"/>
    </row>
    <row r="28" spans="1:9">
      <c r="A28" s="2495" t="s">
        <v>2515</v>
      </c>
      <c r="B28" s="2494" t="s">
        <v>2516</v>
      </c>
      <c r="C28" s="2494"/>
      <c r="D28" s="2494"/>
      <c r="E28" s="3552"/>
      <c r="F28" s="3552"/>
      <c r="G28" s="3552"/>
    </row>
    <row r="29" spans="1:9">
      <c r="A29" s="2495" t="s">
        <v>2517</v>
      </c>
      <c r="B29" s="2494" t="s">
        <v>2458</v>
      </c>
      <c r="C29" s="2494"/>
      <c r="D29" s="2494"/>
      <c r="E29" s="2494" t="s">
        <v>2518</v>
      </c>
      <c r="F29" s="2494"/>
      <c r="G29" s="2494"/>
    </row>
    <row r="30" spans="1:9">
      <c r="A30" s="2493">
        <v>2</v>
      </c>
      <c r="B30" s="2494" t="s">
        <v>2519</v>
      </c>
      <c r="C30" s="2494">
        <f>C27*D30</f>
        <v>0</v>
      </c>
      <c r="D30" s="2496">
        <v>0.2</v>
      </c>
      <c r="E30" s="2494" t="s">
        <v>2520</v>
      </c>
      <c r="F30" s="2494"/>
      <c r="G30" s="2494"/>
    </row>
    <row r="31" spans="1:9">
      <c r="A31" s="2493">
        <v>3</v>
      </c>
      <c r="B31" s="2494" t="s">
        <v>2521</v>
      </c>
      <c r="C31" s="2494">
        <f>C25*D31</f>
        <v>0</v>
      </c>
      <c r="D31" s="2496">
        <v>0.15</v>
      </c>
      <c r="E31" s="2494" t="s">
        <v>2522</v>
      </c>
      <c r="F31" s="2494"/>
      <c r="G31" s="2494"/>
    </row>
    <row r="32" spans="1:9">
      <c r="A32" s="2493">
        <v>4</v>
      </c>
      <c r="B32" s="2494" t="s">
        <v>2523</v>
      </c>
      <c r="C32" s="2494">
        <f>C27*D32</f>
        <v>0</v>
      </c>
      <c r="D32" s="2496">
        <v>0.05</v>
      </c>
      <c r="E32" s="3553"/>
      <c r="F32" s="3553"/>
      <c r="G32" s="3553"/>
    </row>
    <row r="33" spans="1:7" hidden="1">
      <c r="A33" s="3548" t="s">
        <v>2524</v>
      </c>
      <c r="B33" s="3549"/>
      <c r="C33" s="3549"/>
      <c r="D33" s="3550"/>
      <c r="E33" s="3551"/>
      <c r="F33" s="3551"/>
      <c r="G33" s="3551"/>
    </row>
    <row r="34" spans="1:7" hidden="1">
      <c r="A34" s="2497">
        <v>1</v>
      </c>
      <c r="B34" s="2494" t="s">
        <v>2525</v>
      </c>
      <c r="C34" s="2494"/>
      <c r="D34" s="2494"/>
      <c r="E34" s="3552"/>
      <c r="F34" s="3552"/>
      <c r="G34" s="3552"/>
    </row>
    <row r="35" spans="1:7" hidden="1">
      <c r="A35" s="2497">
        <v>2</v>
      </c>
      <c r="B35" s="2494" t="s">
        <v>2526</v>
      </c>
      <c r="C35" s="2494"/>
      <c r="D35" s="2494"/>
      <c r="E35" s="3552"/>
      <c r="F35" s="3552"/>
      <c r="G35" s="3552"/>
    </row>
    <row r="36" spans="1:7" hidden="1">
      <c r="A36" s="2497">
        <v>3</v>
      </c>
      <c r="B36" s="2494" t="s">
        <v>2527</v>
      </c>
      <c r="C36" s="2494"/>
      <c r="D36" s="2494"/>
      <c r="E36" s="3552"/>
      <c r="F36" s="3552"/>
      <c r="G36" s="3552"/>
    </row>
    <row r="37" spans="1:7" hidden="1">
      <c r="A37" s="2497">
        <v>4</v>
      </c>
      <c r="B37" s="2494" t="s">
        <v>2528</v>
      </c>
      <c r="C37" s="2494"/>
      <c r="D37" s="2494"/>
      <c r="E37" s="3552"/>
      <c r="F37" s="3552"/>
      <c r="G37" s="3552"/>
    </row>
    <row r="38" spans="1:7" hidden="1">
      <c r="A38" s="3548" t="s">
        <v>2529</v>
      </c>
      <c r="B38" s="3549"/>
      <c r="C38" s="3549"/>
      <c r="D38" s="3550"/>
      <c r="E38" s="3551"/>
      <c r="F38" s="3551"/>
      <c r="G38" s="35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4"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2438</v>
      </c>
      <c r="B8" s="2434" t="s">
        <v>2440</v>
      </c>
      <c r="C8" s="2435"/>
      <c r="D8" s="748"/>
      <c r="E8" s="749"/>
      <c r="F8" s="749"/>
      <c r="G8" s="750"/>
    </row>
    <row r="9" spans="1:25" s="2166" customFormat="1" ht="13.5" customHeight="1">
      <c r="A9" s="2431" t="s">
        <v>2439</v>
      </c>
      <c r="B9" s="2434" t="s">
        <v>2441</v>
      </c>
      <c r="C9" s="2435"/>
      <c r="D9" s="748"/>
      <c r="E9" s="749"/>
      <c r="F9" s="749"/>
      <c r="G9" s="750"/>
    </row>
    <row r="10" spans="1:25" s="2166" customFormat="1" ht="36">
      <c r="A10" s="2431">
        <v>2</v>
      </c>
      <c r="B10" s="747" t="s">
        <v>613</v>
      </c>
      <c r="C10" s="748">
        <f>C11+C14+C15</f>
        <v>0</v>
      </c>
      <c r="D10" s="759">
        <f>'数据-汇总表'!E3</f>
        <v>140701.99</v>
      </c>
      <c r="E10" s="748">
        <f>'数据-取费表'!B31</f>
        <v>200</v>
      </c>
      <c r="F10" s="760"/>
      <c r="G10" s="758" t="s">
        <v>614</v>
      </c>
    </row>
    <row r="11" spans="1:25" s="2166" customFormat="1" ht="13.5" customHeight="1">
      <c r="A11" s="2431" t="s">
        <v>2438</v>
      </c>
      <c r="B11" s="751" t="s">
        <v>610</v>
      </c>
      <c r="C11" s="752">
        <f>'数据-取费表'!B29</f>
        <v>0</v>
      </c>
      <c r="D11" s="753"/>
      <c r="E11" s="752"/>
      <c r="F11" s="754"/>
      <c r="G11" s="2440" t="s">
        <v>2449</v>
      </c>
    </row>
    <row r="12" spans="1:25" s="2166" customFormat="1" ht="13.5" customHeight="1">
      <c r="A12" s="2438" t="s">
        <v>2446</v>
      </c>
      <c r="B12" s="755" t="s">
        <v>611</v>
      </c>
      <c r="C12" s="756">
        <f>ROUND(D12*E12/10000,0)</f>
        <v>103</v>
      </c>
      <c r="D12" s="757">
        <f>'数据-汇总表'!E5</f>
        <v>102713.52</v>
      </c>
      <c r="E12" s="756">
        <f>'数据-取费表'!B27</f>
        <v>10</v>
      </c>
      <c r="F12" s="754"/>
      <c r="G12" s="758"/>
    </row>
    <row r="13" spans="1:25" s="2166" customFormat="1" ht="13.5" customHeight="1">
      <c r="A13" s="2438" t="s">
        <v>2445</v>
      </c>
      <c r="B13" s="755" t="s">
        <v>612</v>
      </c>
      <c r="C13" s="756">
        <f>ROUND(D13*E13/10000,0)</f>
        <v>57</v>
      </c>
      <c r="D13" s="757">
        <f>'数据-汇总表'!E6</f>
        <v>37988.469999999987</v>
      </c>
      <c r="E13" s="756">
        <f>'数据-取费表'!B28</f>
        <v>15</v>
      </c>
      <c r="F13" s="754"/>
      <c r="G13" s="758"/>
    </row>
    <row r="14" spans="1:25" s="2166" customFormat="1" ht="13.5" customHeight="1">
      <c r="A14" s="2431" t="s">
        <v>2439</v>
      </c>
      <c r="B14" s="2437" t="s">
        <v>2442</v>
      </c>
      <c r="C14" s="2435"/>
      <c r="D14" s="757"/>
      <c r="E14" s="756"/>
      <c r="F14" s="2436"/>
      <c r="G14" s="2439" t="s">
        <v>2447</v>
      </c>
    </row>
    <row r="15" spans="1:25" s="2166" customFormat="1" ht="13.5" customHeight="1">
      <c r="A15" s="2431" t="s">
        <v>2444</v>
      </c>
      <c r="B15" s="2437" t="s">
        <v>2443</v>
      </c>
      <c r="C15" s="2435"/>
      <c r="D15" s="757"/>
      <c r="E15" s="756"/>
      <c r="F15" s="2436"/>
      <c r="G15" s="2439" t="s">
        <v>2448</v>
      </c>
    </row>
    <row r="16" spans="1:25" s="2167" customFormat="1" ht="48">
      <c r="A16" s="2431">
        <v>3</v>
      </c>
      <c r="B16" s="747" t="s">
        <v>615</v>
      </c>
      <c r="C16" s="2435"/>
      <c r="D16" s="759"/>
      <c r="E16" s="748"/>
      <c r="F16" s="760"/>
      <c r="G16" s="758" t="s">
        <v>2450</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0.93899999999999995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9"/>
      <c r="Q3" s="1549"/>
      <c r="R3" s="1549"/>
      <c r="S3" s="1549"/>
      <c r="T3" s="1549"/>
      <c r="U3" s="1549"/>
      <c r="V3" s="1549"/>
      <c r="W3" s="1549"/>
      <c r="X3" s="1549"/>
      <c r="Y3" s="1549"/>
      <c r="Z3" s="1549"/>
      <c r="AA3" s="1549"/>
      <c r="AB3" s="1549"/>
      <c r="AC3" s="427"/>
    </row>
    <row r="4" spans="1:29" ht="15">
      <c r="A4" s="511" t="s">
        <v>521</v>
      </c>
      <c r="B4" s="512"/>
      <c r="C4" s="3474" t="s">
        <v>522</v>
      </c>
      <c r="D4" s="3475"/>
      <c r="E4" s="3498" t="s">
        <v>523</v>
      </c>
      <c r="F4" s="3499"/>
      <c r="G4" s="3474" t="s">
        <v>524</v>
      </c>
      <c r="H4" s="3475"/>
      <c r="I4" s="3474" t="s">
        <v>525</v>
      </c>
      <c r="J4" s="3475"/>
      <c r="K4" s="513" t="s">
        <v>526</v>
      </c>
      <c r="L4" s="2116"/>
      <c r="M4" s="2117"/>
      <c r="N4" s="2117"/>
      <c r="O4" s="2117"/>
      <c r="P4" s="3476" t="s">
        <v>527</v>
      </c>
      <c r="Q4" s="3477"/>
      <c r="R4" s="3462" t="s">
        <v>523</v>
      </c>
      <c r="S4" s="3463"/>
      <c r="T4" s="3462" t="s">
        <v>524</v>
      </c>
      <c r="U4" s="3463"/>
      <c r="V4" s="3482" t="s">
        <v>525</v>
      </c>
      <c r="W4" s="3482"/>
      <c r="X4" s="1552"/>
      <c r="Y4" s="3462" t="s">
        <v>527</v>
      </c>
      <c r="Z4" s="3463"/>
      <c r="AA4" s="3457" t="s">
        <v>523</v>
      </c>
      <c r="AB4" s="3482" t="s">
        <v>524</v>
      </c>
      <c r="AC4" s="3457" t="s">
        <v>525</v>
      </c>
    </row>
    <row r="5" spans="1:29" ht="15">
      <c r="A5" s="514"/>
      <c r="B5" s="515"/>
      <c r="C5" s="3485" t="s">
        <v>2926</v>
      </c>
      <c r="D5" s="3486"/>
      <c r="E5" s="3500" t="s">
        <v>2927</v>
      </c>
      <c r="F5" s="3501"/>
      <c r="G5" s="3485" t="s">
        <v>2928</v>
      </c>
      <c r="H5" s="3486"/>
      <c r="I5" s="3485" t="s">
        <v>2929</v>
      </c>
      <c r="J5" s="3486"/>
      <c r="K5" s="513"/>
      <c r="L5" s="2116"/>
      <c r="M5" s="2117"/>
      <c r="N5" s="2117"/>
      <c r="O5" s="2117"/>
      <c r="P5" s="3478"/>
      <c r="Q5" s="3479"/>
      <c r="R5" s="3464"/>
      <c r="S5" s="3465"/>
      <c r="T5" s="3464"/>
      <c r="U5" s="3465"/>
      <c r="V5" s="3482"/>
      <c r="W5" s="3482"/>
      <c r="X5" s="1552"/>
      <c r="Y5" s="3464"/>
      <c r="Z5" s="3465"/>
      <c r="AA5" s="3458"/>
      <c r="AB5" s="3482"/>
      <c r="AC5" s="3458"/>
    </row>
    <row r="6" spans="1:29" ht="15.75" thickBot="1">
      <c r="A6" s="516"/>
      <c r="B6" s="517"/>
      <c r="C6" s="3483" t="s">
        <v>2930</v>
      </c>
      <c r="D6" s="3484"/>
      <c r="E6" s="3502" t="s">
        <v>2930</v>
      </c>
      <c r="F6" s="3503"/>
      <c r="G6" s="3483" t="s">
        <v>2930</v>
      </c>
      <c r="H6" s="3484"/>
      <c r="I6" s="3483" t="s">
        <v>2930</v>
      </c>
      <c r="J6" s="3484"/>
      <c r="K6" s="513" t="s">
        <v>528</v>
      </c>
      <c r="L6" s="2116"/>
      <c r="M6" s="2117"/>
      <c r="N6" s="2117"/>
      <c r="O6" s="2117"/>
      <c r="P6" s="3480"/>
      <c r="Q6" s="3481"/>
      <c r="R6" s="3464"/>
      <c r="S6" s="3465"/>
      <c r="T6" s="3466"/>
      <c r="U6" s="3467"/>
      <c r="V6" s="3482"/>
      <c r="W6" s="3482"/>
      <c r="X6" s="1552"/>
      <c r="Y6" s="3466"/>
      <c r="Z6" s="3467"/>
      <c r="AA6" s="3459"/>
      <c r="AB6" s="3482"/>
      <c r="AC6" s="3459"/>
    </row>
    <row r="7" spans="1:29" s="1214" customFormat="1" ht="15.75" thickBot="1">
      <c r="A7" s="2865"/>
      <c r="B7" s="2872" t="s">
        <v>529</v>
      </c>
      <c r="C7" s="518">
        <f>'数据-取费表'!B2</f>
        <v>43763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60" t="s">
        <v>530</v>
      </c>
      <c r="Q7" s="3469"/>
      <c r="R7" s="1553" t="s">
        <v>8</v>
      </c>
      <c r="S7" s="1554">
        <f t="shared" ref="S7:S15" si="0">F7</f>
        <v>0</v>
      </c>
      <c r="T7" s="1553" t="s">
        <v>8</v>
      </c>
      <c r="U7" s="1554">
        <f t="shared" ref="U7:U15" si="1">H7</f>
        <v>0</v>
      </c>
      <c r="V7" s="1553" t="s">
        <v>8</v>
      </c>
      <c r="W7" s="1554">
        <f t="shared" ref="W7:W15" si="2">J7</f>
        <v>0</v>
      </c>
      <c r="X7" s="1555"/>
      <c r="Y7" s="3460" t="s">
        <v>530</v>
      </c>
      <c r="Z7" s="3461"/>
      <c r="AA7" s="1556" t="e">
        <f>D7/F7</f>
        <v>#DIV/0!</v>
      </c>
      <c r="AB7" s="1556" t="e">
        <f>D7/H7</f>
        <v>#DIV/0!</v>
      </c>
      <c r="AC7" s="1556"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60" t="s">
        <v>533</v>
      </c>
      <c r="Q8" s="3461"/>
      <c r="R8" s="1553" t="s">
        <v>8</v>
      </c>
      <c r="S8" s="1554">
        <f t="shared" si="0"/>
        <v>0</v>
      </c>
      <c r="T8" s="1553" t="s">
        <v>8</v>
      </c>
      <c r="U8" s="1554">
        <f t="shared" si="1"/>
        <v>0</v>
      </c>
      <c r="V8" s="1553" t="s">
        <v>8</v>
      </c>
      <c r="W8" s="1554">
        <f t="shared" si="2"/>
        <v>0</v>
      </c>
      <c r="X8" s="1555"/>
      <c r="Y8" s="3460" t="s">
        <v>533</v>
      </c>
      <c r="Z8" s="3461"/>
      <c r="AA8" s="1556" t="e">
        <f t="shared" ref="AA8:AA46" si="3">D8/F8</f>
        <v>#DIV/0!</v>
      </c>
      <c r="AB8" s="1556" t="e">
        <f t="shared" ref="AB8:AB46" si="4">D8/H8</f>
        <v>#DIV/0!</v>
      </c>
      <c r="AC8" s="1556" t="e">
        <f t="shared" ref="AC8:AC46" si="5">D8/J8</f>
        <v>#DIV/0!</v>
      </c>
    </row>
    <row r="9" spans="1:29" s="1214" customFormat="1" ht="15">
      <c r="A9" s="2867"/>
      <c r="B9" s="2874" t="s">
        <v>2753</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68" t="s">
        <v>535</v>
      </c>
      <c r="Q9" s="1145" t="str">
        <f t="shared" ref="Q9:Q15" si="6">B9</f>
        <v>用途</v>
      </c>
      <c r="R9" s="1553" t="s">
        <v>8</v>
      </c>
      <c r="S9" s="1554">
        <f t="shared" si="0"/>
        <v>100</v>
      </c>
      <c r="T9" s="1553" t="s">
        <v>8</v>
      </c>
      <c r="U9" s="1554">
        <f t="shared" si="1"/>
        <v>100</v>
      </c>
      <c r="V9" s="1553" t="s">
        <v>8</v>
      </c>
      <c r="W9" s="1554">
        <f t="shared" si="2"/>
        <v>100</v>
      </c>
      <c r="X9" s="1555"/>
      <c r="Y9" s="3425" t="s">
        <v>536</v>
      </c>
      <c r="Z9" s="1144" t="str">
        <f t="shared" ref="Z9:Z15" si="7">Q9</f>
        <v>用途</v>
      </c>
      <c r="AA9" s="1556">
        <f t="shared" si="3"/>
        <v>1</v>
      </c>
      <c r="AB9" s="1556">
        <f t="shared" si="4"/>
        <v>1</v>
      </c>
      <c r="AC9" s="1556">
        <f t="shared" si="5"/>
        <v>1</v>
      </c>
    </row>
    <row r="10" spans="1:29" s="1332" customFormat="1" ht="27">
      <c r="A10" s="2868"/>
      <c r="B10" s="2873" t="s">
        <v>2754</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69"/>
      <c r="B11" s="2873"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68"/>
      <c r="Q11" s="1145" t="str">
        <f t="shared" si="6"/>
        <v>容积率</v>
      </c>
      <c r="R11" s="1553" t="s">
        <v>8</v>
      </c>
      <c r="S11" s="1554" t="e">
        <f t="shared" si="0"/>
        <v>#N/A</v>
      </c>
      <c r="T11" s="1553" t="s">
        <v>8</v>
      </c>
      <c r="U11" s="1554" t="e">
        <f t="shared" si="1"/>
        <v>#N/A</v>
      </c>
      <c r="V11" s="1553" t="s">
        <v>8</v>
      </c>
      <c r="W11" s="1554" t="e">
        <f t="shared" si="2"/>
        <v>#N/A</v>
      </c>
      <c r="X11" s="1555"/>
      <c r="Y11" s="3425"/>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68"/>
      <c r="Q12" s="1145">
        <f t="shared" si="6"/>
        <v>111</v>
      </c>
      <c r="R12" s="1553" t="s">
        <v>8</v>
      </c>
      <c r="S12" s="1554">
        <f t="shared" si="0"/>
        <v>100</v>
      </c>
      <c r="T12" s="1553" t="s">
        <v>8</v>
      </c>
      <c r="U12" s="1554">
        <f t="shared" si="1"/>
        <v>100</v>
      </c>
      <c r="V12" s="1553" t="s">
        <v>8</v>
      </c>
      <c r="W12" s="1554">
        <f t="shared" si="2"/>
        <v>100</v>
      </c>
      <c r="X12" s="1555"/>
      <c r="Y12" s="3425"/>
      <c r="Z12" s="1144">
        <f t="shared" si="7"/>
        <v>111</v>
      </c>
      <c r="AA12" s="1556">
        <f>D12/F12</f>
        <v>1</v>
      </c>
      <c r="AB12" s="1556">
        <f>D12/H12</f>
        <v>1</v>
      </c>
      <c r="AC12" s="1556">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68"/>
      <c r="Q13" s="1145">
        <f t="shared" si="6"/>
        <v>111</v>
      </c>
      <c r="R13" s="1553" t="s">
        <v>8</v>
      </c>
      <c r="S13" s="1554">
        <f t="shared" si="0"/>
        <v>100</v>
      </c>
      <c r="T13" s="1553" t="s">
        <v>8</v>
      </c>
      <c r="U13" s="1554">
        <f t="shared" si="1"/>
        <v>100</v>
      </c>
      <c r="V13" s="1553" t="s">
        <v>8</v>
      </c>
      <c r="W13" s="1554">
        <f t="shared" si="2"/>
        <v>100</v>
      </c>
      <c r="X13" s="1555"/>
      <c r="Y13" s="3425"/>
      <c r="Z13" s="1144">
        <f t="shared" si="7"/>
        <v>111</v>
      </c>
      <c r="AA13" s="1556">
        <f t="shared" si="3"/>
        <v>1</v>
      </c>
      <c r="AB13" s="1556">
        <f t="shared" si="4"/>
        <v>1</v>
      </c>
      <c r="AC13" s="1556">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68"/>
      <c r="Q14" s="1145">
        <f t="shared" si="6"/>
        <v>111</v>
      </c>
      <c r="R14" s="1553" t="s">
        <v>8</v>
      </c>
      <c r="S14" s="1554">
        <f t="shared" si="0"/>
        <v>100</v>
      </c>
      <c r="T14" s="1553" t="s">
        <v>8</v>
      </c>
      <c r="U14" s="1554">
        <f t="shared" si="1"/>
        <v>100</v>
      </c>
      <c r="V14" s="1553" t="s">
        <v>8</v>
      </c>
      <c r="W14" s="1554">
        <f t="shared" si="2"/>
        <v>100</v>
      </c>
      <c r="X14" s="1555"/>
      <c r="Y14" s="3425"/>
      <c r="Z14" s="1144">
        <f t="shared" si="7"/>
        <v>111</v>
      </c>
      <c r="AA14" s="1556">
        <f t="shared" si="3"/>
        <v>1</v>
      </c>
      <c r="AB14" s="1556">
        <f t="shared" si="4"/>
        <v>1</v>
      </c>
      <c r="AC14" s="1556">
        <f t="shared" si="5"/>
        <v>1</v>
      </c>
    </row>
    <row r="15" spans="1:29" ht="71.25">
      <c r="A15" s="2863" t="s">
        <v>2751</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70" t="s">
        <v>540</v>
      </c>
      <c r="Q15" s="1557" t="str">
        <f t="shared" si="6"/>
        <v>商业繁华度</v>
      </c>
      <c r="R15" s="1558" t="s">
        <v>8</v>
      </c>
      <c r="S15" s="1559">
        <f t="shared" si="0"/>
        <v>100</v>
      </c>
      <c r="T15" s="1558" t="s">
        <v>8</v>
      </c>
      <c r="U15" s="1559">
        <f t="shared" si="1"/>
        <v>100</v>
      </c>
      <c r="V15" s="1558" t="s">
        <v>8</v>
      </c>
      <c r="W15" s="1559">
        <f t="shared" si="2"/>
        <v>100</v>
      </c>
      <c r="X15" s="1552"/>
      <c r="Y15" s="3470" t="s">
        <v>540</v>
      </c>
      <c r="Z15" s="1560" t="str">
        <f t="shared" si="7"/>
        <v>商业繁华度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471"/>
      <c r="Q16" s="1557"/>
      <c r="R16" s="1558"/>
      <c r="S16" s="1559"/>
      <c r="T16" s="1558"/>
      <c r="U16" s="1559"/>
      <c r="V16" s="1558"/>
      <c r="W16" s="1559"/>
      <c r="X16" s="1552"/>
      <c r="Y16" s="347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71"/>
      <c r="Q17" s="1557" t="str">
        <f>B17</f>
        <v>交通便捷度</v>
      </c>
      <c r="R17" s="1558" t="s">
        <v>8</v>
      </c>
      <c r="S17" s="1559">
        <f>F17</f>
        <v>100</v>
      </c>
      <c r="T17" s="1558" t="s">
        <v>8</v>
      </c>
      <c r="U17" s="1559">
        <f>H17</f>
        <v>100</v>
      </c>
      <c r="V17" s="1558" t="s">
        <v>8</v>
      </c>
      <c r="W17" s="1559">
        <f>J17</f>
        <v>100</v>
      </c>
      <c r="X17" s="1552"/>
      <c r="Y17" s="347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471"/>
      <c r="Q18" s="1557"/>
      <c r="R18" s="1558"/>
      <c r="S18" s="1559"/>
      <c r="T18" s="1558"/>
      <c r="U18" s="1559"/>
      <c r="V18" s="1558"/>
      <c r="W18" s="1559"/>
      <c r="X18" s="1552"/>
      <c r="Y18" s="3471"/>
      <c r="Z18" s="1560"/>
      <c r="AA18" s="1561">
        <v>1</v>
      </c>
      <c r="AB18" s="1561">
        <v>1</v>
      </c>
      <c r="AC18" s="1561">
        <v>1</v>
      </c>
    </row>
    <row r="19" spans="1:29" ht="42.75">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71"/>
      <c r="Q19" s="1557" t="str">
        <f>B19</f>
        <v>公共配套设施</v>
      </c>
      <c r="R19" s="1558" t="s">
        <v>8</v>
      </c>
      <c r="S19" s="1559">
        <f>F19</f>
        <v>100</v>
      </c>
      <c r="T19" s="1558" t="s">
        <v>8</v>
      </c>
      <c r="U19" s="1559">
        <f>H19</f>
        <v>100</v>
      </c>
      <c r="V19" s="1558" t="s">
        <v>8</v>
      </c>
      <c r="W19" s="1559">
        <f>J19</f>
        <v>100</v>
      </c>
      <c r="X19" s="1552"/>
      <c r="Y19" s="3471"/>
      <c r="Z19" s="1560" t="str">
        <f>Q19</f>
        <v>公共配套设施</v>
      </c>
      <c r="AA19" s="1561">
        <f t="shared" si="3"/>
        <v>1</v>
      </c>
      <c r="AB19" s="1561">
        <f t="shared" si="4"/>
        <v>1</v>
      </c>
      <c r="AC19" s="1561">
        <f t="shared" si="5"/>
        <v>1</v>
      </c>
    </row>
    <row r="20" spans="1:29" ht="15">
      <c r="A20" s="531"/>
      <c r="B20" s="594"/>
      <c r="C20" s="575"/>
      <c r="D20" s="554"/>
      <c r="E20" s="555"/>
      <c r="F20" s="556"/>
      <c r="G20" s="557"/>
      <c r="H20" s="554"/>
      <c r="I20" s="555"/>
      <c r="J20" s="554"/>
      <c r="K20" s="897"/>
      <c r="L20" s="2125"/>
      <c r="M20" s="2117"/>
      <c r="N20" s="2117"/>
      <c r="O20" s="2124"/>
      <c r="P20" s="3471"/>
      <c r="Q20" s="1557"/>
      <c r="R20" s="1558"/>
      <c r="S20" s="1559"/>
      <c r="T20" s="1558"/>
      <c r="U20" s="1559"/>
      <c r="V20" s="1558"/>
      <c r="W20" s="1559"/>
      <c r="X20" s="1552"/>
      <c r="Y20" s="3471"/>
      <c r="Z20" s="1560"/>
      <c r="AA20" s="1561">
        <v>1</v>
      </c>
      <c r="AB20" s="1561">
        <v>1</v>
      </c>
      <c r="AC20" s="1561">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71"/>
      <c r="Q21" s="2541" t="str">
        <f>B21</f>
        <v>基础设施水平</v>
      </c>
      <c r="R21" s="1558" t="s">
        <v>8</v>
      </c>
      <c r="S21" s="1559">
        <f>F21</f>
        <v>100</v>
      </c>
      <c r="T21" s="1558" t="s">
        <v>8</v>
      </c>
      <c r="U21" s="1559">
        <f>H21</f>
        <v>100</v>
      </c>
      <c r="V21" s="1558" t="s">
        <v>8</v>
      </c>
      <c r="W21" s="1559">
        <f>J21</f>
        <v>100</v>
      </c>
      <c r="X21" s="2543"/>
      <c r="Y21" s="3471"/>
      <c r="Z21" s="2542" t="str">
        <f>Q21</f>
        <v>基础设施水平</v>
      </c>
      <c r="AA21" s="1561">
        <f t="shared" ref="AA21" si="8">D21/F21</f>
        <v>1</v>
      </c>
      <c r="AB21" s="1561">
        <f t="shared" ref="AB21" si="9">D21/H21</f>
        <v>1</v>
      </c>
      <c r="AC21" s="1561">
        <f t="shared" ref="AC21" si="10">D21/J21</f>
        <v>1</v>
      </c>
    </row>
    <row r="22" spans="1:29" ht="15">
      <c r="A22" s="531"/>
      <c r="B22" s="920"/>
      <c r="C22" s="872"/>
      <c r="D22" s="554"/>
      <c r="E22" s="575"/>
      <c r="F22" s="556"/>
      <c r="G22" s="575"/>
      <c r="H22" s="554"/>
      <c r="I22" s="575"/>
      <c r="J22" s="554"/>
      <c r="K22" s="2564"/>
      <c r="L22" s="2125"/>
      <c r="M22" s="2117"/>
      <c r="N22" s="2117"/>
      <c r="O22" s="2124"/>
      <c r="P22" s="3471"/>
      <c r="Q22" s="2541"/>
      <c r="R22" s="1558"/>
      <c r="S22" s="1559"/>
      <c r="T22" s="1558"/>
      <c r="U22" s="1559"/>
      <c r="V22" s="1558"/>
      <c r="W22" s="1559"/>
      <c r="X22" s="2543"/>
      <c r="Y22" s="3471"/>
      <c r="Z22" s="2542"/>
      <c r="AA22" s="1561">
        <v>1</v>
      </c>
      <c r="AB22" s="1561">
        <v>1</v>
      </c>
      <c r="AC22" s="1561">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71"/>
      <c r="Q23" s="1557" t="str">
        <f>B23</f>
        <v>自然及人文环境</v>
      </c>
      <c r="R23" s="1558" t="s">
        <v>8</v>
      </c>
      <c r="S23" s="1559">
        <f>F23</f>
        <v>100</v>
      </c>
      <c r="T23" s="1558" t="s">
        <v>8</v>
      </c>
      <c r="U23" s="1559">
        <f>H23</f>
        <v>100</v>
      </c>
      <c r="V23" s="1558" t="s">
        <v>8</v>
      </c>
      <c r="W23" s="1559">
        <f>J23</f>
        <v>100</v>
      </c>
      <c r="X23" s="1552"/>
      <c r="Y23" s="3471"/>
      <c r="Z23" s="1560" t="str">
        <f>Q23</f>
        <v>自然及人文环境</v>
      </c>
      <c r="AA23" s="1561">
        <f t="shared" si="3"/>
        <v>1</v>
      </c>
      <c r="AB23" s="1561">
        <f t="shared" si="4"/>
        <v>1</v>
      </c>
      <c r="AC23" s="1561">
        <f t="shared" si="5"/>
        <v>1</v>
      </c>
    </row>
    <row r="24" spans="1:29" ht="15">
      <c r="A24" s="531"/>
      <c r="B24" s="594"/>
      <c r="C24" s="575"/>
      <c r="D24" s="554"/>
      <c r="E24" s="555"/>
      <c r="F24" s="556"/>
      <c r="G24" s="557"/>
      <c r="H24" s="554"/>
      <c r="I24" s="555"/>
      <c r="J24" s="554"/>
      <c r="K24" s="897"/>
      <c r="L24" s="2125"/>
      <c r="M24" s="2117"/>
      <c r="N24" s="2117"/>
      <c r="O24" s="2124"/>
      <c r="P24" s="3471"/>
      <c r="Q24" s="1557"/>
      <c r="R24" s="1558"/>
      <c r="S24" s="1559"/>
      <c r="T24" s="1558"/>
      <c r="U24" s="1559"/>
      <c r="V24" s="1558"/>
      <c r="W24" s="1559"/>
      <c r="X24" s="1552"/>
      <c r="Y24" s="3471"/>
      <c r="Z24" s="1560"/>
      <c r="AA24" s="1561">
        <v>1</v>
      </c>
      <c r="AB24" s="1561">
        <v>1</v>
      </c>
      <c r="AC24" s="1561">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71"/>
      <c r="Q25" s="1557" t="str">
        <f t="shared" ref="Q25:Q46" si="11">B25</f>
        <v>临街状况</v>
      </c>
      <c r="R25" s="1558" t="s">
        <v>8</v>
      </c>
      <c r="S25" s="1559">
        <f>F25</f>
        <v>100</v>
      </c>
      <c r="T25" s="1558" t="s">
        <v>8</v>
      </c>
      <c r="U25" s="1559">
        <f>H25</f>
        <v>100</v>
      </c>
      <c r="V25" s="1558" t="s">
        <v>8</v>
      </c>
      <c r="W25" s="1559">
        <f>J25</f>
        <v>100</v>
      </c>
      <c r="X25" s="1552"/>
      <c r="Y25" s="3471"/>
      <c r="Z25" s="1560" t="str">
        <f>Q25</f>
        <v>临街状况</v>
      </c>
      <c r="AA25" s="1561">
        <f t="shared" si="3"/>
        <v>1</v>
      </c>
      <c r="AB25" s="1561">
        <f t="shared" si="4"/>
        <v>1</v>
      </c>
      <c r="AC25" s="1561">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71"/>
      <c r="Q26" s="1557" t="str">
        <f t="shared" si="11"/>
        <v>平面位置/可视性</v>
      </c>
      <c r="R26" s="1558" t="s">
        <v>8</v>
      </c>
      <c r="S26" s="1559">
        <f>F26</f>
        <v>100</v>
      </c>
      <c r="T26" s="1558" t="s">
        <v>8</v>
      </c>
      <c r="U26" s="1559">
        <f>H26</f>
        <v>100</v>
      </c>
      <c r="V26" s="1558" t="s">
        <v>8</v>
      </c>
      <c r="W26" s="1559">
        <f>J26</f>
        <v>100</v>
      </c>
      <c r="X26" s="1552"/>
      <c r="Y26" s="3471"/>
      <c r="Z26" s="1560" t="str">
        <f>Q26</f>
        <v>平面位置/可视性</v>
      </c>
      <c r="AA26" s="1561">
        <f t="shared" si="3"/>
        <v>1</v>
      </c>
      <c r="AB26" s="1561">
        <f t="shared" si="4"/>
        <v>1</v>
      </c>
      <c r="AC26" s="1561">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71"/>
      <c r="Q27" s="1145" t="str">
        <f t="shared" si="11"/>
        <v>人流量</v>
      </c>
      <c r="R27" s="1553" t="s">
        <v>8</v>
      </c>
      <c r="S27" s="1554">
        <f>F27</f>
        <v>100</v>
      </c>
      <c r="T27" s="1553" t="s">
        <v>8</v>
      </c>
      <c r="U27" s="1554">
        <f>H27</f>
        <v>100</v>
      </c>
      <c r="V27" s="1553" t="s">
        <v>8</v>
      </c>
      <c r="W27" s="1554">
        <f>J27</f>
        <v>100</v>
      </c>
      <c r="X27" s="1555"/>
      <c r="Y27" s="3471"/>
      <c r="Z27" s="1144" t="str">
        <f>Q27</f>
        <v>人流量</v>
      </c>
      <c r="AA27" s="1561">
        <f>D27/F27</f>
        <v>1</v>
      </c>
      <c r="AB27" s="1561">
        <f>D27/H27</f>
        <v>1</v>
      </c>
      <c r="AC27" s="1561">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7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71"/>
      <c r="Z28" s="1560" t="str">
        <f t="shared" ref="Z28:Z46" si="15">Q28</f>
        <v>楼层</v>
      </c>
      <c r="AA28" s="1561">
        <f t="shared" si="3"/>
        <v>1</v>
      </c>
      <c r="AB28" s="1561">
        <f t="shared" si="4"/>
        <v>1</v>
      </c>
      <c r="AC28" s="156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71"/>
      <c r="Q29" s="1557">
        <f t="shared" si="11"/>
        <v>111</v>
      </c>
      <c r="R29" s="1558" t="s">
        <v>8</v>
      </c>
      <c r="S29" s="1559">
        <f t="shared" si="12"/>
        <v>100</v>
      </c>
      <c r="T29" s="1558" t="s">
        <v>8</v>
      </c>
      <c r="U29" s="1559">
        <f t="shared" si="13"/>
        <v>100</v>
      </c>
      <c r="V29" s="1558" t="s">
        <v>8</v>
      </c>
      <c r="W29" s="1559">
        <f t="shared" si="14"/>
        <v>100</v>
      </c>
      <c r="X29" s="1552"/>
      <c r="Y29" s="3471"/>
      <c r="Z29" s="1560">
        <f t="shared" si="15"/>
        <v>111</v>
      </c>
      <c r="AA29" s="1561">
        <f t="shared" si="3"/>
        <v>1</v>
      </c>
      <c r="AB29" s="1561">
        <f t="shared" si="4"/>
        <v>1</v>
      </c>
      <c r="AC29" s="156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71"/>
      <c r="Q30" s="1557">
        <f t="shared" si="11"/>
        <v>111</v>
      </c>
      <c r="R30" s="1558" t="s">
        <v>8</v>
      </c>
      <c r="S30" s="1559">
        <f t="shared" si="12"/>
        <v>100</v>
      </c>
      <c r="T30" s="1558" t="s">
        <v>8</v>
      </c>
      <c r="U30" s="1559">
        <f t="shared" si="13"/>
        <v>100</v>
      </c>
      <c r="V30" s="1558" t="s">
        <v>8</v>
      </c>
      <c r="W30" s="1559">
        <f t="shared" si="14"/>
        <v>100</v>
      </c>
      <c r="X30" s="1552"/>
      <c r="Y30" s="3471"/>
      <c r="Z30" s="1560">
        <f t="shared" si="15"/>
        <v>111</v>
      </c>
      <c r="AA30" s="1561">
        <f t="shared" si="3"/>
        <v>1</v>
      </c>
      <c r="AB30" s="1561">
        <f t="shared" si="4"/>
        <v>1</v>
      </c>
      <c r="AC30" s="1561">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71"/>
      <c r="Q31" s="1557">
        <f t="shared" si="11"/>
        <v>111</v>
      </c>
      <c r="R31" s="1558" t="s">
        <v>8</v>
      </c>
      <c r="S31" s="1559">
        <f t="shared" si="12"/>
        <v>100</v>
      </c>
      <c r="T31" s="1558" t="s">
        <v>8</v>
      </c>
      <c r="U31" s="1559">
        <f t="shared" si="13"/>
        <v>100</v>
      </c>
      <c r="V31" s="1558" t="s">
        <v>8</v>
      </c>
      <c r="W31" s="1559">
        <f t="shared" si="14"/>
        <v>100</v>
      </c>
      <c r="X31" s="1552"/>
      <c r="Y31" s="3471"/>
      <c r="Z31" s="1560">
        <f t="shared" si="15"/>
        <v>111</v>
      </c>
      <c r="AA31" s="1561">
        <f t="shared" si="3"/>
        <v>1</v>
      </c>
      <c r="AB31" s="1561">
        <f t="shared" si="4"/>
        <v>1</v>
      </c>
      <c r="AC31" s="1561">
        <f t="shared" si="5"/>
        <v>1</v>
      </c>
    </row>
    <row r="32" spans="1:29" ht="15">
      <c r="A32" s="2860" t="s">
        <v>2752</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72" t="s">
        <v>550</v>
      </c>
      <c r="Q32" s="1557" t="str">
        <f t="shared" si="11"/>
        <v>商业类型</v>
      </c>
      <c r="R32" s="1558" t="s">
        <v>8</v>
      </c>
      <c r="S32" s="1559">
        <f t="shared" si="12"/>
        <v>100</v>
      </c>
      <c r="T32" s="1558" t="s">
        <v>8</v>
      </c>
      <c r="U32" s="1559">
        <f t="shared" si="13"/>
        <v>100</v>
      </c>
      <c r="V32" s="1558" t="s">
        <v>8</v>
      </c>
      <c r="W32" s="1559">
        <f t="shared" si="14"/>
        <v>100</v>
      </c>
      <c r="X32" s="1552"/>
      <c r="Y32" s="3473" t="s">
        <v>550</v>
      </c>
      <c r="Z32" s="1560" t="str">
        <f t="shared" si="15"/>
        <v>商业类型</v>
      </c>
      <c r="AA32" s="1561">
        <f t="shared" si="3"/>
        <v>1</v>
      </c>
      <c r="AB32" s="1561">
        <f t="shared" si="4"/>
        <v>1</v>
      </c>
      <c r="AC32" s="1561">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73"/>
      <c r="Q33" s="1589" t="str">
        <f t="shared" si="11"/>
        <v>项目建筑规模</v>
      </c>
      <c r="R33" s="1562" t="s">
        <v>8</v>
      </c>
      <c r="S33" s="1563" t="e">
        <f t="shared" si="12"/>
        <v>#N/A</v>
      </c>
      <c r="T33" s="1562" t="s">
        <v>8</v>
      </c>
      <c r="U33" s="1563" t="e">
        <f t="shared" si="13"/>
        <v>#N/A</v>
      </c>
      <c r="V33" s="1562" t="s">
        <v>8</v>
      </c>
      <c r="W33" s="1563" t="e">
        <f t="shared" si="14"/>
        <v>#N/A</v>
      </c>
      <c r="X33" s="1564"/>
      <c r="Y33" s="3473"/>
      <c r="Z33" s="1565" t="str">
        <f t="shared" si="15"/>
        <v>项目建筑规模</v>
      </c>
      <c r="AA33" s="1561" t="e">
        <f t="shared" si="3"/>
        <v>#N/A</v>
      </c>
      <c r="AB33" s="1561" t="e">
        <f t="shared" si="4"/>
        <v>#N/A</v>
      </c>
      <c r="AC33" s="1561"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73"/>
      <c r="Q34" s="1557" t="str">
        <f t="shared" si="11"/>
        <v>建筑结构</v>
      </c>
      <c r="R34" s="1558" t="s">
        <v>8</v>
      </c>
      <c r="S34" s="1559">
        <f t="shared" si="12"/>
        <v>100</v>
      </c>
      <c r="T34" s="1558" t="s">
        <v>8</v>
      </c>
      <c r="U34" s="1559">
        <f t="shared" si="13"/>
        <v>100</v>
      </c>
      <c r="V34" s="1558" t="s">
        <v>8</v>
      </c>
      <c r="W34" s="1559">
        <f t="shared" si="14"/>
        <v>100</v>
      </c>
      <c r="X34" s="1552"/>
      <c r="Y34" s="3473"/>
      <c r="Z34" s="1560" t="str">
        <f t="shared" si="15"/>
        <v>建筑结构</v>
      </c>
      <c r="AA34" s="1561">
        <f t="shared" si="3"/>
        <v>1</v>
      </c>
      <c r="AB34" s="1561">
        <f t="shared" si="4"/>
        <v>1</v>
      </c>
      <c r="AC34" s="1561">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73"/>
      <c r="Q35" s="1557" t="str">
        <f t="shared" si="11"/>
        <v>公共部分装修</v>
      </c>
      <c r="R35" s="1558" t="s">
        <v>8</v>
      </c>
      <c r="S35" s="1559">
        <f t="shared" si="12"/>
        <v>100</v>
      </c>
      <c r="T35" s="1558" t="s">
        <v>8</v>
      </c>
      <c r="U35" s="1559">
        <f t="shared" si="13"/>
        <v>100</v>
      </c>
      <c r="V35" s="1558" t="s">
        <v>8</v>
      </c>
      <c r="W35" s="1559">
        <f t="shared" si="14"/>
        <v>100</v>
      </c>
      <c r="X35" s="1552"/>
      <c r="Y35" s="3473"/>
      <c r="Z35" s="1560" t="str">
        <f t="shared" si="15"/>
        <v>公共部分装修</v>
      </c>
      <c r="AA35" s="1561">
        <f t="shared" si="3"/>
        <v>1</v>
      </c>
      <c r="AB35" s="1561">
        <f t="shared" si="4"/>
        <v>1</v>
      </c>
      <c r="AC35" s="1561">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73"/>
      <c r="Q36" s="1557" t="str">
        <f t="shared" si="11"/>
        <v>成新度</v>
      </c>
      <c r="R36" s="1558" t="s">
        <v>8</v>
      </c>
      <c r="S36" s="1559" t="e">
        <f t="shared" si="12"/>
        <v>#N/A</v>
      </c>
      <c r="T36" s="1558" t="s">
        <v>8</v>
      </c>
      <c r="U36" s="1559" t="e">
        <f t="shared" si="13"/>
        <v>#N/A</v>
      </c>
      <c r="V36" s="1558" t="s">
        <v>8</v>
      </c>
      <c r="W36" s="1559" t="e">
        <f t="shared" si="14"/>
        <v>#N/A</v>
      </c>
      <c r="X36" s="1552"/>
      <c r="Y36" s="3473"/>
      <c r="Z36" s="1560" t="str">
        <f t="shared" si="15"/>
        <v>成新度</v>
      </c>
      <c r="AA36" s="1561" t="e">
        <f t="shared" si="3"/>
        <v>#N/A</v>
      </c>
      <c r="AB36" s="1561" t="e">
        <f t="shared" si="4"/>
        <v>#N/A</v>
      </c>
      <c r="AC36" s="1561" t="e">
        <f t="shared" si="5"/>
        <v>#N/A</v>
      </c>
    </row>
    <row r="37" spans="1:29" s="1214" customFormat="1" ht="15">
      <c r="A37" s="599"/>
      <c r="B37" s="1878"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73"/>
      <c r="Q37" s="1145" t="str">
        <f t="shared" si="11"/>
        <v>市政基础设施</v>
      </c>
      <c r="R37" s="1553" t="s">
        <v>8</v>
      </c>
      <c r="S37" s="1554">
        <f t="shared" si="12"/>
        <v>100</v>
      </c>
      <c r="T37" s="1553" t="s">
        <v>8</v>
      </c>
      <c r="U37" s="1554">
        <f t="shared" si="13"/>
        <v>100</v>
      </c>
      <c r="V37" s="1553" t="s">
        <v>8</v>
      </c>
      <c r="W37" s="1554">
        <f t="shared" si="14"/>
        <v>100</v>
      </c>
      <c r="X37" s="1555"/>
      <c r="Y37" s="3473"/>
      <c r="Z37" s="1144" t="str">
        <f t="shared" si="15"/>
        <v>市政基础设施</v>
      </c>
      <c r="AA37" s="1556">
        <f t="shared" si="3"/>
        <v>1</v>
      </c>
      <c r="AB37" s="1556">
        <f t="shared" si="4"/>
        <v>1</v>
      </c>
      <c r="AC37" s="1556">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73" t="s">
        <v>766</v>
      </c>
      <c r="Q38" s="1557" t="str">
        <f t="shared" si="11"/>
        <v>业态</v>
      </c>
      <c r="R38" s="1558" t="s">
        <v>8</v>
      </c>
      <c r="S38" s="1559">
        <f t="shared" si="12"/>
        <v>100</v>
      </c>
      <c r="T38" s="1558" t="s">
        <v>8</v>
      </c>
      <c r="U38" s="1559">
        <f t="shared" si="13"/>
        <v>100</v>
      </c>
      <c r="V38" s="1558" t="s">
        <v>8</v>
      </c>
      <c r="W38" s="1559">
        <f t="shared" si="14"/>
        <v>100</v>
      </c>
      <c r="X38" s="1552"/>
      <c r="Y38" s="3473" t="s">
        <v>766</v>
      </c>
      <c r="Z38" s="1560" t="str">
        <f t="shared" si="15"/>
        <v>业态</v>
      </c>
      <c r="AA38" s="1561">
        <f t="shared" si="3"/>
        <v>1</v>
      </c>
      <c r="AB38" s="1561">
        <f t="shared" si="4"/>
        <v>1</v>
      </c>
      <c r="AC38" s="1561">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73"/>
      <c r="Q39" s="1557" t="str">
        <f t="shared" si="11"/>
        <v>层高</v>
      </c>
      <c r="R39" s="1558" t="s">
        <v>8</v>
      </c>
      <c r="S39" s="1559">
        <f t="shared" si="12"/>
        <v>100</v>
      </c>
      <c r="T39" s="1558" t="s">
        <v>8</v>
      </c>
      <c r="U39" s="1559">
        <f t="shared" si="13"/>
        <v>100</v>
      </c>
      <c r="V39" s="1558" t="s">
        <v>8</v>
      </c>
      <c r="W39" s="1559">
        <f t="shared" si="14"/>
        <v>100</v>
      </c>
      <c r="X39" s="1552"/>
      <c r="Y39" s="3473"/>
      <c r="Z39" s="1560" t="str">
        <f t="shared" si="15"/>
        <v>层高</v>
      </c>
      <c r="AA39" s="1561">
        <f t="shared" si="3"/>
        <v>1</v>
      </c>
      <c r="AB39" s="1561">
        <f t="shared" si="4"/>
        <v>1</v>
      </c>
      <c r="AC39" s="1561">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73"/>
      <c r="Q40" s="1557" t="str">
        <f t="shared" si="11"/>
        <v>单套建筑面积</v>
      </c>
      <c r="R40" s="1558" t="s">
        <v>8</v>
      </c>
      <c r="S40" s="1559">
        <f t="shared" si="12"/>
        <v>100</v>
      </c>
      <c r="T40" s="1558" t="s">
        <v>8</v>
      </c>
      <c r="U40" s="1559">
        <f t="shared" si="13"/>
        <v>100</v>
      </c>
      <c r="V40" s="1558" t="s">
        <v>8</v>
      </c>
      <c r="W40" s="1559">
        <f t="shared" si="14"/>
        <v>100</v>
      </c>
      <c r="X40" s="1552"/>
      <c r="Y40" s="3473"/>
      <c r="Z40" s="1560" t="str">
        <f t="shared" si="15"/>
        <v>单套建筑面积</v>
      </c>
      <c r="AA40" s="1561">
        <f t="shared" si="3"/>
        <v>1</v>
      </c>
      <c r="AB40" s="1561">
        <f t="shared" si="4"/>
        <v>1</v>
      </c>
      <c r="AC40" s="1561">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73"/>
      <c r="Q41" s="1589" t="str">
        <f t="shared" si="11"/>
        <v>进深比</v>
      </c>
      <c r="R41" s="1562" t="s">
        <v>8</v>
      </c>
      <c r="S41" s="1563">
        <f t="shared" si="12"/>
        <v>100</v>
      </c>
      <c r="T41" s="1562" t="s">
        <v>8</v>
      </c>
      <c r="U41" s="1563">
        <f t="shared" si="13"/>
        <v>100</v>
      </c>
      <c r="V41" s="1562" t="s">
        <v>8</v>
      </c>
      <c r="W41" s="1563">
        <f t="shared" si="14"/>
        <v>100</v>
      </c>
      <c r="X41" s="1564"/>
      <c r="Y41" s="3473"/>
      <c r="Z41" s="1565" t="str">
        <f t="shared" si="15"/>
        <v>进深比</v>
      </c>
      <c r="AA41" s="1561">
        <f t="shared" si="3"/>
        <v>1</v>
      </c>
      <c r="AB41" s="1561">
        <f t="shared" si="4"/>
        <v>1</v>
      </c>
      <c r="AC41" s="1561">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73"/>
      <c r="Q42" s="1557" t="str">
        <f t="shared" si="11"/>
        <v>内部装修</v>
      </c>
      <c r="R42" s="1558" t="s">
        <v>8</v>
      </c>
      <c r="S42" s="1559">
        <f t="shared" si="12"/>
        <v>100</v>
      </c>
      <c r="T42" s="1558" t="s">
        <v>8</v>
      </c>
      <c r="U42" s="1559">
        <f t="shared" si="13"/>
        <v>100</v>
      </c>
      <c r="V42" s="1558" t="s">
        <v>8</v>
      </c>
      <c r="W42" s="1559">
        <f t="shared" si="14"/>
        <v>100</v>
      </c>
      <c r="X42" s="1552"/>
      <c r="Y42" s="3473"/>
      <c r="Z42" s="1560" t="str">
        <f t="shared" si="15"/>
        <v>内部装修</v>
      </c>
      <c r="AA42" s="1561">
        <f t="shared" si="3"/>
        <v>1</v>
      </c>
      <c r="AB42" s="1561">
        <f t="shared" si="4"/>
        <v>1</v>
      </c>
      <c r="AC42" s="1561">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73"/>
      <c r="Q43" s="1557" t="str">
        <f t="shared" si="11"/>
        <v>内部装修维护情况</v>
      </c>
      <c r="R43" s="1558" t="s">
        <v>8</v>
      </c>
      <c r="S43" s="1559">
        <f t="shared" si="12"/>
        <v>100</v>
      </c>
      <c r="T43" s="1558" t="s">
        <v>8</v>
      </c>
      <c r="U43" s="1559">
        <f t="shared" si="13"/>
        <v>100</v>
      </c>
      <c r="V43" s="1558" t="s">
        <v>8</v>
      </c>
      <c r="W43" s="1559">
        <f t="shared" si="14"/>
        <v>100</v>
      </c>
      <c r="X43" s="1552"/>
      <c r="Y43" s="3473"/>
      <c r="Z43" s="1560" t="str">
        <f t="shared" si="15"/>
        <v>内部装修维护情况</v>
      </c>
      <c r="AA43" s="1561">
        <f t="shared" si="3"/>
        <v>1</v>
      </c>
      <c r="AB43" s="1561">
        <f t="shared" si="4"/>
        <v>1</v>
      </c>
      <c r="AC43" s="1561">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73"/>
      <c r="Q44" s="1145">
        <f t="shared" si="11"/>
        <v>111</v>
      </c>
      <c r="R44" s="1553" t="s">
        <v>8</v>
      </c>
      <c r="S44" s="1554">
        <f t="shared" si="12"/>
        <v>100</v>
      </c>
      <c r="T44" s="1553" t="s">
        <v>8</v>
      </c>
      <c r="U44" s="1554">
        <f t="shared" si="13"/>
        <v>100</v>
      </c>
      <c r="V44" s="1553" t="s">
        <v>8</v>
      </c>
      <c r="W44" s="1554">
        <f t="shared" si="14"/>
        <v>100</v>
      </c>
      <c r="X44" s="1555"/>
      <c r="Y44" s="3473"/>
      <c r="Z44" s="1144">
        <f t="shared" si="15"/>
        <v>111</v>
      </c>
      <c r="AA44" s="1556">
        <f t="shared" si="3"/>
        <v>1</v>
      </c>
      <c r="AB44" s="1556">
        <f t="shared" si="4"/>
        <v>1</v>
      </c>
      <c r="AC44" s="1556">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73"/>
      <c r="Q45" s="1557">
        <f t="shared" si="11"/>
        <v>111</v>
      </c>
      <c r="R45" s="1558" t="s">
        <v>8</v>
      </c>
      <c r="S45" s="1559">
        <f t="shared" si="12"/>
        <v>100</v>
      </c>
      <c r="T45" s="1558" t="s">
        <v>8</v>
      </c>
      <c r="U45" s="1559">
        <f t="shared" si="13"/>
        <v>100</v>
      </c>
      <c r="V45" s="1558" t="s">
        <v>8</v>
      </c>
      <c r="W45" s="1559">
        <f t="shared" si="14"/>
        <v>100</v>
      </c>
      <c r="X45" s="1552"/>
      <c r="Y45" s="3473"/>
      <c r="Z45" s="1560">
        <f t="shared" si="15"/>
        <v>111</v>
      </c>
      <c r="AA45" s="1561">
        <f t="shared" si="3"/>
        <v>1</v>
      </c>
      <c r="AB45" s="1561">
        <f t="shared" si="4"/>
        <v>1</v>
      </c>
      <c r="AC45" s="1561">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69"/>
      <c r="Q46" s="1557">
        <f t="shared" si="11"/>
        <v>111</v>
      </c>
      <c r="R46" s="1558" t="s">
        <v>8</v>
      </c>
      <c r="S46" s="1559">
        <f t="shared" si="12"/>
        <v>100</v>
      </c>
      <c r="T46" s="1558" t="s">
        <v>8</v>
      </c>
      <c r="U46" s="1559">
        <f t="shared" si="13"/>
        <v>100</v>
      </c>
      <c r="V46" s="1558" t="s">
        <v>8</v>
      </c>
      <c r="W46" s="1559">
        <f t="shared" si="14"/>
        <v>100</v>
      </c>
      <c r="X46" s="1552"/>
      <c r="Y46" s="3569"/>
      <c r="Z46" s="1560">
        <f t="shared" si="15"/>
        <v>111</v>
      </c>
      <c r="AA46" s="1561">
        <f t="shared" si="3"/>
        <v>1</v>
      </c>
      <c r="AB46" s="1561">
        <f t="shared" si="4"/>
        <v>1</v>
      </c>
      <c r="AC46" s="1561">
        <f t="shared" si="5"/>
        <v>1</v>
      </c>
    </row>
    <row r="47" spans="1:29" ht="15">
      <c r="A47" s="606" t="s">
        <v>736</v>
      </c>
      <c r="B47" s="885"/>
      <c r="C47" s="2589" t="s">
        <v>1</v>
      </c>
      <c r="D47" s="2590"/>
      <c r="E47" s="2591"/>
      <c r="F47" s="2592"/>
      <c r="G47" s="2593"/>
      <c r="H47" s="2594"/>
      <c r="I47" s="2591"/>
      <c r="J47" s="2594"/>
      <c r="K47" s="1595"/>
      <c r="L47" s="2127"/>
      <c r="M47" s="2128"/>
      <c r="N47" s="2117"/>
      <c r="O47" s="2128"/>
      <c r="P47" s="3468" t="str">
        <f>A47</f>
        <v>成交单价（元/平方米）</v>
      </c>
      <c r="Q47" s="3468"/>
      <c r="R47" s="3570">
        <f>E47</f>
        <v>0</v>
      </c>
      <c r="S47" s="3570"/>
      <c r="T47" s="3570">
        <f>G47</f>
        <v>0</v>
      </c>
      <c r="U47" s="3570"/>
      <c r="V47" s="3570">
        <f>I47</f>
        <v>0</v>
      </c>
      <c r="W47" s="3570"/>
      <c r="X47" s="1544"/>
      <c r="Y47" s="1566"/>
      <c r="Z47" s="1544"/>
      <c r="AA47" s="1544"/>
      <c r="AB47" s="1544"/>
      <c r="AC47" s="1544"/>
    </row>
    <row r="48" spans="1:29" ht="15.75" thickBot="1">
      <c r="A48" s="614" t="s">
        <v>2757</v>
      </c>
      <c r="B48" s="886"/>
      <c r="C48" s="2595" t="e">
        <f>R49</f>
        <v>#DIV/0!</v>
      </c>
      <c r="D48" s="2596"/>
      <c r="E48" s="2597" t="e">
        <f>R48</f>
        <v>#DIV/0!</v>
      </c>
      <c r="F48" s="2597"/>
      <c r="G48" s="2595" t="e">
        <f>T48</f>
        <v>#DIV/0!</v>
      </c>
      <c r="H48" s="2596"/>
      <c r="I48" s="2597" t="e">
        <f>V48</f>
        <v>#DIV/0!</v>
      </c>
      <c r="J48" s="2596"/>
      <c r="K48" s="1596"/>
      <c r="L48" s="2127"/>
      <c r="M48" s="2128"/>
      <c r="N48" s="2117"/>
      <c r="O48" s="2128"/>
      <c r="P48" s="3468" t="str">
        <f>A48</f>
        <v>比较价格（元/平方米）</v>
      </c>
      <c r="Q48" s="3468"/>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544"/>
      <c r="Y48" s="1544"/>
      <c r="Z48" s="1544"/>
      <c r="AA48" s="1544"/>
      <c r="AB48" s="1544"/>
      <c r="AC48" s="1544"/>
    </row>
    <row r="49" spans="1:29" ht="15.75" thickBot="1">
      <c r="A49" s="620" t="s">
        <v>2932</v>
      </c>
      <c r="B49" s="621"/>
      <c r="C49" s="2598" t="e">
        <f>R49</f>
        <v>#DIV/0!</v>
      </c>
      <c r="D49" s="2598"/>
      <c r="E49" s="2598"/>
      <c r="F49" s="2598"/>
      <c r="G49" s="2598"/>
      <c r="H49" s="2598"/>
      <c r="I49" s="2598"/>
      <c r="J49" s="2598"/>
      <c r="K49" s="1597"/>
      <c r="L49" s="2127"/>
      <c r="M49" s="2128"/>
      <c r="N49" s="2117"/>
      <c r="O49" s="2128"/>
      <c r="P49" s="3489" t="str">
        <f>A49</f>
        <v>估价对象XX用房的比较价格（楼面单价，元/平方米）</v>
      </c>
      <c r="Q49" s="3490"/>
      <c r="R49" s="3571" t="e">
        <f>IF(F1="售价",ROUND(AVERAGE(R48:V48),0),ROUND(AVERAGE(R48:V48),1))</f>
        <v>#DIV/0!</v>
      </c>
      <c r="S49" s="3571"/>
      <c r="T49" s="3571"/>
      <c r="U49" s="3571"/>
      <c r="V49" s="3571"/>
      <c r="W49" s="357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2554</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5" t="s">
        <v>721</v>
      </c>
      <c r="H1" s="505"/>
      <c r="I1" s="505"/>
      <c r="J1" s="505"/>
      <c r="K1" s="506"/>
      <c r="L1" s="1547"/>
      <c r="M1" s="1548"/>
      <c r="N1" s="1548"/>
      <c r="O1" s="1548"/>
      <c r="P1" s="2190"/>
      <c r="Q1" s="1549"/>
      <c r="R1" s="1549"/>
      <c r="S1" s="1549"/>
      <c r="T1" s="1549"/>
      <c r="U1" s="1549"/>
      <c r="V1" s="1549"/>
      <c r="W1" s="1549"/>
      <c r="X1" s="1549"/>
      <c r="Y1" s="1549"/>
      <c r="Z1" s="1549"/>
      <c r="AA1" s="1549"/>
      <c r="AB1" s="1549"/>
      <c r="AC1" s="1550"/>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9"/>
      <c r="R2" s="1549"/>
      <c r="S2" s="1549"/>
      <c r="T2" s="1549"/>
      <c r="U2" s="1549"/>
      <c r="V2" s="1549"/>
      <c r="W2" s="1549"/>
      <c r="X2" s="1549"/>
      <c r="Y2" s="1549"/>
      <c r="Z2" s="1549"/>
      <c r="AA2" s="1549"/>
      <c r="AB2" s="1549"/>
      <c r="AC2" s="1550"/>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9"/>
      <c r="R3" s="1549"/>
      <c r="S3" s="1549"/>
      <c r="T3" s="1549"/>
      <c r="U3" s="1549"/>
      <c r="V3" s="1549"/>
      <c r="W3" s="1549"/>
      <c r="X3" s="1549"/>
      <c r="Y3" s="1549"/>
      <c r="Z3" s="1549"/>
      <c r="AA3" s="1549"/>
      <c r="AB3" s="1549"/>
      <c r="AC3" s="1550"/>
    </row>
    <row r="4" spans="1:29" ht="15">
      <c r="A4" s="511" t="s">
        <v>521</v>
      </c>
      <c r="B4" s="512"/>
      <c r="C4" s="3474" t="s">
        <v>522</v>
      </c>
      <c r="D4" s="3475"/>
      <c r="E4" s="3498" t="s">
        <v>523</v>
      </c>
      <c r="F4" s="3499"/>
      <c r="G4" s="3474" t="s">
        <v>524</v>
      </c>
      <c r="H4" s="3475"/>
      <c r="I4" s="3474" t="s">
        <v>525</v>
      </c>
      <c r="J4" s="3475"/>
      <c r="K4" s="513" t="s">
        <v>526</v>
      </c>
      <c r="L4" s="2116"/>
      <c r="M4" s="2117"/>
      <c r="N4" s="2117"/>
      <c r="O4" s="2117"/>
      <c r="P4" s="3572" t="s">
        <v>527</v>
      </c>
      <c r="Q4" s="3477"/>
      <c r="R4" s="3462" t="s">
        <v>523</v>
      </c>
      <c r="S4" s="3463"/>
      <c r="T4" s="3462" t="s">
        <v>524</v>
      </c>
      <c r="U4" s="3463"/>
      <c r="V4" s="3482" t="s">
        <v>525</v>
      </c>
      <c r="W4" s="3482"/>
      <c r="X4" s="1552"/>
      <c r="Y4" s="3462" t="s">
        <v>527</v>
      </c>
      <c r="Z4" s="3463"/>
      <c r="AA4" s="3457" t="s">
        <v>523</v>
      </c>
      <c r="AB4" s="3457" t="s">
        <v>524</v>
      </c>
      <c r="AC4" s="3457" t="s">
        <v>525</v>
      </c>
    </row>
    <row r="5" spans="1:29" ht="15">
      <c r="A5" s="514"/>
      <c r="B5" s="515"/>
      <c r="C5" s="3485" t="s">
        <v>2926</v>
      </c>
      <c r="D5" s="3486"/>
      <c r="E5" s="3500" t="s">
        <v>2927</v>
      </c>
      <c r="F5" s="3501"/>
      <c r="G5" s="3485" t="s">
        <v>2928</v>
      </c>
      <c r="H5" s="3486"/>
      <c r="I5" s="3485" t="s">
        <v>2929</v>
      </c>
      <c r="J5" s="3486"/>
      <c r="K5" s="513"/>
      <c r="L5" s="2116"/>
      <c r="M5" s="2117"/>
      <c r="N5" s="2117"/>
      <c r="O5" s="2117"/>
      <c r="P5" s="3573"/>
      <c r="Q5" s="3479"/>
      <c r="R5" s="3464"/>
      <c r="S5" s="3465"/>
      <c r="T5" s="3464"/>
      <c r="U5" s="3465"/>
      <c r="V5" s="3482"/>
      <c r="W5" s="3482"/>
      <c r="X5" s="1552"/>
      <c r="Y5" s="3464"/>
      <c r="Z5" s="3465"/>
      <c r="AA5" s="3458"/>
      <c r="AB5" s="3458"/>
      <c r="AC5" s="3458"/>
    </row>
    <row r="6" spans="1:29" ht="15.75" thickBot="1">
      <c r="A6" s="516"/>
      <c r="B6" s="517"/>
      <c r="C6" s="3483" t="s">
        <v>2930</v>
      </c>
      <c r="D6" s="3484"/>
      <c r="E6" s="3502" t="s">
        <v>2930</v>
      </c>
      <c r="F6" s="3503"/>
      <c r="G6" s="3483" t="s">
        <v>2930</v>
      </c>
      <c r="H6" s="3484"/>
      <c r="I6" s="3483" t="s">
        <v>2930</v>
      </c>
      <c r="J6" s="3484"/>
      <c r="K6" s="513" t="s">
        <v>528</v>
      </c>
      <c r="L6" s="2116"/>
      <c r="M6" s="2117"/>
      <c r="N6" s="2117"/>
      <c r="O6" s="2117"/>
      <c r="P6" s="3574"/>
      <c r="Q6" s="3481"/>
      <c r="R6" s="3464"/>
      <c r="S6" s="3465"/>
      <c r="T6" s="3466"/>
      <c r="U6" s="3467"/>
      <c r="V6" s="3482"/>
      <c r="W6" s="3482"/>
      <c r="X6" s="1552"/>
      <c r="Y6" s="3466"/>
      <c r="Z6" s="3467"/>
      <c r="AA6" s="3459"/>
      <c r="AB6" s="3459"/>
      <c r="AC6" s="3459"/>
    </row>
    <row r="7" spans="1:29" s="1214" customFormat="1" ht="15.75" thickBot="1">
      <c r="A7" s="2865"/>
      <c r="B7" s="2872" t="s">
        <v>529</v>
      </c>
      <c r="C7" s="518">
        <f>'数据-取费表'!B2</f>
        <v>43763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69" t="s">
        <v>530</v>
      </c>
      <c r="Q7" s="3469"/>
      <c r="R7" s="1553" t="s">
        <v>8</v>
      </c>
      <c r="S7" s="1554">
        <f t="shared" ref="S7:S15" si="0">F7</f>
        <v>0</v>
      </c>
      <c r="T7" s="1553" t="s">
        <v>8</v>
      </c>
      <c r="U7" s="1554">
        <f t="shared" ref="U7:U15" si="1">H7</f>
        <v>0</v>
      </c>
      <c r="V7" s="1553" t="s">
        <v>8</v>
      </c>
      <c r="W7" s="1554">
        <f t="shared" ref="W7:W15" si="2">J7</f>
        <v>0</v>
      </c>
      <c r="X7" s="1555"/>
      <c r="Y7" s="3460" t="s">
        <v>530</v>
      </c>
      <c r="Z7" s="3461"/>
      <c r="AA7" s="1556" t="e">
        <f>D7/F7</f>
        <v>#DIV/0!</v>
      </c>
      <c r="AB7" s="1556" t="e">
        <f>D7/H7</f>
        <v>#DIV/0!</v>
      </c>
      <c r="AC7" s="1556"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69" t="s">
        <v>533</v>
      </c>
      <c r="Q8" s="3461"/>
      <c r="R8" s="1553" t="s">
        <v>8</v>
      </c>
      <c r="S8" s="1554">
        <f t="shared" si="0"/>
        <v>0</v>
      </c>
      <c r="T8" s="1553" t="s">
        <v>8</v>
      </c>
      <c r="U8" s="1554">
        <f t="shared" si="1"/>
        <v>0</v>
      </c>
      <c r="V8" s="1553" t="s">
        <v>8</v>
      </c>
      <c r="W8" s="1554">
        <f t="shared" si="2"/>
        <v>0</v>
      </c>
      <c r="X8" s="1555"/>
      <c r="Y8" s="3460" t="s">
        <v>533</v>
      </c>
      <c r="Z8" s="3461"/>
      <c r="AA8" s="1556" t="e">
        <f t="shared" ref="AA8:AA47" si="3">D8/F8</f>
        <v>#DIV/0!</v>
      </c>
      <c r="AB8" s="1556" t="e">
        <f t="shared" ref="AB8:AB47" si="4">D8/H8</f>
        <v>#DIV/0!</v>
      </c>
      <c r="AC8" s="1556" t="e">
        <f t="shared" ref="AC8:AC47" si="5">D8/J8</f>
        <v>#DIV/0!</v>
      </c>
    </row>
    <row r="9" spans="1:29" s="1214" customFormat="1" ht="15">
      <c r="A9" s="2867"/>
      <c r="B9" s="2874" t="s">
        <v>2753</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68" t="s">
        <v>535</v>
      </c>
      <c r="Q9" s="1145" t="str">
        <f t="shared" ref="Q9:Q15" si="6">B9</f>
        <v>用途</v>
      </c>
      <c r="R9" s="1553" t="s">
        <v>8</v>
      </c>
      <c r="S9" s="1554">
        <f t="shared" si="0"/>
        <v>100</v>
      </c>
      <c r="T9" s="1553" t="s">
        <v>8</v>
      </c>
      <c r="U9" s="1554">
        <f t="shared" si="1"/>
        <v>100</v>
      </c>
      <c r="V9" s="1553" t="s">
        <v>8</v>
      </c>
      <c r="W9" s="1554">
        <f t="shared" si="2"/>
        <v>100</v>
      </c>
      <c r="X9" s="1555"/>
      <c r="Y9" s="3425" t="s">
        <v>536</v>
      </c>
      <c r="Z9" s="1144" t="str">
        <f t="shared" ref="Z9:Z15" si="7">Q9</f>
        <v>用途</v>
      </c>
      <c r="AA9" s="1556">
        <f t="shared" si="3"/>
        <v>1</v>
      </c>
      <c r="AB9" s="1556">
        <f t="shared" si="4"/>
        <v>1</v>
      </c>
      <c r="AC9" s="1556">
        <f t="shared" si="5"/>
        <v>1</v>
      </c>
    </row>
    <row r="10" spans="1:29" s="1332" customFormat="1" ht="27">
      <c r="A10" s="2868"/>
      <c r="B10" s="2873" t="s">
        <v>2754</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69"/>
      <c r="B11" s="2873"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68"/>
      <c r="Q11" s="1145" t="str">
        <f t="shared" si="6"/>
        <v>容积率</v>
      </c>
      <c r="R11" s="1553" t="s">
        <v>8</v>
      </c>
      <c r="S11" s="1554" t="e">
        <f t="shared" si="0"/>
        <v>#N/A</v>
      </c>
      <c r="T11" s="1553" t="s">
        <v>8</v>
      </c>
      <c r="U11" s="1554" t="e">
        <f t="shared" si="1"/>
        <v>#N/A</v>
      </c>
      <c r="V11" s="1553" t="s">
        <v>8</v>
      </c>
      <c r="W11" s="1554" t="e">
        <f t="shared" si="2"/>
        <v>#N/A</v>
      </c>
      <c r="X11" s="1555"/>
      <c r="Y11" s="3425"/>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68"/>
      <c r="Q12" s="1145">
        <f t="shared" si="6"/>
        <v>111</v>
      </c>
      <c r="R12" s="1553" t="s">
        <v>8</v>
      </c>
      <c r="S12" s="1554">
        <f t="shared" si="0"/>
        <v>100</v>
      </c>
      <c r="T12" s="1553" t="s">
        <v>8</v>
      </c>
      <c r="U12" s="1554">
        <f t="shared" si="1"/>
        <v>100</v>
      </c>
      <c r="V12" s="1553" t="s">
        <v>8</v>
      </c>
      <c r="W12" s="1554">
        <f t="shared" si="2"/>
        <v>100</v>
      </c>
      <c r="X12" s="1555"/>
      <c r="Y12" s="3425"/>
      <c r="Z12" s="1144">
        <f t="shared" si="7"/>
        <v>111</v>
      </c>
      <c r="AA12" s="1556">
        <f>D12/F12</f>
        <v>1</v>
      </c>
      <c r="AB12" s="1556">
        <f>D12/H12</f>
        <v>1</v>
      </c>
      <c r="AC12" s="1556">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68"/>
      <c r="Q13" s="1145">
        <f t="shared" si="6"/>
        <v>111</v>
      </c>
      <c r="R13" s="1553" t="s">
        <v>8</v>
      </c>
      <c r="S13" s="1554">
        <f t="shared" si="0"/>
        <v>100</v>
      </c>
      <c r="T13" s="1553" t="s">
        <v>8</v>
      </c>
      <c r="U13" s="1554">
        <f t="shared" si="1"/>
        <v>100</v>
      </c>
      <c r="V13" s="1553" t="s">
        <v>8</v>
      </c>
      <c r="W13" s="1554">
        <f t="shared" si="2"/>
        <v>100</v>
      </c>
      <c r="X13" s="1555"/>
      <c r="Y13" s="3425"/>
      <c r="Z13" s="1144">
        <f t="shared" si="7"/>
        <v>111</v>
      </c>
      <c r="AA13" s="1556">
        <f t="shared" si="3"/>
        <v>1</v>
      </c>
      <c r="AB13" s="1556">
        <f t="shared" si="4"/>
        <v>1</v>
      </c>
      <c r="AC13" s="1556">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68"/>
      <c r="Q14" s="1145">
        <f t="shared" si="6"/>
        <v>111</v>
      </c>
      <c r="R14" s="1553" t="s">
        <v>8</v>
      </c>
      <c r="S14" s="1554">
        <f t="shared" si="0"/>
        <v>100</v>
      </c>
      <c r="T14" s="1553" t="s">
        <v>8</v>
      </c>
      <c r="U14" s="1554">
        <f t="shared" si="1"/>
        <v>100</v>
      </c>
      <c r="V14" s="1553" t="s">
        <v>8</v>
      </c>
      <c r="W14" s="1554">
        <f t="shared" si="2"/>
        <v>100</v>
      </c>
      <c r="X14" s="1555"/>
      <c r="Y14" s="3425"/>
      <c r="Z14" s="1144">
        <f t="shared" si="7"/>
        <v>111</v>
      </c>
      <c r="AA14" s="1556">
        <f t="shared" si="3"/>
        <v>1</v>
      </c>
      <c r="AB14" s="1556">
        <f t="shared" si="4"/>
        <v>1</v>
      </c>
      <c r="AC14" s="1556">
        <f t="shared" si="5"/>
        <v>1</v>
      </c>
    </row>
    <row r="15" spans="1:29" ht="71.25">
      <c r="A15" s="2863" t="s">
        <v>2751</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70" t="s">
        <v>540</v>
      </c>
      <c r="Q15" s="1557" t="str">
        <f t="shared" si="6"/>
        <v>办公集聚程度</v>
      </c>
      <c r="R15" s="1558" t="s">
        <v>8</v>
      </c>
      <c r="S15" s="1559">
        <f t="shared" si="0"/>
        <v>100</v>
      </c>
      <c r="T15" s="1558" t="s">
        <v>8</v>
      </c>
      <c r="U15" s="1559">
        <f t="shared" si="1"/>
        <v>100</v>
      </c>
      <c r="V15" s="1558" t="s">
        <v>8</v>
      </c>
      <c r="W15" s="1559">
        <f t="shared" si="2"/>
        <v>100</v>
      </c>
      <c r="X15" s="1552"/>
      <c r="Y15" s="3470" t="s">
        <v>540</v>
      </c>
      <c r="Z15" s="1560" t="str">
        <f t="shared" si="7"/>
        <v>办公集聚程度</v>
      </c>
      <c r="AA15" s="1561">
        <f t="shared" si="3"/>
        <v>1</v>
      </c>
      <c r="AB15" s="1561">
        <f t="shared" si="4"/>
        <v>1</v>
      </c>
      <c r="AC15" s="1561">
        <f t="shared" si="5"/>
        <v>1</v>
      </c>
    </row>
    <row r="16" spans="1:29" ht="15">
      <c r="A16" s="531"/>
      <c r="B16" s="552"/>
      <c r="C16" s="553"/>
      <c r="D16" s="554"/>
      <c r="E16" s="575"/>
      <c r="F16" s="554"/>
      <c r="G16" s="553"/>
      <c r="H16" s="558"/>
      <c r="I16" s="575"/>
      <c r="J16" s="554"/>
      <c r="K16" s="897"/>
      <c r="L16" s="2125"/>
      <c r="M16" s="2117"/>
      <c r="N16" s="2117"/>
      <c r="O16" s="2117"/>
      <c r="P16" s="3471"/>
      <c r="Q16" s="1557"/>
      <c r="R16" s="1558"/>
      <c r="S16" s="1559"/>
      <c r="T16" s="1558"/>
      <c r="U16" s="1559"/>
      <c r="V16" s="1558"/>
      <c r="W16" s="1559"/>
      <c r="X16" s="1552"/>
      <c r="Y16" s="3471"/>
      <c r="Z16" s="1560"/>
      <c r="AA16" s="1561">
        <v>1</v>
      </c>
      <c r="AB16" s="1561">
        <v>1</v>
      </c>
      <c r="AC16" s="1561">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71"/>
      <c r="Q17" s="1557" t="str">
        <f>B17</f>
        <v>交通便捷度</v>
      </c>
      <c r="R17" s="1558" t="s">
        <v>8</v>
      </c>
      <c r="S17" s="1559">
        <f>F17</f>
        <v>100</v>
      </c>
      <c r="T17" s="1558" t="s">
        <v>8</v>
      </c>
      <c r="U17" s="1559">
        <f>H17</f>
        <v>100</v>
      </c>
      <c r="V17" s="1558" t="s">
        <v>8</v>
      </c>
      <c r="W17" s="1559">
        <f>J17</f>
        <v>100</v>
      </c>
      <c r="X17" s="1552"/>
      <c r="Y17" s="3471"/>
      <c r="Z17" s="1560" t="str">
        <f>Q17</f>
        <v>交通便捷度</v>
      </c>
      <c r="AA17" s="1561">
        <f t="shared" si="3"/>
        <v>1</v>
      </c>
      <c r="AB17" s="1561">
        <f t="shared" si="4"/>
        <v>1</v>
      </c>
      <c r="AC17" s="1561">
        <f t="shared" si="5"/>
        <v>1</v>
      </c>
    </row>
    <row r="18" spans="1:29" ht="15">
      <c r="A18" s="531"/>
      <c r="B18" s="565"/>
      <c r="C18" s="566"/>
      <c r="D18" s="558"/>
      <c r="E18" s="568"/>
      <c r="F18" s="558"/>
      <c r="G18" s="567"/>
      <c r="H18" s="554"/>
      <c r="I18" s="567"/>
      <c r="J18" s="554"/>
      <c r="K18" s="897"/>
      <c r="L18" s="2125"/>
      <c r="M18" s="2117"/>
      <c r="N18" s="2117"/>
      <c r="O18" s="2117"/>
      <c r="P18" s="3471"/>
      <c r="Q18" s="1557"/>
      <c r="R18" s="1558"/>
      <c r="S18" s="1559"/>
      <c r="T18" s="1558"/>
      <c r="U18" s="1559"/>
      <c r="V18" s="1558"/>
      <c r="W18" s="1559"/>
      <c r="X18" s="1552"/>
      <c r="Y18" s="3471"/>
      <c r="Z18" s="1560"/>
      <c r="AA18" s="1561">
        <v>1</v>
      </c>
      <c r="AB18" s="1561">
        <v>1</v>
      </c>
      <c r="AC18" s="1561">
        <v>1</v>
      </c>
    </row>
    <row r="19" spans="1:29" ht="42.75">
      <c r="A19" s="531"/>
      <c r="B19" s="2565"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71"/>
      <c r="Q19" s="1557" t="str">
        <f>B19</f>
        <v>公共配套设施</v>
      </c>
      <c r="R19" s="1558" t="s">
        <v>8</v>
      </c>
      <c r="S19" s="1559">
        <f>F19</f>
        <v>100</v>
      </c>
      <c r="T19" s="1558" t="s">
        <v>8</v>
      </c>
      <c r="U19" s="1559">
        <f>H19</f>
        <v>100</v>
      </c>
      <c r="V19" s="1558" t="s">
        <v>8</v>
      </c>
      <c r="W19" s="1559">
        <f>J19</f>
        <v>100</v>
      </c>
      <c r="X19" s="1552"/>
      <c r="Y19" s="3471"/>
      <c r="Z19" s="1560" t="str">
        <f>Q19</f>
        <v>公共配套设施</v>
      </c>
      <c r="AA19" s="1561">
        <f t="shared" si="3"/>
        <v>1</v>
      </c>
      <c r="AB19" s="1561">
        <f t="shared" si="4"/>
        <v>1</v>
      </c>
      <c r="AC19" s="1561">
        <f t="shared" si="5"/>
        <v>1</v>
      </c>
    </row>
    <row r="20" spans="1:29" ht="15">
      <c r="A20" s="531"/>
      <c r="B20" s="565"/>
      <c r="C20" s="553"/>
      <c r="D20" s="554"/>
      <c r="E20" s="557"/>
      <c r="F20" s="554"/>
      <c r="G20" s="555"/>
      <c r="H20" s="554"/>
      <c r="I20" s="555"/>
      <c r="J20" s="554"/>
      <c r="K20" s="897"/>
      <c r="L20" s="2125"/>
      <c r="M20" s="2117"/>
      <c r="N20" s="2117"/>
      <c r="O20" s="2117"/>
      <c r="P20" s="3471"/>
      <c r="Q20" s="1557"/>
      <c r="R20" s="1558"/>
      <c r="S20" s="1559"/>
      <c r="T20" s="1558"/>
      <c r="U20" s="1559"/>
      <c r="V20" s="1558"/>
      <c r="W20" s="1559"/>
      <c r="X20" s="1552"/>
      <c r="Y20" s="3471"/>
      <c r="Z20" s="1560"/>
      <c r="AA20" s="1561">
        <v>1</v>
      </c>
      <c r="AB20" s="1561">
        <v>1</v>
      </c>
      <c r="AC20" s="1561">
        <v>1</v>
      </c>
    </row>
    <row r="21" spans="1:29" ht="28.5">
      <c r="A21" s="531"/>
      <c r="B21" s="2553"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71"/>
      <c r="Q21" s="2541" t="str">
        <f>B21</f>
        <v>基础设施水平</v>
      </c>
      <c r="R21" s="1558" t="s">
        <v>8</v>
      </c>
      <c r="S21" s="1559">
        <f>F21</f>
        <v>100</v>
      </c>
      <c r="T21" s="1558" t="s">
        <v>8</v>
      </c>
      <c r="U21" s="1559">
        <f>H21</f>
        <v>100</v>
      </c>
      <c r="V21" s="1558" t="s">
        <v>8</v>
      </c>
      <c r="W21" s="1559">
        <f>J21</f>
        <v>100</v>
      </c>
      <c r="X21" s="2543"/>
      <c r="Y21" s="3471"/>
      <c r="Z21" s="2542" t="str">
        <f>Q21</f>
        <v>基础设施水平</v>
      </c>
      <c r="AA21" s="1561">
        <f t="shared" ref="AA21" si="8">D21/F21</f>
        <v>1</v>
      </c>
      <c r="AB21" s="1561">
        <f t="shared" ref="AB21" si="9">D21/H21</f>
        <v>1</v>
      </c>
      <c r="AC21" s="1561">
        <f t="shared" ref="AC21" si="10">D21/J21</f>
        <v>1</v>
      </c>
    </row>
    <row r="22" spans="1:29" ht="15">
      <c r="A22" s="531"/>
      <c r="B22" s="577"/>
      <c r="C22" s="566"/>
      <c r="D22" s="554"/>
      <c r="E22" s="575"/>
      <c r="F22" s="554"/>
      <c r="G22" s="553"/>
      <c r="H22" s="554"/>
      <c r="I22" s="553"/>
      <c r="J22" s="554"/>
      <c r="K22" s="2564"/>
      <c r="L22" s="2125"/>
      <c r="M22" s="2117"/>
      <c r="N22" s="2117"/>
      <c r="O22" s="2117"/>
      <c r="P22" s="3471"/>
      <c r="Q22" s="2541"/>
      <c r="R22" s="1558"/>
      <c r="S22" s="1559"/>
      <c r="T22" s="1558"/>
      <c r="U22" s="1559"/>
      <c r="V22" s="1558"/>
      <c r="W22" s="1559"/>
      <c r="X22" s="2543"/>
      <c r="Y22" s="3471"/>
      <c r="Z22" s="2542"/>
      <c r="AA22" s="1561">
        <v>1</v>
      </c>
      <c r="AB22" s="1561">
        <v>1</v>
      </c>
      <c r="AC22" s="1561">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71"/>
      <c r="Q23" s="1557" t="str">
        <f>B23</f>
        <v>环境质量</v>
      </c>
      <c r="R23" s="1558" t="s">
        <v>8</v>
      </c>
      <c r="S23" s="1559">
        <f>F23</f>
        <v>100</v>
      </c>
      <c r="T23" s="1558" t="s">
        <v>8</v>
      </c>
      <c r="U23" s="1559">
        <f>H23</f>
        <v>100</v>
      </c>
      <c r="V23" s="1558" t="s">
        <v>8</v>
      </c>
      <c r="W23" s="1559">
        <f>J23</f>
        <v>100</v>
      </c>
      <c r="X23" s="1552"/>
      <c r="Y23" s="3471"/>
      <c r="Z23" s="1560" t="str">
        <f>Q23</f>
        <v>环境质量</v>
      </c>
      <c r="AA23" s="1561">
        <f t="shared" si="3"/>
        <v>1</v>
      </c>
      <c r="AB23" s="1561">
        <f t="shared" si="4"/>
        <v>1</v>
      </c>
      <c r="AC23" s="1561">
        <f t="shared" si="5"/>
        <v>1</v>
      </c>
    </row>
    <row r="24" spans="1:29" ht="15">
      <c r="A24" s="531"/>
      <c r="B24" s="577"/>
      <c r="C24" s="553"/>
      <c r="D24" s="554"/>
      <c r="E24" s="557"/>
      <c r="F24" s="554"/>
      <c r="G24" s="555"/>
      <c r="H24" s="554"/>
      <c r="I24" s="555"/>
      <c r="J24" s="554"/>
      <c r="K24" s="897"/>
      <c r="L24" s="2125"/>
      <c r="M24" s="2117"/>
      <c r="N24" s="2117"/>
      <c r="O24" s="2117"/>
      <c r="P24" s="3471"/>
      <c r="Q24" s="1557"/>
      <c r="R24" s="1558"/>
      <c r="S24" s="1559"/>
      <c r="T24" s="1558"/>
      <c r="U24" s="1559"/>
      <c r="V24" s="1558"/>
      <c r="W24" s="1559"/>
      <c r="X24" s="1552"/>
      <c r="Y24" s="3471"/>
      <c r="Z24" s="1560"/>
      <c r="AA24" s="1561">
        <v>1</v>
      </c>
      <c r="AB24" s="1561">
        <v>1</v>
      </c>
      <c r="AC24" s="1561">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71"/>
      <c r="Q25" s="1557" t="str">
        <f>B25</f>
        <v>毗邻道路的类型与等级</v>
      </c>
      <c r="R25" s="1558" t="s">
        <v>8</v>
      </c>
      <c r="S25" s="1559">
        <f>F25</f>
        <v>100</v>
      </c>
      <c r="T25" s="1558" t="s">
        <v>8</v>
      </c>
      <c r="U25" s="1559">
        <f>H25</f>
        <v>100</v>
      </c>
      <c r="V25" s="1558" t="s">
        <v>8</v>
      </c>
      <c r="W25" s="1559">
        <f>J25</f>
        <v>100</v>
      </c>
      <c r="X25" s="1552"/>
      <c r="Y25" s="3471"/>
      <c r="Z25" s="1560" t="str">
        <f>Q25</f>
        <v>毗邻道路的类型与等级</v>
      </c>
      <c r="AA25" s="1561">
        <f t="shared" si="3"/>
        <v>1</v>
      </c>
      <c r="AB25" s="1561">
        <f t="shared" si="4"/>
        <v>1</v>
      </c>
      <c r="AC25" s="1561">
        <f t="shared" si="5"/>
        <v>1</v>
      </c>
    </row>
    <row r="26" spans="1:29" ht="15">
      <c r="A26" s="514"/>
      <c r="B26" s="565"/>
      <c r="C26" s="579"/>
      <c r="D26" s="539"/>
      <c r="E26" s="582"/>
      <c r="F26" s="539"/>
      <c r="G26" s="579"/>
      <c r="H26" s="539"/>
      <c r="I26" s="582"/>
      <c r="J26" s="539"/>
      <c r="K26" s="897"/>
      <c r="L26" s="2125"/>
      <c r="M26" s="2117"/>
      <c r="N26" s="2117"/>
      <c r="O26" s="2117"/>
      <c r="P26" s="3471"/>
      <c r="Q26" s="1557"/>
      <c r="R26" s="1558"/>
      <c r="S26" s="1559"/>
      <c r="T26" s="1558"/>
      <c r="U26" s="1559"/>
      <c r="V26" s="1558"/>
      <c r="W26" s="1559"/>
      <c r="X26" s="1552"/>
      <c r="Y26" s="3471"/>
      <c r="Z26" s="1560"/>
      <c r="AA26" s="1561">
        <v>1</v>
      </c>
      <c r="AB26" s="1561">
        <v>1</v>
      </c>
      <c r="AC26" s="1561">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71"/>
      <c r="Q27" s="1557" t="str">
        <f t="shared" ref="Q27:Q47" si="11">B27</f>
        <v>楼层</v>
      </c>
      <c r="R27" s="1558" t="s">
        <v>8</v>
      </c>
      <c r="S27" s="1559">
        <f>F27</f>
        <v>100</v>
      </c>
      <c r="T27" s="1558" t="s">
        <v>8</v>
      </c>
      <c r="U27" s="1559">
        <f>H27</f>
        <v>100</v>
      </c>
      <c r="V27" s="1558" t="s">
        <v>8</v>
      </c>
      <c r="W27" s="1559">
        <f>J27</f>
        <v>100</v>
      </c>
      <c r="X27" s="1552"/>
      <c r="Y27" s="3471"/>
      <c r="Z27" s="1560" t="str">
        <f>Q27</f>
        <v>楼层</v>
      </c>
      <c r="AA27" s="1561">
        <f t="shared" si="3"/>
        <v>1</v>
      </c>
      <c r="AB27" s="1561">
        <f t="shared" si="4"/>
        <v>1</v>
      </c>
      <c r="AC27" s="1561">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71"/>
      <c r="Q28" s="1145" t="str">
        <f t="shared" si="11"/>
        <v>朝向</v>
      </c>
      <c r="R28" s="1553" t="s">
        <v>8</v>
      </c>
      <c r="S28" s="1554">
        <f>F28</f>
        <v>100</v>
      </c>
      <c r="T28" s="1553" t="s">
        <v>8</v>
      </c>
      <c r="U28" s="1554">
        <f>H28</f>
        <v>100</v>
      </c>
      <c r="V28" s="1553" t="s">
        <v>8</v>
      </c>
      <c r="W28" s="1554">
        <f>J28</f>
        <v>100</v>
      </c>
      <c r="X28" s="1555"/>
      <c r="Y28" s="3471"/>
      <c r="Z28" s="1144" t="str">
        <f>Q28</f>
        <v>朝向</v>
      </c>
      <c r="AA28" s="1561">
        <f>D28/F28</f>
        <v>1</v>
      </c>
      <c r="AB28" s="1561">
        <f>D28/H28</f>
        <v>1</v>
      </c>
      <c r="AC28" s="1561">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71"/>
      <c r="Q29" s="1557">
        <f t="shared" si="11"/>
        <v>111</v>
      </c>
      <c r="R29" s="1558" t="s">
        <v>8</v>
      </c>
      <c r="S29" s="1559">
        <f t="shared" ref="S29:S47" si="12">F29</f>
        <v>100</v>
      </c>
      <c r="T29" s="1558" t="s">
        <v>8</v>
      </c>
      <c r="U29" s="1559">
        <f t="shared" ref="U29:U47" si="13">H29</f>
        <v>100</v>
      </c>
      <c r="V29" s="1558" t="s">
        <v>8</v>
      </c>
      <c r="W29" s="1559">
        <f t="shared" ref="W29:W47" si="14">J29</f>
        <v>100</v>
      </c>
      <c r="X29" s="1552"/>
      <c r="Y29" s="3471"/>
      <c r="Z29" s="1560">
        <f t="shared" ref="Z29:Z47" si="15">Q29</f>
        <v>111</v>
      </c>
      <c r="AA29" s="1561">
        <f t="shared" si="3"/>
        <v>1</v>
      </c>
      <c r="AB29" s="1561">
        <f t="shared" si="4"/>
        <v>1</v>
      </c>
      <c r="AC29" s="1561">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71"/>
      <c r="Q30" s="1557">
        <f t="shared" si="11"/>
        <v>111</v>
      </c>
      <c r="R30" s="1558" t="s">
        <v>8</v>
      </c>
      <c r="S30" s="1559">
        <f t="shared" si="12"/>
        <v>100</v>
      </c>
      <c r="T30" s="1558" t="s">
        <v>8</v>
      </c>
      <c r="U30" s="1559">
        <f t="shared" si="13"/>
        <v>100</v>
      </c>
      <c r="V30" s="1558" t="s">
        <v>8</v>
      </c>
      <c r="W30" s="1559">
        <f t="shared" si="14"/>
        <v>100</v>
      </c>
      <c r="X30" s="1552"/>
      <c r="Y30" s="3471"/>
      <c r="Z30" s="1560">
        <f t="shared" si="15"/>
        <v>111</v>
      </c>
      <c r="AA30" s="1561">
        <f t="shared" si="3"/>
        <v>1</v>
      </c>
      <c r="AB30" s="1561">
        <f t="shared" si="4"/>
        <v>1</v>
      </c>
      <c r="AC30" s="1561">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71"/>
      <c r="Q31" s="1557">
        <f t="shared" si="11"/>
        <v>111</v>
      </c>
      <c r="R31" s="1558" t="s">
        <v>8</v>
      </c>
      <c r="S31" s="1559">
        <f t="shared" si="12"/>
        <v>100</v>
      </c>
      <c r="T31" s="1558" t="s">
        <v>8</v>
      </c>
      <c r="U31" s="1559">
        <f t="shared" si="13"/>
        <v>100</v>
      </c>
      <c r="V31" s="1558" t="s">
        <v>8</v>
      </c>
      <c r="W31" s="1559">
        <f t="shared" si="14"/>
        <v>100</v>
      </c>
      <c r="X31" s="1552"/>
      <c r="Y31" s="3471"/>
      <c r="Z31" s="1560">
        <f t="shared" si="15"/>
        <v>111</v>
      </c>
      <c r="AA31" s="1561">
        <f t="shared" si="3"/>
        <v>1</v>
      </c>
      <c r="AB31" s="1561">
        <f t="shared" si="4"/>
        <v>1</v>
      </c>
      <c r="AC31" s="1561">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71"/>
      <c r="Q32" s="1557">
        <f t="shared" si="11"/>
        <v>111</v>
      </c>
      <c r="R32" s="1558" t="s">
        <v>8</v>
      </c>
      <c r="S32" s="1559">
        <f t="shared" si="12"/>
        <v>100</v>
      </c>
      <c r="T32" s="1558" t="s">
        <v>8</v>
      </c>
      <c r="U32" s="1559">
        <f t="shared" si="13"/>
        <v>100</v>
      </c>
      <c r="V32" s="1558" t="s">
        <v>8</v>
      </c>
      <c r="W32" s="1559">
        <f t="shared" si="14"/>
        <v>100</v>
      </c>
      <c r="X32" s="1552"/>
      <c r="Y32" s="3471"/>
      <c r="Z32" s="1560">
        <f t="shared" si="15"/>
        <v>111</v>
      </c>
      <c r="AA32" s="1561">
        <f t="shared" si="3"/>
        <v>1</v>
      </c>
      <c r="AB32" s="1561">
        <f t="shared" si="4"/>
        <v>1</v>
      </c>
      <c r="AC32" s="1561">
        <f t="shared" si="5"/>
        <v>1</v>
      </c>
    </row>
    <row r="33" spans="1:29" ht="15">
      <c r="A33" s="2860" t="s">
        <v>2752</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72" t="s">
        <v>550</v>
      </c>
      <c r="Q33" s="1557" t="str">
        <f t="shared" si="11"/>
        <v>建筑类型</v>
      </c>
      <c r="R33" s="1558" t="s">
        <v>8</v>
      </c>
      <c r="S33" s="1559">
        <f t="shared" si="12"/>
        <v>100</v>
      </c>
      <c r="T33" s="1558" t="s">
        <v>8</v>
      </c>
      <c r="U33" s="1559">
        <f t="shared" si="13"/>
        <v>100</v>
      </c>
      <c r="V33" s="1558" t="s">
        <v>8</v>
      </c>
      <c r="W33" s="1559">
        <f t="shared" si="14"/>
        <v>100</v>
      </c>
      <c r="X33" s="1552"/>
      <c r="Y33" s="3473" t="s">
        <v>550</v>
      </c>
      <c r="Z33" s="1560" t="str">
        <f t="shared" si="15"/>
        <v>建筑类型</v>
      </c>
      <c r="AA33" s="1561">
        <f t="shared" si="3"/>
        <v>1</v>
      </c>
      <c r="AB33" s="1561">
        <f t="shared" si="4"/>
        <v>1</v>
      </c>
      <c r="AC33" s="1561">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73"/>
      <c r="Q34" s="1589" t="str">
        <f t="shared" si="11"/>
        <v>项目建筑规模</v>
      </c>
      <c r="R34" s="1562" t="s">
        <v>8</v>
      </c>
      <c r="S34" s="1563" t="e">
        <f t="shared" si="12"/>
        <v>#N/A</v>
      </c>
      <c r="T34" s="1562" t="s">
        <v>8</v>
      </c>
      <c r="U34" s="1563" t="e">
        <f t="shared" si="13"/>
        <v>#N/A</v>
      </c>
      <c r="V34" s="1562" t="s">
        <v>8</v>
      </c>
      <c r="W34" s="1563" t="e">
        <f t="shared" si="14"/>
        <v>#N/A</v>
      </c>
      <c r="X34" s="1564"/>
      <c r="Y34" s="3473"/>
      <c r="Z34" s="1565" t="str">
        <f t="shared" si="15"/>
        <v>项目建筑规模</v>
      </c>
      <c r="AA34" s="1561" t="e">
        <f t="shared" si="3"/>
        <v>#N/A</v>
      </c>
      <c r="AB34" s="1561" t="e">
        <f t="shared" si="4"/>
        <v>#N/A</v>
      </c>
      <c r="AC34" s="1561"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73"/>
      <c r="Q35" s="1557" t="str">
        <f t="shared" si="11"/>
        <v>建筑结构</v>
      </c>
      <c r="R35" s="1558" t="s">
        <v>8</v>
      </c>
      <c r="S35" s="1559">
        <f t="shared" si="12"/>
        <v>100</v>
      </c>
      <c r="T35" s="1558" t="s">
        <v>8</v>
      </c>
      <c r="U35" s="1559">
        <f t="shared" si="13"/>
        <v>100</v>
      </c>
      <c r="V35" s="1558" t="s">
        <v>8</v>
      </c>
      <c r="W35" s="1559">
        <f t="shared" si="14"/>
        <v>100</v>
      </c>
      <c r="X35" s="1552"/>
      <c r="Y35" s="3473"/>
      <c r="Z35" s="1560" t="str">
        <f t="shared" si="15"/>
        <v>建筑结构</v>
      </c>
      <c r="AA35" s="1561">
        <f t="shared" si="3"/>
        <v>1</v>
      </c>
      <c r="AB35" s="1561">
        <f t="shared" si="4"/>
        <v>1</v>
      </c>
      <c r="AC35" s="1561">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73"/>
      <c r="Q36" s="1557" t="str">
        <f t="shared" si="11"/>
        <v>公共部分装修</v>
      </c>
      <c r="R36" s="1558" t="s">
        <v>8</v>
      </c>
      <c r="S36" s="1559">
        <f t="shared" si="12"/>
        <v>100</v>
      </c>
      <c r="T36" s="1558" t="s">
        <v>8</v>
      </c>
      <c r="U36" s="1559">
        <f t="shared" si="13"/>
        <v>100</v>
      </c>
      <c r="V36" s="1558" t="s">
        <v>8</v>
      </c>
      <c r="W36" s="1559">
        <f t="shared" si="14"/>
        <v>100</v>
      </c>
      <c r="X36" s="1552"/>
      <c r="Y36" s="3473"/>
      <c r="Z36" s="1560" t="str">
        <f t="shared" si="15"/>
        <v>公共部分装修</v>
      </c>
      <c r="AA36" s="1561">
        <f t="shared" si="3"/>
        <v>1</v>
      </c>
      <c r="AB36" s="1561">
        <f t="shared" si="4"/>
        <v>1</v>
      </c>
      <c r="AC36" s="1561">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73"/>
      <c r="Q37" s="1557" t="str">
        <f t="shared" si="11"/>
        <v>成新度</v>
      </c>
      <c r="R37" s="1558" t="s">
        <v>8</v>
      </c>
      <c r="S37" s="1559" t="e">
        <f t="shared" si="12"/>
        <v>#N/A</v>
      </c>
      <c r="T37" s="1558" t="s">
        <v>8</v>
      </c>
      <c r="U37" s="1559" t="e">
        <f t="shared" si="13"/>
        <v>#N/A</v>
      </c>
      <c r="V37" s="1558" t="s">
        <v>8</v>
      </c>
      <c r="W37" s="1559" t="e">
        <f t="shared" si="14"/>
        <v>#N/A</v>
      </c>
      <c r="X37" s="1552"/>
      <c r="Y37" s="3473"/>
      <c r="Z37" s="1560" t="str">
        <f t="shared" si="15"/>
        <v>成新度</v>
      </c>
      <c r="AA37" s="1561" t="e">
        <f t="shared" si="3"/>
        <v>#N/A</v>
      </c>
      <c r="AB37" s="1561" t="e">
        <f t="shared" si="4"/>
        <v>#N/A</v>
      </c>
      <c r="AC37" s="1561"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73"/>
      <c r="Q38" s="1145" t="str">
        <f t="shared" si="11"/>
        <v>写字楼等级</v>
      </c>
      <c r="R38" s="1553" t="s">
        <v>8</v>
      </c>
      <c r="S38" s="1554">
        <f t="shared" si="12"/>
        <v>100</v>
      </c>
      <c r="T38" s="1553" t="s">
        <v>8</v>
      </c>
      <c r="U38" s="1554">
        <f t="shared" si="13"/>
        <v>100</v>
      </c>
      <c r="V38" s="1553" t="s">
        <v>8</v>
      </c>
      <c r="W38" s="1554">
        <f t="shared" si="14"/>
        <v>100</v>
      </c>
      <c r="X38" s="1555"/>
      <c r="Y38" s="3473"/>
      <c r="Z38" s="1144" t="str">
        <f t="shared" si="15"/>
        <v>写字楼等级</v>
      </c>
      <c r="AA38" s="1556">
        <f t="shared" si="3"/>
        <v>1</v>
      </c>
      <c r="AB38" s="1556">
        <f t="shared" si="4"/>
        <v>1</v>
      </c>
      <c r="AC38" s="1556">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73" t="s">
        <v>550</v>
      </c>
      <c r="Q39" s="1557" t="str">
        <f t="shared" si="11"/>
        <v>物业管理</v>
      </c>
      <c r="R39" s="1558" t="s">
        <v>8</v>
      </c>
      <c r="S39" s="1559">
        <f t="shared" si="12"/>
        <v>100</v>
      </c>
      <c r="T39" s="1558" t="s">
        <v>8</v>
      </c>
      <c r="U39" s="1559">
        <f t="shared" si="13"/>
        <v>100</v>
      </c>
      <c r="V39" s="1558" t="s">
        <v>8</v>
      </c>
      <c r="W39" s="1559">
        <f t="shared" si="14"/>
        <v>100</v>
      </c>
      <c r="X39" s="1552"/>
      <c r="Y39" s="3473" t="s">
        <v>550</v>
      </c>
      <c r="Z39" s="1560" t="str">
        <f t="shared" si="15"/>
        <v>物业管理</v>
      </c>
      <c r="AA39" s="1561">
        <f t="shared" si="3"/>
        <v>1</v>
      </c>
      <c r="AB39" s="1561">
        <f t="shared" si="4"/>
        <v>1</v>
      </c>
      <c r="AC39" s="1561">
        <f t="shared" si="5"/>
        <v>1</v>
      </c>
    </row>
    <row r="40" spans="1:29" ht="15">
      <c r="A40" s="593"/>
      <c r="B40" s="1878"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73"/>
      <c r="Q40" s="1557" t="str">
        <f t="shared" si="11"/>
        <v>市政基础设施</v>
      </c>
      <c r="R40" s="1558" t="s">
        <v>8</v>
      </c>
      <c r="S40" s="1559">
        <f t="shared" si="12"/>
        <v>100</v>
      </c>
      <c r="T40" s="1558" t="s">
        <v>8</v>
      </c>
      <c r="U40" s="1559">
        <f t="shared" si="13"/>
        <v>100</v>
      </c>
      <c r="V40" s="1558" t="s">
        <v>8</v>
      </c>
      <c r="W40" s="1559">
        <f t="shared" si="14"/>
        <v>100</v>
      </c>
      <c r="X40" s="1552"/>
      <c r="Y40" s="3473"/>
      <c r="Z40" s="1560" t="str">
        <f t="shared" si="15"/>
        <v>市政基础设施</v>
      </c>
      <c r="AA40" s="1561">
        <f t="shared" si="3"/>
        <v>1</v>
      </c>
      <c r="AB40" s="1561">
        <f t="shared" si="4"/>
        <v>1</v>
      </c>
      <c r="AC40" s="1561">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73"/>
      <c r="Q41" s="1557" t="str">
        <f t="shared" si="11"/>
        <v>层高</v>
      </c>
      <c r="R41" s="1558" t="s">
        <v>8</v>
      </c>
      <c r="S41" s="1559">
        <f t="shared" si="12"/>
        <v>100</v>
      </c>
      <c r="T41" s="1558" t="s">
        <v>8</v>
      </c>
      <c r="U41" s="1559">
        <f t="shared" si="13"/>
        <v>100</v>
      </c>
      <c r="V41" s="1558" t="s">
        <v>8</v>
      </c>
      <c r="W41" s="1559">
        <f t="shared" si="14"/>
        <v>100</v>
      </c>
      <c r="X41" s="1552"/>
      <c r="Y41" s="3473"/>
      <c r="Z41" s="1560" t="str">
        <f t="shared" si="15"/>
        <v>层高</v>
      </c>
      <c r="AA41" s="1561">
        <f t="shared" si="3"/>
        <v>1</v>
      </c>
      <c r="AB41" s="1561">
        <f t="shared" si="4"/>
        <v>1</v>
      </c>
      <c r="AC41" s="1561">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73"/>
      <c r="Q42" s="1589" t="str">
        <f t="shared" si="11"/>
        <v>单套建筑面积</v>
      </c>
      <c r="R42" s="1562" t="s">
        <v>8</v>
      </c>
      <c r="S42" s="1563">
        <f t="shared" si="12"/>
        <v>100</v>
      </c>
      <c r="T42" s="1562" t="s">
        <v>8</v>
      </c>
      <c r="U42" s="1563">
        <f t="shared" si="13"/>
        <v>100</v>
      </c>
      <c r="V42" s="1562" t="s">
        <v>8</v>
      </c>
      <c r="W42" s="1563">
        <f t="shared" si="14"/>
        <v>100</v>
      </c>
      <c r="X42" s="1564"/>
      <c r="Y42" s="3473"/>
      <c r="Z42" s="1565" t="str">
        <f t="shared" si="15"/>
        <v>单套建筑面积</v>
      </c>
      <c r="AA42" s="1561">
        <f t="shared" si="3"/>
        <v>1</v>
      </c>
      <c r="AB42" s="1561">
        <f t="shared" si="4"/>
        <v>1</v>
      </c>
      <c r="AC42" s="1561">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73"/>
      <c r="Q43" s="1557" t="str">
        <f t="shared" si="11"/>
        <v>内部装修</v>
      </c>
      <c r="R43" s="1558" t="s">
        <v>8</v>
      </c>
      <c r="S43" s="1559">
        <f t="shared" si="12"/>
        <v>100</v>
      </c>
      <c r="T43" s="1558" t="s">
        <v>8</v>
      </c>
      <c r="U43" s="1559">
        <f t="shared" si="13"/>
        <v>100</v>
      </c>
      <c r="V43" s="1558" t="s">
        <v>8</v>
      </c>
      <c r="W43" s="1559">
        <f t="shared" si="14"/>
        <v>100</v>
      </c>
      <c r="X43" s="1552"/>
      <c r="Y43" s="3473"/>
      <c r="Z43" s="1560" t="str">
        <f t="shared" si="15"/>
        <v>内部装修</v>
      </c>
      <c r="AA43" s="1561">
        <f t="shared" si="3"/>
        <v>1</v>
      </c>
      <c r="AB43" s="1561">
        <f t="shared" si="4"/>
        <v>1</v>
      </c>
      <c r="AC43" s="1561">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73"/>
      <c r="Q44" s="1557" t="str">
        <f t="shared" si="11"/>
        <v>内部装修维护情况</v>
      </c>
      <c r="R44" s="1558" t="s">
        <v>8</v>
      </c>
      <c r="S44" s="1559">
        <f t="shared" si="12"/>
        <v>100</v>
      </c>
      <c r="T44" s="1558" t="s">
        <v>8</v>
      </c>
      <c r="U44" s="1559">
        <f t="shared" si="13"/>
        <v>100</v>
      </c>
      <c r="V44" s="1558" t="s">
        <v>8</v>
      </c>
      <c r="W44" s="1559">
        <f t="shared" si="14"/>
        <v>100</v>
      </c>
      <c r="X44" s="1552"/>
      <c r="Y44" s="3473"/>
      <c r="Z44" s="1560" t="str">
        <f t="shared" si="15"/>
        <v>内部装修维护情况</v>
      </c>
      <c r="AA44" s="1561">
        <f t="shared" si="3"/>
        <v>1</v>
      </c>
      <c r="AB44" s="1561">
        <f t="shared" si="4"/>
        <v>1</v>
      </c>
      <c r="AC44" s="1561">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73"/>
      <c r="Q45" s="1145">
        <f t="shared" si="11"/>
        <v>111</v>
      </c>
      <c r="R45" s="1553" t="s">
        <v>8</v>
      </c>
      <c r="S45" s="1554">
        <f t="shared" si="12"/>
        <v>100</v>
      </c>
      <c r="T45" s="1553" t="s">
        <v>8</v>
      </c>
      <c r="U45" s="1554">
        <f t="shared" si="13"/>
        <v>100</v>
      </c>
      <c r="V45" s="1553" t="s">
        <v>8</v>
      </c>
      <c r="W45" s="1554">
        <f t="shared" si="14"/>
        <v>100</v>
      </c>
      <c r="X45" s="1555"/>
      <c r="Y45" s="3473"/>
      <c r="Z45" s="1144">
        <f t="shared" si="15"/>
        <v>111</v>
      </c>
      <c r="AA45" s="1556">
        <f t="shared" si="3"/>
        <v>1</v>
      </c>
      <c r="AB45" s="1556">
        <f t="shared" si="4"/>
        <v>1</v>
      </c>
      <c r="AC45" s="1556">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73"/>
      <c r="Q46" s="1557">
        <f t="shared" si="11"/>
        <v>111</v>
      </c>
      <c r="R46" s="1558" t="s">
        <v>8</v>
      </c>
      <c r="S46" s="1559">
        <f t="shared" si="12"/>
        <v>100</v>
      </c>
      <c r="T46" s="1558" t="s">
        <v>8</v>
      </c>
      <c r="U46" s="1559">
        <f t="shared" si="13"/>
        <v>100</v>
      </c>
      <c r="V46" s="1558" t="s">
        <v>8</v>
      </c>
      <c r="W46" s="1559">
        <f t="shared" si="14"/>
        <v>100</v>
      </c>
      <c r="X46" s="1552"/>
      <c r="Y46" s="3473"/>
      <c r="Z46" s="1560">
        <f t="shared" si="15"/>
        <v>111</v>
      </c>
      <c r="AA46" s="1561">
        <f t="shared" si="3"/>
        <v>1</v>
      </c>
      <c r="AB46" s="1561">
        <f t="shared" si="4"/>
        <v>1</v>
      </c>
      <c r="AC46" s="1561">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69"/>
      <c r="Q47" s="1557">
        <f t="shared" si="11"/>
        <v>111</v>
      </c>
      <c r="R47" s="1558" t="s">
        <v>8</v>
      </c>
      <c r="S47" s="1559">
        <f t="shared" si="12"/>
        <v>100</v>
      </c>
      <c r="T47" s="1558" t="s">
        <v>8</v>
      </c>
      <c r="U47" s="1559">
        <f t="shared" si="13"/>
        <v>100</v>
      </c>
      <c r="V47" s="1558" t="s">
        <v>8</v>
      </c>
      <c r="W47" s="1559">
        <f t="shared" si="14"/>
        <v>100</v>
      </c>
      <c r="X47" s="1552"/>
      <c r="Y47" s="3569"/>
      <c r="Z47" s="1560">
        <f t="shared" si="15"/>
        <v>111</v>
      </c>
      <c r="AA47" s="1561">
        <f t="shared" si="3"/>
        <v>1</v>
      </c>
      <c r="AB47" s="1561">
        <f t="shared" si="4"/>
        <v>1</v>
      </c>
      <c r="AC47" s="1561">
        <f t="shared" si="5"/>
        <v>1</v>
      </c>
    </row>
    <row r="48" spans="1:29" ht="15">
      <c r="A48" s="606" t="s">
        <v>736</v>
      </c>
      <c r="B48" s="885"/>
      <c r="C48" s="2589" t="s">
        <v>1</v>
      </c>
      <c r="D48" s="2590"/>
      <c r="E48" s="2591"/>
      <c r="F48" s="2592"/>
      <c r="G48" s="2593"/>
      <c r="H48" s="2594"/>
      <c r="I48" s="2591"/>
      <c r="J48" s="2594"/>
      <c r="K48" s="1595"/>
      <c r="L48" s="2127"/>
      <c r="M48" s="2117"/>
      <c r="N48" s="2117"/>
      <c r="O48" s="2117"/>
      <c r="P48" s="3490" t="str">
        <f>A48</f>
        <v>成交单价（元/平方米）</v>
      </c>
      <c r="Q48" s="3468"/>
      <c r="R48" s="3570">
        <f>E48</f>
        <v>0</v>
      </c>
      <c r="S48" s="3570"/>
      <c r="T48" s="3570">
        <f>G48</f>
        <v>0</v>
      </c>
      <c r="U48" s="3570"/>
      <c r="V48" s="3570">
        <f>I48</f>
        <v>0</v>
      </c>
      <c r="W48" s="3570"/>
      <c r="X48" s="1544"/>
      <c r="Y48" s="1566"/>
      <c r="Z48" s="1544"/>
      <c r="AA48" s="1544"/>
      <c r="AB48" s="1544"/>
      <c r="AC48" s="1544"/>
    </row>
    <row r="49" spans="1:29" ht="15.75" thickBot="1">
      <c r="A49" s="614" t="s">
        <v>2757</v>
      </c>
      <c r="B49" s="886"/>
      <c r="C49" s="2595" t="e">
        <f>R50</f>
        <v>#DIV/0!</v>
      </c>
      <c r="D49" s="2596"/>
      <c r="E49" s="2597" t="e">
        <f>R49</f>
        <v>#DIV/0!</v>
      </c>
      <c r="F49" s="2597"/>
      <c r="G49" s="2595" t="e">
        <f>T49</f>
        <v>#DIV/0!</v>
      </c>
      <c r="H49" s="2596"/>
      <c r="I49" s="2597" t="e">
        <f>V49</f>
        <v>#DIV/0!</v>
      </c>
      <c r="J49" s="2596"/>
      <c r="K49" s="1596"/>
      <c r="L49" s="2127"/>
      <c r="M49" s="2117"/>
      <c r="N49" s="2117"/>
      <c r="O49" s="2117"/>
      <c r="P49" s="3490" t="str">
        <f>A49</f>
        <v>比较价格（元/平方米）</v>
      </c>
      <c r="Q49" s="3468"/>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544"/>
      <c r="Y49" s="1544"/>
      <c r="Z49" s="1544"/>
      <c r="AA49" s="1544"/>
      <c r="AB49" s="1544"/>
      <c r="AC49" s="1544"/>
    </row>
    <row r="50" spans="1:29" ht="15.75" thickBot="1">
      <c r="A50" s="620" t="s">
        <v>2932</v>
      </c>
      <c r="B50" s="621"/>
      <c r="C50" s="2598" t="e">
        <f>R50</f>
        <v>#DIV/0!</v>
      </c>
      <c r="D50" s="2598"/>
      <c r="E50" s="2598"/>
      <c r="F50" s="2598"/>
      <c r="G50" s="2598"/>
      <c r="H50" s="2598"/>
      <c r="I50" s="2598"/>
      <c r="J50" s="2598"/>
      <c r="K50" s="1597"/>
      <c r="L50" s="2127"/>
      <c r="M50" s="2117"/>
      <c r="N50" s="2117"/>
      <c r="O50" s="2117"/>
      <c r="P50" s="3575" t="str">
        <f>A50</f>
        <v>估价对象XX用房的比较价格（楼面单价，元/平方米）</v>
      </c>
      <c r="Q50" s="3490"/>
      <c r="R50" s="3571" t="e">
        <f>IF(F1="售价",ROUND(AVERAGE(R49:V49),0),ROUND(AVERAGE(R49:V49),1))</f>
        <v>#DIV/0!</v>
      </c>
      <c r="S50" s="3571"/>
      <c r="T50" s="3571"/>
      <c r="U50" s="3571"/>
      <c r="V50" s="3571"/>
      <c r="W50" s="3571"/>
      <c r="X50" s="1544"/>
      <c r="Y50" s="1544"/>
      <c r="Z50" s="1544"/>
      <c r="AA50" s="1544"/>
      <c r="AB50" s="1544"/>
      <c r="AC50" s="1544"/>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9" t="s">
        <v>574</v>
      </c>
      <c r="B58" s="1544"/>
      <c r="C58" s="1568"/>
      <c r="D58" s="1568"/>
      <c r="E58" s="1568"/>
      <c r="F58" s="1570"/>
      <c r="G58" s="1570"/>
      <c r="H58" s="1568"/>
      <c r="I58" s="1568"/>
      <c r="J58" s="1568"/>
      <c r="K58" s="1571"/>
      <c r="L58" s="1567"/>
      <c r="M58" s="1568"/>
      <c r="N58" s="1568"/>
      <c r="O58" s="1568"/>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2019-10</v>
      </c>
      <c r="D59" s="2757">
        <f>EDATE(C59,-1)</f>
        <v>43709</v>
      </c>
      <c r="E59" s="2757">
        <f t="shared" ref="E59:O59" si="16">EDATE(D59,-1)</f>
        <v>43678</v>
      </c>
      <c r="F59" s="2757">
        <f t="shared" si="16"/>
        <v>43647</v>
      </c>
      <c r="G59" s="2757">
        <f t="shared" si="16"/>
        <v>43617</v>
      </c>
      <c r="H59" s="2757">
        <f t="shared" si="16"/>
        <v>43586</v>
      </c>
      <c r="I59" s="2757">
        <f t="shared" si="16"/>
        <v>43556</v>
      </c>
      <c r="J59" s="2757">
        <f t="shared" si="16"/>
        <v>43525</v>
      </c>
      <c r="K59" s="2757">
        <f t="shared" si="16"/>
        <v>43497</v>
      </c>
      <c r="L59" s="2757">
        <f t="shared" si="16"/>
        <v>43466</v>
      </c>
      <c r="M59" s="2757">
        <f t="shared" si="16"/>
        <v>43435</v>
      </c>
      <c r="N59" s="2757">
        <f t="shared" si="16"/>
        <v>43405</v>
      </c>
      <c r="O59" s="2757">
        <f t="shared" si="16"/>
        <v>43374</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2555</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2556</v>
      </c>
      <c r="C83" s="2560" t="s">
        <v>2557</v>
      </c>
      <c r="D83" s="2560" t="s">
        <v>2558</v>
      </c>
      <c r="E83" s="2560" t="s">
        <v>2559</v>
      </c>
      <c r="F83" s="2560" t="s">
        <v>2560</v>
      </c>
      <c r="G83" s="2560" t="s">
        <v>2561</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2554</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9"/>
      <c r="Q2" s="1549"/>
      <c r="R2" s="1549"/>
      <c r="S2" s="1549"/>
      <c r="T2" s="1549"/>
      <c r="U2" s="1549"/>
      <c r="V2" s="1549"/>
      <c r="W2" s="1549"/>
      <c r="X2" s="1549"/>
      <c r="Y2" s="1549"/>
      <c r="Z2" s="1549"/>
      <c r="AA2" s="1549"/>
      <c r="AB2" s="1549"/>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521</v>
      </c>
      <c r="B4" s="512"/>
      <c r="C4" s="3474" t="s">
        <v>522</v>
      </c>
      <c r="D4" s="3475"/>
      <c r="E4" s="3498" t="s">
        <v>523</v>
      </c>
      <c r="F4" s="3499"/>
      <c r="G4" s="3474" t="s">
        <v>524</v>
      </c>
      <c r="H4" s="3475"/>
      <c r="I4" s="3474" t="s">
        <v>525</v>
      </c>
      <c r="J4" s="3475"/>
      <c r="K4" s="513" t="s">
        <v>526</v>
      </c>
      <c r="L4" s="2116"/>
      <c r="M4" s="2117"/>
      <c r="N4" s="2117"/>
      <c r="O4" s="2117"/>
      <c r="P4" s="3476" t="s">
        <v>527</v>
      </c>
      <c r="Q4" s="3477"/>
      <c r="R4" s="3462" t="s">
        <v>523</v>
      </c>
      <c r="S4" s="3463"/>
      <c r="T4" s="3462" t="s">
        <v>524</v>
      </c>
      <c r="U4" s="3463"/>
      <c r="V4" s="3482" t="s">
        <v>525</v>
      </c>
      <c r="W4" s="3482"/>
      <c r="X4" s="1552"/>
      <c r="Y4" s="3462" t="s">
        <v>527</v>
      </c>
      <c r="Z4" s="3463"/>
      <c r="AA4" s="3457" t="s">
        <v>523</v>
      </c>
      <c r="AB4" s="3458" t="s">
        <v>524</v>
      </c>
      <c r="AC4" s="3457" t="s">
        <v>525</v>
      </c>
    </row>
    <row r="5" spans="1:29" ht="15">
      <c r="A5" s="514"/>
      <c r="B5" s="515"/>
      <c r="C5" s="3485" t="s">
        <v>2926</v>
      </c>
      <c r="D5" s="3486"/>
      <c r="E5" s="3500" t="s">
        <v>2927</v>
      </c>
      <c r="F5" s="3501"/>
      <c r="G5" s="3485" t="s">
        <v>2928</v>
      </c>
      <c r="H5" s="3486"/>
      <c r="I5" s="3485" t="s">
        <v>2929</v>
      </c>
      <c r="J5" s="3486"/>
      <c r="K5" s="513"/>
      <c r="L5" s="2116"/>
      <c r="M5" s="2117"/>
      <c r="N5" s="2117"/>
      <c r="O5" s="2117"/>
      <c r="P5" s="3478"/>
      <c r="Q5" s="3479"/>
      <c r="R5" s="3464"/>
      <c r="S5" s="3465"/>
      <c r="T5" s="3464"/>
      <c r="U5" s="3465"/>
      <c r="V5" s="3482"/>
      <c r="W5" s="3482"/>
      <c r="X5" s="1552"/>
      <c r="Y5" s="3464"/>
      <c r="Z5" s="3465"/>
      <c r="AA5" s="3458"/>
      <c r="AB5" s="3458"/>
      <c r="AC5" s="3458"/>
    </row>
    <row r="6" spans="1:29" ht="15.75" thickBot="1">
      <c r="A6" s="516"/>
      <c r="B6" s="517"/>
      <c r="C6" s="3483" t="s">
        <v>2930</v>
      </c>
      <c r="D6" s="3484"/>
      <c r="E6" s="3502" t="s">
        <v>2930</v>
      </c>
      <c r="F6" s="3503"/>
      <c r="G6" s="3483" t="s">
        <v>2930</v>
      </c>
      <c r="H6" s="3484"/>
      <c r="I6" s="3483" t="s">
        <v>2930</v>
      </c>
      <c r="J6" s="3484"/>
      <c r="K6" s="513" t="s">
        <v>528</v>
      </c>
      <c r="L6" s="2116"/>
      <c r="M6" s="2117"/>
      <c r="N6" s="2117"/>
      <c r="O6" s="2117"/>
      <c r="P6" s="3480"/>
      <c r="Q6" s="3481"/>
      <c r="R6" s="3464"/>
      <c r="S6" s="3465"/>
      <c r="T6" s="3466"/>
      <c r="U6" s="3467"/>
      <c r="V6" s="3482"/>
      <c r="W6" s="3482"/>
      <c r="X6" s="1552"/>
      <c r="Y6" s="3466"/>
      <c r="Z6" s="3467"/>
      <c r="AA6" s="3459"/>
      <c r="AB6" s="3459"/>
      <c r="AC6" s="3459"/>
    </row>
    <row r="7" spans="1:29" s="1214" customFormat="1" ht="15.75" thickBot="1">
      <c r="A7" s="2865"/>
      <c r="B7" s="2872" t="s">
        <v>529</v>
      </c>
      <c r="C7" s="518">
        <f>'数据-取费表'!B2</f>
        <v>43763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60" t="s">
        <v>530</v>
      </c>
      <c r="Q7" s="3469"/>
      <c r="R7" s="1553" t="s">
        <v>8</v>
      </c>
      <c r="S7" s="1554">
        <f t="shared" ref="S7:S15" si="0">F7</f>
        <v>0</v>
      </c>
      <c r="T7" s="1553" t="s">
        <v>8</v>
      </c>
      <c r="U7" s="1554">
        <f t="shared" ref="U7:U15" si="1">H7</f>
        <v>0</v>
      </c>
      <c r="V7" s="1553" t="s">
        <v>8</v>
      </c>
      <c r="W7" s="1554">
        <f t="shared" ref="W7:W15" si="2">J7</f>
        <v>0</v>
      </c>
      <c r="X7" s="1555"/>
      <c r="Y7" s="3460" t="s">
        <v>530</v>
      </c>
      <c r="Z7" s="3461"/>
      <c r="AA7" s="1556" t="e">
        <f>D7/F7</f>
        <v>#DIV/0!</v>
      </c>
      <c r="AB7" s="1556" t="e">
        <f>D7/H7</f>
        <v>#DIV/0!</v>
      </c>
      <c r="AC7" s="1556"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60" t="s">
        <v>533</v>
      </c>
      <c r="Q8" s="3461"/>
      <c r="R8" s="1553" t="s">
        <v>8</v>
      </c>
      <c r="S8" s="1554">
        <f t="shared" si="0"/>
        <v>0</v>
      </c>
      <c r="T8" s="1553" t="s">
        <v>8</v>
      </c>
      <c r="U8" s="1554">
        <f t="shared" si="1"/>
        <v>0</v>
      </c>
      <c r="V8" s="1553" t="s">
        <v>8</v>
      </c>
      <c r="W8" s="1554">
        <f t="shared" si="2"/>
        <v>0</v>
      </c>
      <c r="X8" s="1555"/>
      <c r="Y8" s="3460" t="s">
        <v>533</v>
      </c>
      <c r="Z8" s="3461"/>
      <c r="AA8" s="1556" t="e">
        <f t="shared" ref="AA8:AA40" si="3">D8/F8</f>
        <v>#DIV/0!</v>
      </c>
      <c r="AB8" s="1556" t="e">
        <f t="shared" ref="AB8:AB40" si="4">D8/H8</f>
        <v>#DIV/0!</v>
      </c>
      <c r="AC8" s="1556" t="e">
        <f t="shared" ref="AC8:AC40" si="5">D8/J8</f>
        <v>#DIV/0!</v>
      </c>
    </row>
    <row r="9" spans="1:29" s="1214" customFormat="1" ht="15">
      <c r="A9" s="2867"/>
      <c r="B9" s="2874" t="s">
        <v>2753</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68" t="s">
        <v>535</v>
      </c>
      <c r="Q9" s="1145" t="str">
        <f t="shared" ref="Q9:Q15" si="6">B9</f>
        <v>用途</v>
      </c>
      <c r="R9" s="1553" t="s">
        <v>8</v>
      </c>
      <c r="S9" s="1554">
        <f t="shared" si="0"/>
        <v>100</v>
      </c>
      <c r="T9" s="1553" t="s">
        <v>8</v>
      </c>
      <c r="U9" s="1554">
        <f t="shared" si="1"/>
        <v>100</v>
      </c>
      <c r="V9" s="1553" t="s">
        <v>8</v>
      </c>
      <c r="W9" s="1554">
        <f t="shared" si="2"/>
        <v>100</v>
      </c>
      <c r="X9" s="1555"/>
      <c r="Y9" s="3425" t="s">
        <v>536</v>
      </c>
      <c r="Z9" s="1144" t="str">
        <f t="shared" ref="Z9:Z15" si="7">Q9</f>
        <v>用途</v>
      </c>
      <c r="AA9" s="1556">
        <f t="shared" si="3"/>
        <v>1</v>
      </c>
      <c r="AB9" s="1556">
        <f t="shared" si="4"/>
        <v>1</v>
      </c>
      <c r="AC9" s="1556">
        <f t="shared" si="5"/>
        <v>1</v>
      </c>
    </row>
    <row r="10" spans="1:29" s="1332" customFormat="1" ht="27">
      <c r="A10" s="2868"/>
      <c r="B10" s="2873" t="s">
        <v>2754</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69"/>
      <c r="B11" s="2873"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68"/>
      <c r="Q11" s="1145" t="str">
        <f t="shared" si="6"/>
        <v>容积率</v>
      </c>
      <c r="R11" s="1553" t="s">
        <v>8</v>
      </c>
      <c r="S11" s="1554" t="e">
        <f t="shared" si="0"/>
        <v>#N/A</v>
      </c>
      <c r="T11" s="1553" t="s">
        <v>8</v>
      </c>
      <c r="U11" s="1554" t="e">
        <f t="shared" si="1"/>
        <v>#N/A</v>
      </c>
      <c r="V11" s="1553" t="s">
        <v>8</v>
      </c>
      <c r="W11" s="1554" t="e">
        <f t="shared" si="2"/>
        <v>#N/A</v>
      </c>
      <c r="X11" s="1555"/>
      <c r="Y11" s="3425"/>
      <c r="Z11" s="1144" t="str">
        <f t="shared" si="7"/>
        <v>容积率</v>
      </c>
      <c r="AA11" s="1556" t="e">
        <f t="shared" si="3"/>
        <v>#N/A</v>
      </c>
      <c r="AB11" s="1556" t="e">
        <f t="shared" si="4"/>
        <v>#N/A</v>
      </c>
      <c r="AC11" s="1556"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68"/>
      <c r="Q12" s="1145">
        <f t="shared" si="6"/>
        <v>111</v>
      </c>
      <c r="R12" s="1553" t="s">
        <v>8</v>
      </c>
      <c r="S12" s="1554">
        <f t="shared" si="0"/>
        <v>100</v>
      </c>
      <c r="T12" s="1553" t="s">
        <v>8</v>
      </c>
      <c r="U12" s="1554">
        <f t="shared" si="1"/>
        <v>100</v>
      </c>
      <c r="V12" s="1553" t="s">
        <v>8</v>
      </c>
      <c r="W12" s="1554">
        <f t="shared" si="2"/>
        <v>100</v>
      </c>
      <c r="X12" s="1555"/>
      <c r="Y12" s="3425"/>
      <c r="Z12" s="1144">
        <f t="shared" si="7"/>
        <v>111</v>
      </c>
      <c r="AA12" s="1556">
        <f>D12/F12</f>
        <v>1</v>
      </c>
      <c r="AB12" s="1556">
        <f>D12/H12</f>
        <v>1</v>
      </c>
      <c r="AC12" s="1556">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68"/>
      <c r="Q13" s="1145">
        <f t="shared" si="6"/>
        <v>111</v>
      </c>
      <c r="R13" s="1553" t="s">
        <v>8</v>
      </c>
      <c r="S13" s="1554">
        <f t="shared" si="0"/>
        <v>100</v>
      </c>
      <c r="T13" s="1553" t="s">
        <v>8</v>
      </c>
      <c r="U13" s="1554">
        <f t="shared" si="1"/>
        <v>100</v>
      </c>
      <c r="V13" s="1553" t="s">
        <v>8</v>
      </c>
      <c r="W13" s="1554">
        <f t="shared" si="2"/>
        <v>100</v>
      </c>
      <c r="X13" s="1555"/>
      <c r="Y13" s="3425"/>
      <c r="Z13" s="1144">
        <f t="shared" si="7"/>
        <v>111</v>
      </c>
      <c r="AA13" s="1556">
        <f t="shared" si="3"/>
        <v>1</v>
      </c>
      <c r="AB13" s="1556">
        <f t="shared" si="4"/>
        <v>1</v>
      </c>
      <c r="AC13" s="1556">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68"/>
      <c r="Q14" s="1145">
        <f t="shared" si="6"/>
        <v>111</v>
      </c>
      <c r="R14" s="1553" t="s">
        <v>8</v>
      </c>
      <c r="S14" s="1554">
        <f t="shared" si="0"/>
        <v>100</v>
      </c>
      <c r="T14" s="1553" t="s">
        <v>8</v>
      </c>
      <c r="U14" s="1554">
        <f t="shared" si="1"/>
        <v>100</v>
      </c>
      <c r="V14" s="1553" t="s">
        <v>8</v>
      </c>
      <c r="W14" s="1554">
        <f t="shared" si="2"/>
        <v>100</v>
      </c>
      <c r="X14" s="1555"/>
      <c r="Y14" s="3425"/>
      <c r="Z14" s="1144">
        <f t="shared" si="7"/>
        <v>111</v>
      </c>
      <c r="AA14" s="1556">
        <f t="shared" si="3"/>
        <v>1</v>
      </c>
      <c r="AB14" s="1556">
        <f t="shared" si="4"/>
        <v>1</v>
      </c>
      <c r="AC14" s="1556">
        <f t="shared" si="5"/>
        <v>1</v>
      </c>
    </row>
    <row r="15" spans="1:29" ht="57">
      <c r="A15" s="2863" t="s">
        <v>2751</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70" t="s">
        <v>540</v>
      </c>
      <c r="Q15" s="1557" t="str">
        <f t="shared" si="6"/>
        <v>产业集聚程度</v>
      </c>
      <c r="R15" s="1558" t="s">
        <v>8</v>
      </c>
      <c r="S15" s="1559">
        <f t="shared" si="0"/>
        <v>100</v>
      </c>
      <c r="T15" s="1558" t="s">
        <v>8</v>
      </c>
      <c r="U15" s="1559">
        <f t="shared" si="1"/>
        <v>100</v>
      </c>
      <c r="V15" s="1558" t="s">
        <v>8</v>
      </c>
      <c r="W15" s="1559">
        <f t="shared" si="2"/>
        <v>100</v>
      </c>
      <c r="X15" s="1552"/>
      <c r="Y15" s="3470" t="s">
        <v>540</v>
      </c>
      <c r="Z15" s="1560" t="str">
        <f t="shared" si="7"/>
        <v>产业集聚程度</v>
      </c>
      <c r="AA15" s="1561">
        <f t="shared" si="3"/>
        <v>1</v>
      </c>
      <c r="AB15" s="1561">
        <f t="shared" si="4"/>
        <v>1</v>
      </c>
      <c r="AC15" s="1561">
        <f t="shared" si="5"/>
        <v>1</v>
      </c>
    </row>
    <row r="16" spans="1:29" ht="15">
      <c r="A16" s="531"/>
      <c r="B16" s="868"/>
      <c r="C16" s="575"/>
      <c r="D16" s="554"/>
      <c r="E16" s="575"/>
      <c r="F16" s="556"/>
      <c r="G16" s="575"/>
      <c r="H16" s="558"/>
      <c r="I16" s="575"/>
      <c r="J16" s="554"/>
      <c r="K16" s="897"/>
      <c r="L16" s="2125"/>
      <c r="M16" s="2117"/>
      <c r="N16" s="2117"/>
      <c r="O16" s="2124"/>
      <c r="P16" s="3471"/>
      <c r="Q16" s="1557"/>
      <c r="R16" s="1558"/>
      <c r="S16" s="1559"/>
      <c r="T16" s="1558"/>
      <c r="U16" s="1559"/>
      <c r="V16" s="1558"/>
      <c r="W16" s="1559"/>
      <c r="X16" s="1552"/>
      <c r="Y16" s="3471"/>
      <c r="Z16" s="1560"/>
      <c r="AA16" s="1561">
        <v>1</v>
      </c>
      <c r="AB16" s="1561">
        <v>1</v>
      </c>
      <c r="AC16" s="1561">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71"/>
      <c r="Q17" s="1557" t="str">
        <f>B17</f>
        <v>交通便捷度</v>
      </c>
      <c r="R17" s="1558" t="s">
        <v>8</v>
      </c>
      <c r="S17" s="1559">
        <f>F17</f>
        <v>100</v>
      </c>
      <c r="T17" s="1558" t="s">
        <v>8</v>
      </c>
      <c r="U17" s="1559">
        <f>H17</f>
        <v>100</v>
      </c>
      <c r="V17" s="1558" t="s">
        <v>8</v>
      </c>
      <c r="W17" s="1559">
        <f>J17</f>
        <v>100</v>
      </c>
      <c r="X17" s="1552"/>
      <c r="Y17" s="3471"/>
      <c r="Z17" s="1560" t="str">
        <f>Q17</f>
        <v>交通便捷度</v>
      </c>
      <c r="AA17" s="1561">
        <f t="shared" si="3"/>
        <v>1</v>
      </c>
      <c r="AB17" s="1561">
        <f t="shared" si="4"/>
        <v>1</v>
      </c>
      <c r="AC17" s="1561">
        <f t="shared" si="5"/>
        <v>1</v>
      </c>
    </row>
    <row r="18" spans="1:29" ht="15">
      <c r="A18" s="531"/>
      <c r="B18" s="594"/>
      <c r="C18" s="872"/>
      <c r="D18" s="558"/>
      <c r="E18" s="567"/>
      <c r="F18" s="562"/>
      <c r="G18" s="568"/>
      <c r="H18" s="554"/>
      <c r="I18" s="567"/>
      <c r="J18" s="554"/>
      <c r="K18" s="897"/>
      <c r="L18" s="2125"/>
      <c r="M18" s="2117"/>
      <c r="N18" s="2117"/>
      <c r="O18" s="2124"/>
      <c r="P18" s="3471"/>
      <c r="Q18" s="1557"/>
      <c r="R18" s="1558"/>
      <c r="S18" s="1559"/>
      <c r="T18" s="1558"/>
      <c r="U18" s="1559"/>
      <c r="V18" s="1558"/>
      <c r="W18" s="1559"/>
      <c r="X18" s="1552"/>
      <c r="Y18" s="3471"/>
      <c r="Z18" s="1560"/>
      <c r="AA18" s="1561">
        <v>1</v>
      </c>
      <c r="AB18" s="1561">
        <v>1</v>
      </c>
      <c r="AC18" s="1561">
        <v>1</v>
      </c>
    </row>
    <row r="19" spans="1:29" ht="42.75">
      <c r="A19" s="531"/>
      <c r="B19" s="2565"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71"/>
      <c r="Q19" s="1557" t="str">
        <f>B19</f>
        <v>公共配套设施</v>
      </c>
      <c r="R19" s="1558" t="s">
        <v>8</v>
      </c>
      <c r="S19" s="1559">
        <f>F19</f>
        <v>100</v>
      </c>
      <c r="T19" s="1558" t="s">
        <v>8</v>
      </c>
      <c r="U19" s="1559">
        <f>H19</f>
        <v>100</v>
      </c>
      <c r="V19" s="1558" t="s">
        <v>8</v>
      </c>
      <c r="W19" s="1559">
        <f>J19</f>
        <v>100</v>
      </c>
      <c r="X19" s="1552"/>
      <c r="Y19" s="3471"/>
      <c r="Z19" s="1560" t="str">
        <f>Q19</f>
        <v>公共配套设施</v>
      </c>
      <c r="AA19" s="1561">
        <f t="shared" si="3"/>
        <v>1</v>
      </c>
      <c r="AB19" s="1561">
        <f t="shared" si="4"/>
        <v>1</v>
      </c>
      <c r="AC19" s="1561">
        <f t="shared" si="5"/>
        <v>1</v>
      </c>
    </row>
    <row r="20" spans="1:29" ht="15">
      <c r="A20" s="531"/>
      <c r="B20" s="565"/>
      <c r="C20" s="575"/>
      <c r="D20" s="554"/>
      <c r="E20" s="555"/>
      <c r="F20" s="556"/>
      <c r="G20" s="557"/>
      <c r="H20" s="554"/>
      <c r="I20" s="555"/>
      <c r="J20" s="554"/>
      <c r="K20" s="897"/>
      <c r="L20" s="2125"/>
      <c r="M20" s="2117"/>
      <c r="N20" s="2117"/>
      <c r="O20" s="2124"/>
      <c r="P20" s="3471"/>
      <c r="Q20" s="1557"/>
      <c r="R20" s="1558"/>
      <c r="S20" s="1559"/>
      <c r="T20" s="1558"/>
      <c r="U20" s="1559"/>
      <c r="V20" s="1558"/>
      <c r="W20" s="1559"/>
      <c r="X20" s="1552"/>
      <c r="Y20" s="3471"/>
      <c r="Z20" s="1560"/>
      <c r="AA20" s="1561">
        <v>1</v>
      </c>
      <c r="AB20" s="1561">
        <v>1</v>
      </c>
      <c r="AC20" s="1561">
        <v>1</v>
      </c>
    </row>
    <row r="21" spans="1:29" ht="28.5">
      <c r="A21" s="531"/>
      <c r="B21" s="2553"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71"/>
      <c r="Q21" s="2541" t="str">
        <f>B21</f>
        <v>基础设施水平</v>
      </c>
      <c r="R21" s="1558" t="s">
        <v>8</v>
      </c>
      <c r="S21" s="1559">
        <f>F21</f>
        <v>100</v>
      </c>
      <c r="T21" s="1558" t="s">
        <v>8</v>
      </c>
      <c r="U21" s="1559">
        <f>H21</f>
        <v>100</v>
      </c>
      <c r="V21" s="1558" t="s">
        <v>8</v>
      </c>
      <c r="W21" s="1559">
        <f>J21</f>
        <v>100</v>
      </c>
      <c r="X21" s="2543"/>
      <c r="Y21" s="3471"/>
      <c r="Z21" s="2542" t="str">
        <f>Q21</f>
        <v>基础设施水平</v>
      </c>
      <c r="AA21" s="1561">
        <f t="shared" ref="AA21" si="8">D21/F21</f>
        <v>1</v>
      </c>
      <c r="AB21" s="1561">
        <f t="shared" ref="AB21" si="9">D21/H21</f>
        <v>1</v>
      </c>
      <c r="AC21" s="1561">
        <f t="shared" ref="AC21" si="10">D21/J21</f>
        <v>1</v>
      </c>
    </row>
    <row r="22" spans="1:29" ht="15">
      <c r="A22" s="531"/>
      <c r="B22" s="577"/>
      <c r="C22" s="872"/>
      <c r="D22" s="554"/>
      <c r="E22" s="575"/>
      <c r="F22" s="556"/>
      <c r="G22" s="575"/>
      <c r="H22" s="554"/>
      <c r="I22" s="575"/>
      <c r="J22" s="554"/>
      <c r="K22" s="2564"/>
      <c r="L22" s="2125"/>
      <c r="M22" s="2117"/>
      <c r="N22" s="2117"/>
      <c r="O22" s="2124"/>
      <c r="P22" s="3471"/>
      <c r="Q22" s="2541"/>
      <c r="R22" s="1558"/>
      <c r="S22" s="1559"/>
      <c r="T22" s="1558"/>
      <c r="U22" s="1559"/>
      <c r="V22" s="1558"/>
      <c r="W22" s="1559"/>
      <c r="X22" s="2543"/>
      <c r="Y22" s="3471"/>
      <c r="Z22" s="2542"/>
      <c r="AA22" s="1561">
        <v>1</v>
      </c>
      <c r="AB22" s="1561">
        <v>1</v>
      </c>
      <c r="AC22" s="1561">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71"/>
      <c r="Q23" s="1557" t="str">
        <f>B23</f>
        <v>环境质量</v>
      </c>
      <c r="R23" s="1558" t="s">
        <v>8</v>
      </c>
      <c r="S23" s="1559">
        <f>F23</f>
        <v>100</v>
      </c>
      <c r="T23" s="1558" t="s">
        <v>8</v>
      </c>
      <c r="U23" s="1559">
        <f>H23</f>
        <v>100</v>
      </c>
      <c r="V23" s="1558" t="s">
        <v>8</v>
      </c>
      <c r="W23" s="1559">
        <f>J23</f>
        <v>100</v>
      </c>
      <c r="X23" s="1552"/>
      <c r="Y23" s="3471"/>
      <c r="Z23" s="1560" t="str">
        <f>Q23</f>
        <v>环境质量</v>
      </c>
      <c r="AA23" s="1561">
        <f t="shared" si="3"/>
        <v>1</v>
      </c>
      <c r="AB23" s="1561">
        <f t="shared" si="4"/>
        <v>1</v>
      </c>
      <c r="AC23" s="1561">
        <f t="shared" si="5"/>
        <v>1</v>
      </c>
    </row>
    <row r="24" spans="1:29" ht="15">
      <c r="A24" s="531"/>
      <c r="B24" s="920"/>
      <c r="C24" s="575"/>
      <c r="D24" s="554"/>
      <c r="E24" s="555"/>
      <c r="F24" s="556"/>
      <c r="G24" s="557"/>
      <c r="H24" s="554"/>
      <c r="I24" s="555"/>
      <c r="J24" s="554"/>
      <c r="K24" s="897"/>
      <c r="L24" s="2125"/>
      <c r="M24" s="2117"/>
      <c r="N24" s="2117"/>
      <c r="O24" s="2124"/>
      <c r="P24" s="3471"/>
      <c r="Q24" s="1557"/>
      <c r="R24" s="1558"/>
      <c r="S24" s="1559"/>
      <c r="T24" s="1558"/>
      <c r="U24" s="1559"/>
      <c r="V24" s="1558"/>
      <c r="W24" s="1559"/>
      <c r="X24" s="1552"/>
      <c r="Y24" s="3471"/>
      <c r="Z24" s="1560"/>
      <c r="AA24" s="1561">
        <v>1</v>
      </c>
      <c r="AB24" s="1561">
        <v>1</v>
      </c>
      <c r="AC24" s="1561">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71"/>
      <c r="Q25" s="1557">
        <f>B25</f>
        <v>111</v>
      </c>
      <c r="R25" s="1558" t="s">
        <v>8</v>
      </c>
      <c r="S25" s="1559">
        <f>F25</f>
        <v>100</v>
      </c>
      <c r="T25" s="1558" t="s">
        <v>8</v>
      </c>
      <c r="U25" s="1559">
        <f>H25</f>
        <v>100</v>
      </c>
      <c r="V25" s="1558" t="s">
        <v>8</v>
      </c>
      <c r="W25" s="1559">
        <f>J25</f>
        <v>100</v>
      </c>
      <c r="X25" s="1552"/>
      <c r="Y25" s="3471"/>
      <c r="Z25" s="1560">
        <f>Q25</f>
        <v>111</v>
      </c>
      <c r="AA25" s="1561">
        <f t="shared" si="3"/>
        <v>1</v>
      </c>
      <c r="AB25" s="1561">
        <f t="shared" si="4"/>
        <v>1</v>
      </c>
      <c r="AC25" s="1561">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71"/>
      <c r="Q26" s="1557">
        <f t="shared" ref="Q26:Q40" si="11">B26</f>
        <v>111</v>
      </c>
      <c r="R26" s="1558" t="s">
        <v>8</v>
      </c>
      <c r="S26" s="1559">
        <f>F26</f>
        <v>100</v>
      </c>
      <c r="T26" s="1558" t="s">
        <v>8</v>
      </c>
      <c r="U26" s="1559">
        <f>H26</f>
        <v>100</v>
      </c>
      <c r="V26" s="1558" t="s">
        <v>8</v>
      </c>
      <c r="W26" s="1559">
        <f>J26</f>
        <v>100</v>
      </c>
      <c r="X26" s="1552"/>
      <c r="Y26" s="3471"/>
      <c r="Z26" s="1560">
        <f>Q26</f>
        <v>111</v>
      </c>
      <c r="AA26" s="1561">
        <f t="shared" si="3"/>
        <v>1</v>
      </c>
      <c r="AB26" s="1561">
        <f t="shared" si="4"/>
        <v>1</v>
      </c>
      <c r="AC26" s="1561">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71"/>
      <c r="Q27" s="1145">
        <f t="shared" si="11"/>
        <v>111</v>
      </c>
      <c r="R27" s="1553" t="s">
        <v>8</v>
      </c>
      <c r="S27" s="1554">
        <f>F27</f>
        <v>100</v>
      </c>
      <c r="T27" s="1553" t="s">
        <v>8</v>
      </c>
      <c r="U27" s="1554">
        <f>H27</f>
        <v>100</v>
      </c>
      <c r="V27" s="1553" t="s">
        <v>8</v>
      </c>
      <c r="W27" s="1554">
        <f>J27</f>
        <v>100</v>
      </c>
      <c r="X27" s="1555"/>
      <c r="Y27" s="3471"/>
      <c r="Z27" s="1144">
        <f>Q27</f>
        <v>111</v>
      </c>
      <c r="AA27" s="1561">
        <f>D27/F27</f>
        <v>1</v>
      </c>
      <c r="AB27" s="1561">
        <f>D27/H27</f>
        <v>1</v>
      </c>
      <c r="AC27" s="1561">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71"/>
      <c r="Q28" s="1557">
        <f t="shared" si="11"/>
        <v>111</v>
      </c>
      <c r="R28" s="1558" t="s">
        <v>8</v>
      </c>
      <c r="S28" s="1559">
        <f t="shared" ref="S28:S40" si="12">F28</f>
        <v>100</v>
      </c>
      <c r="T28" s="1558" t="s">
        <v>8</v>
      </c>
      <c r="U28" s="1559">
        <f t="shared" ref="U28:U40" si="13">H28</f>
        <v>100</v>
      </c>
      <c r="V28" s="1558" t="s">
        <v>8</v>
      </c>
      <c r="W28" s="1559">
        <f t="shared" ref="W28:W40" si="14">J28</f>
        <v>100</v>
      </c>
      <c r="X28" s="1552"/>
      <c r="Y28" s="3471"/>
      <c r="Z28" s="1560">
        <f t="shared" ref="Z28:Z40" si="15">Q28</f>
        <v>111</v>
      </c>
      <c r="AA28" s="1561">
        <f t="shared" si="3"/>
        <v>1</v>
      </c>
      <c r="AB28" s="1561">
        <f t="shared" si="4"/>
        <v>1</v>
      </c>
      <c r="AC28" s="1561">
        <f t="shared" si="5"/>
        <v>1</v>
      </c>
    </row>
    <row r="29" spans="1:29" ht="15">
      <c r="A29" s="2860" t="s">
        <v>2752</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72" t="s">
        <v>550</v>
      </c>
      <c r="Q29" s="1557" t="str">
        <f t="shared" si="11"/>
        <v>建筑类型</v>
      </c>
      <c r="R29" s="1558" t="s">
        <v>8</v>
      </c>
      <c r="S29" s="1559">
        <f t="shared" si="12"/>
        <v>100</v>
      </c>
      <c r="T29" s="1558" t="s">
        <v>8</v>
      </c>
      <c r="U29" s="1559">
        <f t="shared" si="13"/>
        <v>100</v>
      </c>
      <c r="V29" s="1558" t="s">
        <v>8</v>
      </c>
      <c r="W29" s="1559">
        <f t="shared" si="14"/>
        <v>100</v>
      </c>
      <c r="X29" s="1552"/>
      <c r="Y29" s="3473" t="s">
        <v>550</v>
      </c>
      <c r="Z29" s="1560" t="str">
        <f t="shared" si="15"/>
        <v>建筑类型</v>
      </c>
      <c r="AA29" s="1561">
        <f t="shared" si="3"/>
        <v>1</v>
      </c>
      <c r="AB29" s="1561">
        <f t="shared" si="4"/>
        <v>1</v>
      </c>
      <c r="AC29" s="1561">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73"/>
      <c r="Q30" s="1589" t="str">
        <f t="shared" si="11"/>
        <v>项目建筑规模</v>
      </c>
      <c r="R30" s="1562" t="s">
        <v>8</v>
      </c>
      <c r="S30" s="1563" t="e">
        <f t="shared" si="12"/>
        <v>#N/A</v>
      </c>
      <c r="T30" s="1562" t="s">
        <v>8</v>
      </c>
      <c r="U30" s="1563" t="e">
        <f t="shared" si="13"/>
        <v>#N/A</v>
      </c>
      <c r="V30" s="1562" t="s">
        <v>8</v>
      </c>
      <c r="W30" s="1563" t="e">
        <f t="shared" si="14"/>
        <v>#N/A</v>
      </c>
      <c r="X30" s="1564"/>
      <c r="Y30" s="3473"/>
      <c r="Z30" s="1565" t="str">
        <f t="shared" si="15"/>
        <v>项目建筑规模</v>
      </c>
      <c r="AA30" s="1561" t="e">
        <f t="shared" si="3"/>
        <v>#N/A</v>
      </c>
      <c r="AB30" s="1561" t="e">
        <f t="shared" si="4"/>
        <v>#N/A</v>
      </c>
      <c r="AC30" s="1561"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73"/>
      <c r="Q31" s="1557" t="str">
        <f t="shared" si="11"/>
        <v>建筑结构</v>
      </c>
      <c r="R31" s="1558" t="s">
        <v>8</v>
      </c>
      <c r="S31" s="1559">
        <f t="shared" si="12"/>
        <v>100</v>
      </c>
      <c r="T31" s="1558" t="s">
        <v>8</v>
      </c>
      <c r="U31" s="1559">
        <f t="shared" si="13"/>
        <v>100</v>
      </c>
      <c r="V31" s="1558" t="s">
        <v>8</v>
      </c>
      <c r="W31" s="1559">
        <f t="shared" si="14"/>
        <v>100</v>
      </c>
      <c r="X31" s="1552"/>
      <c r="Y31" s="3473"/>
      <c r="Z31" s="1560" t="str">
        <f t="shared" si="15"/>
        <v>建筑结构</v>
      </c>
      <c r="AA31" s="1561">
        <f t="shared" si="3"/>
        <v>1</v>
      </c>
      <c r="AB31" s="1561">
        <f t="shared" si="4"/>
        <v>1</v>
      </c>
      <c r="AC31" s="1561">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73"/>
      <c r="Q32" s="1557" t="str">
        <f t="shared" si="11"/>
        <v>公共部分装修</v>
      </c>
      <c r="R32" s="1558" t="s">
        <v>8</v>
      </c>
      <c r="S32" s="1559">
        <f t="shared" si="12"/>
        <v>100</v>
      </c>
      <c r="T32" s="1558" t="s">
        <v>8</v>
      </c>
      <c r="U32" s="1559">
        <f t="shared" si="13"/>
        <v>100</v>
      </c>
      <c r="V32" s="1558" t="s">
        <v>8</v>
      </c>
      <c r="W32" s="1559">
        <f t="shared" si="14"/>
        <v>100</v>
      </c>
      <c r="X32" s="1552"/>
      <c r="Y32" s="3473"/>
      <c r="Z32" s="1560" t="str">
        <f t="shared" si="15"/>
        <v>公共部分装修</v>
      </c>
      <c r="AA32" s="1561">
        <f t="shared" si="3"/>
        <v>1</v>
      </c>
      <c r="AB32" s="1561">
        <f t="shared" si="4"/>
        <v>1</v>
      </c>
      <c r="AC32" s="1561">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73"/>
      <c r="Q33" s="1557" t="str">
        <f t="shared" si="11"/>
        <v>成新度</v>
      </c>
      <c r="R33" s="1558" t="s">
        <v>8</v>
      </c>
      <c r="S33" s="1559" t="e">
        <f t="shared" si="12"/>
        <v>#N/A</v>
      </c>
      <c r="T33" s="1558" t="s">
        <v>8</v>
      </c>
      <c r="U33" s="1559" t="e">
        <f t="shared" si="13"/>
        <v>#N/A</v>
      </c>
      <c r="V33" s="1558" t="s">
        <v>8</v>
      </c>
      <c r="W33" s="1559" t="e">
        <f t="shared" si="14"/>
        <v>#N/A</v>
      </c>
      <c r="X33" s="1552"/>
      <c r="Y33" s="3473"/>
      <c r="Z33" s="1560" t="str">
        <f t="shared" si="15"/>
        <v>成新度</v>
      </c>
      <c r="AA33" s="1561" t="e">
        <f t="shared" si="3"/>
        <v>#N/A</v>
      </c>
      <c r="AB33" s="1561" t="e">
        <f t="shared" si="4"/>
        <v>#N/A</v>
      </c>
      <c r="AC33" s="1561"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73"/>
      <c r="Q34" s="1145" t="str">
        <f t="shared" si="11"/>
        <v>物业管理</v>
      </c>
      <c r="R34" s="1553" t="s">
        <v>8</v>
      </c>
      <c r="S34" s="1554">
        <f t="shared" si="12"/>
        <v>100</v>
      </c>
      <c r="T34" s="1553" t="s">
        <v>8</v>
      </c>
      <c r="U34" s="1554">
        <f t="shared" si="13"/>
        <v>100</v>
      </c>
      <c r="V34" s="1553" t="s">
        <v>8</v>
      </c>
      <c r="W34" s="1554">
        <f t="shared" si="14"/>
        <v>100</v>
      </c>
      <c r="X34" s="1555"/>
      <c r="Y34" s="3473"/>
      <c r="Z34" s="1144" t="str">
        <f t="shared" si="15"/>
        <v>物业管理</v>
      </c>
      <c r="AA34" s="1556">
        <f t="shared" si="3"/>
        <v>1</v>
      </c>
      <c r="AB34" s="1556">
        <f t="shared" si="4"/>
        <v>1</v>
      </c>
      <c r="AC34" s="1556">
        <f t="shared" si="5"/>
        <v>1</v>
      </c>
    </row>
    <row r="35" spans="1:29" ht="15">
      <c r="A35" s="593"/>
      <c r="B35" s="1878"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73" t="s">
        <v>550</v>
      </c>
      <c r="Q35" s="1557" t="str">
        <f t="shared" si="11"/>
        <v>市政基础设施</v>
      </c>
      <c r="R35" s="1558" t="s">
        <v>8</v>
      </c>
      <c r="S35" s="1559">
        <f t="shared" si="12"/>
        <v>100</v>
      </c>
      <c r="T35" s="1558" t="s">
        <v>8</v>
      </c>
      <c r="U35" s="1559">
        <f t="shared" si="13"/>
        <v>100</v>
      </c>
      <c r="V35" s="1558" t="s">
        <v>8</v>
      </c>
      <c r="W35" s="1559">
        <f t="shared" si="14"/>
        <v>100</v>
      </c>
      <c r="X35" s="1552"/>
      <c r="Y35" s="3473" t="s">
        <v>550</v>
      </c>
      <c r="Z35" s="1560" t="str">
        <f t="shared" si="15"/>
        <v>市政基础设施</v>
      </c>
      <c r="AA35" s="1561">
        <f t="shared" si="3"/>
        <v>1</v>
      </c>
      <c r="AB35" s="1561">
        <f t="shared" si="4"/>
        <v>1</v>
      </c>
      <c r="AC35" s="1561">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73"/>
      <c r="Q36" s="1557" t="str">
        <f t="shared" si="11"/>
        <v>内部装修</v>
      </c>
      <c r="R36" s="1558" t="s">
        <v>8</v>
      </c>
      <c r="S36" s="1559">
        <f t="shared" si="12"/>
        <v>100</v>
      </c>
      <c r="T36" s="1558" t="s">
        <v>8</v>
      </c>
      <c r="U36" s="1559">
        <f t="shared" si="13"/>
        <v>100</v>
      </c>
      <c r="V36" s="1558" t="s">
        <v>8</v>
      </c>
      <c r="W36" s="1559">
        <f t="shared" si="14"/>
        <v>100</v>
      </c>
      <c r="X36" s="1552"/>
      <c r="Y36" s="3473"/>
      <c r="Z36" s="1560" t="str">
        <f t="shared" si="15"/>
        <v>内部装修</v>
      </c>
      <c r="AA36" s="1561">
        <f t="shared" si="3"/>
        <v>1</v>
      </c>
      <c r="AB36" s="1561">
        <f t="shared" si="4"/>
        <v>1</v>
      </c>
      <c r="AC36" s="1561">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73"/>
      <c r="Q37" s="1557" t="str">
        <f t="shared" si="11"/>
        <v>内部装修状况</v>
      </c>
      <c r="R37" s="1558" t="s">
        <v>8</v>
      </c>
      <c r="S37" s="1559">
        <f t="shared" si="12"/>
        <v>100</v>
      </c>
      <c r="T37" s="1558" t="s">
        <v>8</v>
      </c>
      <c r="U37" s="1559">
        <f t="shared" si="13"/>
        <v>100</v>
      </c>
      <c r="V37" s="1558" t="s">
        <v>8</v>
      </c>
      <c r="W37" s="1559">
        <f t="shared" si="14"/>
        <v>100</v>
      </c>
      <c r="X37" s="1552"/>
      <c r="Y37" s="3473"/>
      <c r="Z37" s="1560" t="str">
        <f t="shared" si="15"/>
        <v>内部装修状况</v>
      </c>
      <c r="AA37" s="1561">
        <f t="shared" si="3"/>
        <v>1</v>
      </c>
      <c r="AB37" s="1561">
        <f t="shared" si="4"/>
        <v>1</v>
      </c>
      <c r="AC37" s="1561">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73"/>
      <c r="Q38" s="1589">
        <f t="shared" si="11"/>
        <v>111</v>
      </c>
      <c r="R38" s="1562" t="s">
        <v>8</v>
      </c>
      <c r="S38" s="1563">
        <f t="shared" si="12"/>
        <v>100</v>
      </c>
      <c r="T38" s="1562" t="s">
        <v>8</v>
      </c>
      <c r="U38" s="1563">
        <f t="shared" si="13"/>
        <v>100</v>
      </c>
      <c r="V38" s="1562" t="s">
        <v>8</v>
      </c>
      <c r="W38" s="1563">
        <f t="shared" si="14"/>
        <v>100</v>
      </c>
      <c r="X38" s="1564"/>
      <c r="Y38" s="3473"/>
      <c r="Z38" s="1565">
        <f t="shared" si="15"/>
        <v>111</v>
      </c>
      <c r="AA38" s="1561">
        <f t="shared" si="3"/>
        <v>1</v>
      </c>
      <c r="AB38" s="1561">
        <f t="shared" si="4"/>
        <v>1</v>
      </c>
      <c r="AC38" s="1561">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73"/>
      <c r="Q39" s="1557">
        <f t="shared" si="11"/>
        <v>111</v>
      </c>
      <c r="R39" s="1558" t="s">
        <v>8</v>
      </c>
      <c r="S39" s="1559">
        <f t="shared" si="12"/>
        <v>100</v>
      </c>
      <c r="T39" s="1558" t="s">
        <v>8</v>
      </c>
      <c r="U39" s="1559">
        <f t="shared" si="13"/>
        <v>100</v>
      </c>
      <c r="V39" s="1558" t="s">
        <v>8</v>
      </c>
      <c r="W39" s="1559">
        <f t="shared" si="14"/>
        <v>100</v>
      </c>
      <c r="X39" s="1552"/>
      <c r="Y39" s="3473"/>
      <c r="Z39" s="1560">
        <f t="shared" si="15"/>
        <v>111</v>
      </c>
      <c r="AA39" s="1561">
        <f t="shared" si="3"/>
        <v>1</v>
      </c>
      <c r="AB39" s="1561">
        <f t="shared" si="4"/>
        <v>1</v>
      </c>
      <c r="AC39" s="1561">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69"/>
      <c r="Q40" s="1557">
        <f t="shared" si="11"/>
        <v>111</v>
      </c>
      <c r="R40" s="1558" t="s">
        <v>8</v>
      </c>
      <c r="S40" s="1559">
        <f t="shared" si="12"/>
        <v>100</v>
      </c>
      <c r="T40" s="1558" t="s">
        <v>8</v>
      </c>
      <c r="U40" s="1559">
        <f t="shared" si="13"/>
        <v>100</v>
      </c>
      <c r="V40" s="1558" t="s">
        <v>8</v>
      </c>
      <c r="W40" s="1559">
        <f t="shared" si="14"/>
        <v>100</v>
      </c>
      <c r="X40" s="1552"/>
      <c r="Y40" s="3569"/>
      <c r="Z40" s="1560">
        <f t="shared" si="15"/>
        <v>111</v>
      </c>
      <c r="AA40" s="1561">
        <f t="shared" si="3"/>
        <v>1</v>
      </c>
      <c r="AB40" s="1561">
        <f t="shared" si="4"/>
        <v>1</v>
      </c>
      <c r="AC40" s="1561">
        <f t="shared" si="5"/>
        <v>1</v>
      </c>
    </row>
    <row r="41" spans="1:29" ht="15">
      <c r="A41" s="606" t="s">
        <v>736</v>
      </c>
      <c r="B41" s="885"/>
      <c r="C41" s="2589" t="s">
        <v>1</v>
      </c>
      <c r="D41" s="2590"/>
      <c r="E41" s="2591"/>
      <c r="F41" s="2592"/>
      <c r="G41" s="2593"/>
      <c r="H41" s="2594"/>
      <c r="I41" s="2591"/>
      <c r="J41" s="2594"/>
      <c r="K41" s="1595"/>
      <c r="L41" s="2127"/>
      <c r="M41" s="2128"/>
      <c r="N41" s="2117"/>
      <c r="O41" s="2128"/>
      <c r="P41" s="3468" t="str">
        <f>A41</f>
        <v>成交单价（元/平方米）</v>
      </c>
      <c r="Q41" s="3468"/>
      <c r="R41" s="3570">
        <f>E41</f>
        <v>0</v>
      </c>
      <c r="S41" s="3570"/>
      <c r="T41" s="3570">
        <f>G41</f>
        <v>0</v>
      </c>
      <c r="U41" s="3570"/>
      <c r="V41" s="3570">
        <f>I41</f>
        <v>0</v>
      </c>
      <c r="W41" s="3570"/>
      <c r="X41" s="1544"/>
      <c r="Y41" s="1566"/>
      <c r="Z41" s="1544"/>
      <c r="AA41" s="1544"/>
      <c r="AB41" s="1544"/>
      <c r="AC41" s="1544"/>
    </row>
    <row r="42" spans="1:29" ht="15.75" thickBot="1">
      <c r="A42" s="614" t="s">
        <v>2757</v>
      </c>
      <c r="B42" s="886"/>
      <c r="C42" s="2595" t="e">
        <f>R43</f>
        <v>#DIV/0!</v>
      </c>
      <c r="D42" s="2596"/>
      <c r="E42" s="2597" t="e">
        <f>R42</f>
        <v>#DIV/0!</v>
      </c>
      <c r="F42" s="2597"/>
      <c r="G42" s="2595" t="e">
        <f>T42</f>
        <v>#DIV/0!</v>
      </c>
      <c r="H42" s="2596"/>
      <c r="I42" s="2597" t="e">
        <f>V42</f>
        <v>#DIV/0!</v>
      </c>
      <c r="J42" s="2596"/>
      <c r="K42" s="1596"/>
      <c r="L42" s="2127"/>
      <c r="M42" s="2128"/>
      <c r="N42" s="2117"/>
      <c r="O42" s="2128"/>
      <c r="P42" s="3468" t="str">
        <f>A42</f>
        <v>比较价格（元/平方米）</v>
      </c>
      <c r="Q42" s="3468"/>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544"/>
      <c r="Y42" s="1544"/>
      <c r="Z42" s="1544"/>
      <c r="AA42" s="1544"/>
      <c r="AB42" s="1544"/>
      <c r="AC42" s="1544"/>
    </row>
    <row r="43" spans="1:29" ht="15.75" thickBot="1">
      <c r="A43" s="620" t="s">
        <v>2932</v>
      </c>
      <c r="B43" s="621"/>
      <c r="C43" s="2598" t="e">
        <f>R43</f>
        <v>#DIV/0!</v>
      </c>
      <c r="D43" s="2598"/>
      <c r="E43" s="2598"/>
      <c r="F43" s="2598"/>
      <c r="G43" s="2598"/>
      <c r="H43" s="2598"/>
      <c r="I43" s="2598"/>
      <c r="J43" s="2598"/>
      <c r="K43" s="1597"/>
      <c r="L43" s="2127"/>
      <c r="M43" s="2128"/>
      <c r="N43" s="2128"/>
      <c r="O43" s="2128"/>
      <c r="P43" s="3489" t="str">
        <f>A43</f>
        <v>估价对象XX用房的比较价格（楼面单价，元/平方米）</v>
      </c>
      <c r="Q43" s="3490"/>
      <c r="R43" s="3571" t="e">
        <f>IF(F1="售价",ROUND(AVERAGE(R42:V42),0),ROUND(AVERAGE(R42:V42),1))</f>
        <v>#DIV/0!</v>
      </c>
      <c r="S43" s="3571"/>
      <c r="T43" s="3571"/>
      <c r="U43" s="3571"/>
      <c r="V43" s="3571"/>
      <c r="W43" s="3571"/>
      <c r="X43" s="1544"/>
      <c r="Y43" s="1544"/>
      <c r="Z43" s="1544"/>
      <c r="AA43" s="1544"/>
      <c r="AB43" s="1544"/>
      <c r="AC43" s="1544"/>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9" t="s">
        <v>574</v>
      </c>
      <c r="B51" s="1544"/>
      <c r="C51" s="1568"/>
      <c r="D51" s="1568"/>
      <c r="E51" s="1568"/>
      <c r="F51" s="1570"/>
      <c r="G51" s="1570"/>
      <c r="H51" s="1568"/>
      <c r="I51" s="1568"/>
      <c r="J51" s="1568"/>
      <c r="K51" s="1571"/>
      <c r="L51" s="1567"/>
      <c r="M51" s="1568"/>
      <c r="N51" s="1568"/>
      <c r="O51" s="1568"/>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2019-10</v>
      </c>
      <c r="D52" s="2757">
        <f>EDATE(C52,-1)</f>
        <v>43709</v>
      </c>
      <c r="E52" s="2757">
        <f t="shared" ref="E52:O52" si="16">EDATE(D52,-1)</f>
        <v>43678</v>
      </c>
      <c r="F52" s="2757">
        <f t="shared" si="16"/>
        <v>43647</v>
      </c>
      <c r="G52" s="2757">
        <f t="shared" si="16"/>
        <v>43617</v>
      </c>
      <c r="H52" s="2757">
        <f t="shared" si="16"/>
        <v>43586</v>
      </c>
      <c r="I52" s="2757">
        <f t="shared" si="16"/>
        <v>43556</v>
      </c>
      <c r="J52" s="2757">
        <f t="shared" si="16"/>
        <v>43525</v>
      </c>
      <c r="K52" s="2757">
        <f t="shared" si="16"/>
        <v>43497</v>
      </c>
      <c r="L52" s="2757">
        <f t="shared" si="16"/>
        <v>43466</v>
      </c>
      <c r="M52" s="2757">
        <f t="shared" si="16"/>
        <v>43435</v>
      </c>
      <c r="N52" s="2757">
        <f t="shared" si="16"/>
        <v>43405</v>
      </c>
      <c r="O52" s="2757">
        <f t="shared" si="16"/>
        <v>43374</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2555</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2556</v>
      </c>
      <c r="C76" s="2560" t="s">
        <v>2557</v>
      </c>
      <c r="D76" s="2560" t="s">
        <v>2558</v>
      </c>
      <c r="E76" s="2560" t="s">
        <v>2559</v>
      </c>
      <c r="F76" s="2560" t="s">
        <v>2560</v>
      </c>
      <c r="G76" s="2560" t="s">
        <v>2561</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2554</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IF(B37="元/平方米",C39,ROUND(B2*10000/D3,0))</f>
        <v>#DIV/0!</v>
      </c>
      <c r="C3" s="851" t="s">
        <v>796</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4" t="s">
        <v>798</v>
      </c>
      <c r="D4" s="3475"/>
      <c r="E4" s="3474" t="s">
        <v>799</v>
      </c>
      <c r="F4" s="3475"/>
      <c r="G4" s="3474" t="s">
        <v>800</v>
      </c>
      <c r="H4" s="3475"/>
      <c r="I4" s="3474" t="s">
        <v>801</v>
      </c>
      <c r="J4" s="3475"/>
      <c r="K4" s="513" t="s">
        <v>802</v>
      </c>
      <c r="L4" s="2116"/>
      <c r="M4" s="2117"/>
      <c r="N4" s="2117"/>
      <c r="O4" s="2117"/>
      <c r="P4" s="3476" t="s">
        <v>803</v>
      </c>
      <c r="Q4" s="3477"/>
      <c r="R4" s="3462" t="s">
        <v>799</v>
      </c>
      <c r="S4" s="3463"/>
      <c r="T4" s="3462" t="s">
        <v>800</v>
      </c>
      <c r="U4" s="3463"/>
      <c r="V4" s="3482" t="s">
        <v>801</v>
      </c>
      <c r="W4" s="3482"/>
      <c r="X4" s="1552"/>
      <c r="Y4" s="3462" t="s">
        <v>803</v>
      </c>
      <c r="Z4" s="3463"/>
      <c r="AA4" s="3457" t="s">
        <v>799</v>
      </c>
      <c r="AB4" s="3458" t="s">
        <v>800</v>
      </c>
      <c r="AC4" s="3457" t="s">
        <v>801</v>
      </c>
    </row>
    <row r="5" spans="1:29" ht="15">
      <c r="A5" s="514"/>
      <c r="B5" s="515"/>
      <c r="C5" s="3485" t="s">
        <v>2926</v>
      </c>
      <c r="D5" s="3486"/>
      <c r="E5" s="3485" t="s">
        <v>2927</v>
      </c>
      <c r="F5" s="3486"/>
      <c r="G5" s="3485" t="s">
        <v>2928</v>
      </c>
      <c r="H5" s="3486"/>
      <c r="I5" s="3485" t="s">
        <v>2929</v>
      </c>
      <c r="J5" s="3486"/>
      <c r="K5" s="513"/>
      <c r="L5" s="2116"/>
      <c r="M5" s="2117"/>
      <c r="N5" s="2117"/>
      <c r="O5" s="2117"/>
      <c r="P5" s="3478"/>
      <c r="Q5" s="3479"/>
      <c r="R5" s="3464"/>
      <c r="S5" s="3465"/>
      <c r="T5" s="3464"/>
      <c r="U5" s="3465"/>
      <c r="V5" s="3482"/>
      <c r="W5" s="3482"/>
      <c r="X5" s="1552"/>
      <c r="Y5" s="3464"/>
      <c r="Z5" s="3465"/>
      <c r="AA5" s="3458"/>
      <c r="AB5" s="3458"/>
      <c r="AC5" s="3458"/>
    </row>
    <row r="6" spans="1:29" ht="15.75" thickBot="1">
      <c r="A6" s="516"/>
      <c r="B6" s="517"/>
      <c r="C6" s="3483" t="s">
        <v>2930</v>
      </c>
      <c r="D6" s="3484"/>
      <c r="E6" s="3487" t="s">
        <v>2930</v>
      </c>
      <c r="F6" s="3488"/>
      <c r="G6" s="3483" t="s">
        <v>2930</v>
      </c>
      <c r="H6" s="3484"/>
      <c r="I6" s="3483" t="s">
        <v>2930</v>
      </c>
      <c r="J6" s="3484"/>
      <c r="K6" s="513" t="s">
        <v>528</v>
      </c>
      <c r="L6" s="2116"/>
      <c r="M6" s="2117"/>
      <c r="N6" s="2117"/>
      <c r="O6" s="2117"/>
      <c r="P6" s="3480"/>
      <c r="Q6" s="3481"/>
      <c r="R6" s="3464"/>
      <c r="S6" s="3465"/>
      <c r="T6" s="3466"/>
      <c r="U6" s="3467"/>
      <c r="V6" s="3482"/>
      <c r="W6" s="3482"/>
      <c r="X6" s="1552"/>
      <c r="Y6" s="3466"/>
      <c r="Z6" s="3467"/>
      <c r="AA6" s="3459"/>
      <c r="AB6" s="3459"/>
      <c r="AC6" s="3459"/>
    </row>
    <row r="7" spans="1:29" s="1214" customFormat="1" ht="15.75" thickBot="1">
      <c r="A7" s="2865"/>
      <c r="B7" s="2872" t="s">
        <v>529</v>
      </c>
      <c r="C7" s="518">
        <f>'数据-取费表'!B2</f>
        <v>43763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60" t="s">
        <v>530</v>
      </c>
      <c r="Q7" s="3469"/>
      <c r="R7" s="1553" t="s">
        <v>8</v>
      </c>
      <c r="S7" s="1554">
        <f t="shared" ref="S7:S14" si="0">F7</f>
        <v>0</v>
      </c>
      <c r="T7" s="1553" t="s">
        <v>8</v>
      </c>
      <c r="U7" s="1554">
        <f t="shared" ref="U7:U14" si="1">H7</f>
        <v>0</v>
      </c>
      <c r="V7" s="1553" t="s">
        <v>8</v>
      </c>
      <c r="W7" s="1554">
        <f t="shared" ref="W7:W14" si="2">J7</f>
        <v>0</v>
      </c>
      <c r="X7" s="1555"/>
      <c r="Y7" s="3460" t="s">
        <v>530</v>
      </c>
      <c r="Z7" s="3461"/>
      <c r="AA7" s="1556" t="e">
        <f>D7/F7</f>
        <v>#DIV/0!</v>
      </c>
      <c r="AB7" s="1556" t="e">
        <f>D7/H7</f>
        <v>#DIV/0!</v>
      </c>
      <c r="AC7" s="1556"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60" t="s">
        <v>533</v>
      </c>
      <c r="Q8" s="3461"/>
      <c r="R8" s="1553" t="s">
        <v>8</v>
      </c>
      <c r="S8" s="1554">
        <f t="shared" si="0"/>
        <v>0</v>
      </c>
      <c r="T8" s="1553" t="s">
        <v>8</v>
      </c>
      <c r="U8" s="1554">
        <f t="shared" si="1"/>
        <v>0</v>
      </c>
      <c r="V8" s="1553" t="s">
        <v>8</v>
      </c>
      <c r="W8" s="1554">
        <f t="shared" si="2"/>
        <v>0</v>
      </c>
      <c r="X8" s="1555"/>
      <c r="Y8" s="3460" t="s">
        <v>533</v>
      </c>
      <c r="Z8" s="3461"/>
      <c r="AA8" s="1556" t="e">
        <f t="shared" ref="AA8:AA36" si="3">D8/F8</f>
        <v>#DIV/0!</v>
      </c>
      <c r="AB8" s="1556" t="e">
        <f t="shared" ref="AB8:AB36" si="4">D8/H8</f>
        <v>#DIV/0!</v>
      </c>
      <c r="AC8" s="1556" t="e">
        <f t="shared" ref="AC8:AC36" si="5">D8/J8</f>
        <v>#DIV/0!</v>
      </c>
    </row>
    <row r="9" spans="1:29" s="1214" customFormat="1" ht="15">
      <c r="A9" s="2867"/>
      <c r="B9" s="2874" t="s">
        <v>2753</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68" t="s">
        <v>535</v>
      </c>
      <c r="Q9" s="1145" t="str">
        <f t="shared" ref="Q9:Q14" si="6">B9</f>
        <v>用途</v>
      </c>
      <c r="R9" s="1553" t="s">
        <v>8</v>
      </c>
      <c r="S9" s="1554">
        <f t="shared" si="0"/>
        <v>100</v>
      </c>
      <c r="T9" s="1553" t="s">
        <v>8</v>
      </c>
      <c r="U9" s="1554">
        <f t="shared" si="1"/>
        <v>100</v>
      </c>
      <c r="V9" s="1553" t="s">
        <v>8</v>
      </c>
      <c r="W9" s="1554">
        <f t="shared" si="2"/>
        <v>100</v>
      </c>
      <c r="X9" s="1555"/>
      <c r="Y9" s="3425" t="s">
        <v>536</v>
      </c>
      <c r="Z9" s="1144" t="str">
        <f t="shared" ref="Z9:Z14" si="7">Q9</f>
        <v>用途</v>
      </c>
      <c r="AA9" s="1556">
        <f t="shared" si="3"/>
        <v>1</v>
      </c>
      <c r="AB9" s="1556">
        <f t="shared" si="4"/>
        <v>1</v>
      </c>
      <c r="AC9" s="1556">
        <f t="shared" si="5"/>
        <v>1</v>
      </c>
    </row>
    <row r="10" spans="1:29" s="1332" customFormat="1" ht="27">
      <c r="A10" s="2868"/>
      <c r="B10" s="2873" t="s">
        <v>2754</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68"/>
      <c r="Q11" s="1145">
        <f t="shared" si="6"/>
        <v>111</v>
      </c>
      <c r="R11" s="1553" t="s">
        <v>8</v>
      </c>
      <c r="S11" s="1554">
        <f t="shared" si="0"/>
        <v>100</v>
      </c>
      <c r="T11" s="1553" t="s">
        <v>8</v>
      </c>
      <c r="U11" s="1554">
        <f t="shared" si="1"/>
        <v>100</v>
      </c>
      <c r="V11" s="1553" t="s">
        <v>8</v>
      </c>
      <c r="W11" s="1554">
        <f t="shared" si="2"/>
        <v>100</v>
      </c>
      <c r="X11" s="1555"/>
      <c r="Y11" s="3425"/>
      <c r="Z11" s="1144">
        <f t="shared" si="7"/>
        <v>111</v>
      </c>
      <c r="AA11" s="1556">
        <f t="shared" si="3"/>
        <v>1</v>
      </c>
      <c r="AB11" s="1556">
        <f t="shared" si="4"/>
        <v>1</v>
      </c>
      <c r="AC11" s="1556">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68"/>
      <c r="Q12" s="1145">
        <f t="shared" si="6"/>
        <v>111</v>
      </c>
      <c r="R12" s="1553" t="s">
        <v>8</v>
      </c>
      <c r="S12" s="1554">
        <f t="shared" si="0"/>
        <v>100</v>
      </c>
      <c r="T12" s="1553" t="s">
        <v>8</v>
      </c>
      <c r="U12" s="1554">
        <f t="shared" si="1"/>
        <v>100</v>
      </c>
      <c r="V12" s="1553" t="s">
        <v>8</v>
      </c>
      <c r="W12" s="1554">
        <f t="shared" si="2"/>
        <v>100</v>
      </c>
      <c r="X12" s="1555"/>
      <c r="Y12" s="3425"/>
      <c r="Z12" s="1144">
        <f t="shared" si="7"/>
        <v>111</v>
      </c>
      <c r="AA12" s="1556">
        <f>D12/F12</f>
        <v>1</v>
      </c>
      <c r="AB12" s="1556">
        <f>D12/H12</f>
        <v>1</v>
      </c>
      <c r="AC12" s="1556">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68"/>
      <c r="Q13" s="1145">
        <f t="shared" si="6"/>
        <v>111</v>
      </c>
      <c r="R13" s="1553" t="s">
        <v>8</v>
      </c>
      <c r="S13" s="1554">
        <f t="shared" si="0"/>
        <v>100</v>
      </c>
      <c r="T13" s="1553" t="s">
        <v>8</v>
      </c>
      <c r="U13" s="1554">
        <f t="shared" si="1"/>
        <v>100</v>
      </c>
      <c r="V13" s="1553" t="s">
        <v>8</v>
      </c>
      <c r="W13" s="1554">
        <f t="shared" si="2"/>
        <v>100</v>
      </c>
      <c r="X13" s="1555"/>
      <c r="Y13" s="3425"/>
      <c r="Z13" s="1144">
        <f t="shared" si="7"/>
        <v>111</v>
      </c>
      <c r="AA13" s="1556">
        <f t="shared" si="3"/>
        <v>1</v>
      </c>
      <c r="AB13" s="1556">
        <f t="shared" si="4"/>
        <v>1</v>
      </c>
      <c r="AC13" s="1556">
        <f t="shared" si="5"/>
        <v>1</v>
      </c>
    </row>
    <row r="14" spans="1:29" ht="85.5">
      <c r="A14" s="2863" t="s">
        <v>2751</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470" t="s">
        <v>540</v>
      </c>
      <c r="Q14" s="1557" t="str">
        <f t="shared" si="6"/>
        <v>交通便捷度</v>
      </c>
      <c r="R14" s="1558" t="s">
        <v>8</v>
      </c>
      <c r="S14" s="1559">
        <f t="shared" si="0"/>
        <v>100</v>
      </c>
      <c r="T14" s="1558" t="s">
        <v>8</v>
      </c>
      <c r="U14" s="1559">
        <f t="shared" si="1"/>
        <v>100</v>
      </c>
      <c r="V14" s="1558" t="s">
        <v>8</v>
      </c>
      <c r="W14" s="1559">
        <f t="shared" si="2"/>
        <v>100</v>
      </c>
      <c r="X14" s="1552"/>
      <c r="Y14" s="3470" t="s">
        <v>540</v>
      </c>
      <c r="Z14" s="1560" t="str">
        <f t="shared" si="7"/>
        <v>交通便捷度</v>
      </c>
      <c r="AA14" s="1561">
        <f t="shared" si="3"/>
        <v>1</v>
      </c>
      <c r="AB14" s="1561">
        <f t="shared" si="4"/>
        <v>1</v>
      </c>
      <c r="AC14" s="1561">
        <f t="shared" si="5"/>
        <v>1</v>
      </c>
    </row>
    <row r="15" spans="1:29" ht="15">
      <c r="A15" s="514"/>
      <c r="B15" s="922"/>
      <c r="C15" s="575"/>
      <c r="D15" s="554"/>
      <c r="E15" s="575"/>
      <c r="F15" s="556"/>
      <c r="G15" s="575"/>
      <c r="H15" s="558"/>
      <c r="I15" s="575"/>
      <c r="J15" s="554"/>
      <c r="K15" s="897"/>
      <c r="L15" s="2125"/>
      <c r="M15" s="2117"/>
      <c r="N15" s="2117"/>
      <c r="O15" s="2124"/>
      <c r="P15" s="3471"/>
      <c r="Q15" s="1557"/>
      <c r="R15" s="1558"/>
      <c r="S15" s="1559"/>
      <c r="T15" s="1558"/>
      <c r="U15" s="1559"/>
      <c r="V15" s="1558"/>
      <c r="W15" s="1559"/>
      <c r="X15" s="1552"/>
      <c r="Y15" s="3471"/>
      <c r="Z15" s="1560"/>
      <c r="AA15" s="1561">
        <v>1</v>
      </c>
      <c r="AB15" s="1561">
        <v>1</v>
      </c>
      <c r="AC15" s="1561">
        <v>1</v>
      </c>
    </row>
    <row r="16" spans="1:29" ht="42.75">
      <c r="A16" s="514"/>
      <c r="B16" s="2565"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471"/>
      <c r="Q16" s="1557" t="str">
        <f>B16</f>
        <v>公共配套设施</v>
      </c>
      <c r="R16" s="1558" t="s">
        <v>8</v>
      </c>
      <c r="S16" s="1559">
        <f>F16</f>
        <v>100</v>
      </c>
      <c r="T16" s="1558" t="s">
        <v>8</v>
      </c>
      <c r="U16" s="1559">
        <f>H16</f>
        <v>100</v>
      </c>
      <c r="V16" s="1558" t="s">
        <v>8</v>
      </c>
      <c r="W16" s="1559">
        <f>J16</f>
        <v>100</v>
      </c>
      <c r="X16" s="1552"/>
      <c r="Y16" s="3471"/>
      <c r="Z16" s="1560" t="str">
        <f>Q16</f>
        <v>公共配套设施</v>
      </c>
      <c r="AA16" s="1561">
        <f t="shared" si="3"/>
        <v>1</v>
      </c>
      <c r="AB16" s="1561">
        <f t="shared" si="4"/>
        <v>1</v>
      </c>
      <c r="AC16" s="1561">
        <f t="shared" si="5"/>
        <v>1</v>
      </c>
    </row>
    <row r="17" spans="1:29" ht="15">
      <c r="A17" s="514"/>
      <c r="B17" s="565"/>
      <c r="C17" s="872"/>
      <c r="D17" s="554"/>
      <c r="E17" s="575"/>
      <c r="F17" s="556"/>
      <c r="G17" s="575"/>
      <c r="H17" s="554"/>
      <c r="I17" s="575"/>
      <c r="J17" s="554"/>
      <c r="K17" s="897"/>
      <c r="L17" s="2125"/>
      <c r="M17" s="2117"/>
      <c r="N17" s="2117"/>
      <c r="O17" s="2124"/>
      <c r="P17" s="3471"/>
      <c r="Q17" s="1557"/>
      <c r="R17" s="1558"/>
      <c r="S17" s="1559"/>
      <c r="T17" s="1558"/>
      <c r="U17" s="1559"/>
      <c r="V17" s="1558"/>
      <c r="W17" s="1559"/>
      <c r="X17" s="1552"/>
      <c r="Y17" s="3471"/>
      <c r="Z17" s="1560"/>
      <c r="AA17" s="1561">
        <v>1</v>
      </c>
      <c r="AB17" s="1561">
        <v>1</v>
      </c>
      <c r="AC17" s="1561">
        <v>1</v>
      </c>
    </row>
    <row r="18" spans="1:29" ht="28.5">
      <c r="A18" s="514"/>
      <c r="B18" s="2553"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471"/>
      <c r="Q18" s="2541" t="str">
        <f>B18</f>
        <v>基础设施水平</v>
      </c>
      <c r="R18" s="1558" t="s">
        <v>8</v>
      </c>
      <c r="S18" s="1559">
        <f>F18</f>
        <v>100</v>
      </c>
      <c r="T18" s="1558" t="s">
        <v>8</v>
      </c>
      <c r="U18" s="1559">
        <f>H18</f>
        <v>100</v>
      </c>
      <c r="V18" s="1558" t="s">
        <v>8</v>
      </c>
      <c r="W18" s="1559">
        <f>J18</f>
        <v>100</v>
      </c>
      <c r="X18" s="2543"/>
      <c r="Y18" s="3471"/>
      <c r="Z18" s="2542" t="str">
        <f>Q18</f>
        <v>基础设施水平</v>
      </c>
      <c r="AA18" s="1561">
        <f t="shared" ref="AA18" si="8">D18/F18</f>
        <v>1</v>
      </c>
      <c r="AB18" s="1561">
        <f t="shared" ref="AB18" si="9">D18/H18</f>
        <v>1</v>
      </c>
      <c r="AC18" s="1561">
        <f t="shared" ref="AC18" si="10">D18/J18</f>
        <v>1</v>
      </c>
    </row>
    <row r="19" spans="1:29" ht="15">
      <c r="A19" s="514"/>
      <c r="B19" s="577"/>
      <c r="C19" s="872"/>
      <c r="D19" s="558"/>
      <c r="E19" s="575"/>
      <c r="F19" s="556"/>
      <c r="G19" s="575"/>
      <c r="H19" s="554"/>
      <c r="I19" s="575"/>
      <c r="J19" s="554"/>
      <c r="K19" s="2564"/>
      <c r="L19" s="2125"/>
      <c r="M19" s="2117"/>
      <c r="N19" s="2117"/>
      <c r="O19" s="2124"/>
      <c r="P19" s="3471"/>
      <c r="Q19" s="2541"/>
      <c r="R19" s="1558"/>
      <c r="S19" s="1559"/>
      <c r="T19" s="1558"/>
      <c r="U19" s="1559"/>
      <c r="V19" s="1558"/>
      <c r="W19" s="1559"/>
      <c r="X19" s="2543"/>
      <c r="Y19" s="3471"/>
      <c r="Z19" s="2542"/>
      <c r="AA19" s="1561">
        <v>1</v>
      </c>
      <c r="AB19" s="1561">
        <v>1</v>
      </c>
      <c r="AC19" s="1561">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471"/>
      <c r="Q20" s="1557" t="str">
        <f>B20</f>
        <v>自然及人文环境</v>
      </c>
      <c r="R20" s="1558" t="s">
        <v>8</v>
      </c>
      <c r="S20" s="1559">
        <f>F20</f>
        <v>100</v>
      </c>
      <c r="T20" s="1558" t="s">
        <v>8</v>
      </c>
      <c r="U20" s="1559">
        <f>H20</f>
        <v>100</v>
      </c>
      <c r="V20" s="1558" t="s">
        <v>8</v>
      </c>
      <c r="W20" s="1559">
        <f>J20</f>
        <v>100</v>
      </c>
      <c r="X20" s="1552"/>
      <c r="Y20" s="3471"/>
      <c r="Z20" s="1560" t="str">
        <f>Q20</f>
        <v>自然及人文环境</v>
      </c>
      <c r="AA20" s="1561">
        <f t="shared" si="3"/>
        <v>1</v>
      </c>
      <c r="AB20" s="1561">
        <f t="shared" si="4"/>
        <v>1</v>
      </c>
      <c r="AC20" s="1561">
        <f t="shared" si="5"/>
        <v>1</v>
      </c>
    </row>
    <row r="21" spans="1:29" ht="15">
      <c r="A21" s="514"/>
      <c r="B21" s="565"/>
      <c r="C21" s="575"/>
      <c r="D21" s="554"/>
      <c r="E21" s="575"/>
      <c r="F21" s="556"/>
      <c r="G21" s="575"/>
      <c r="H21" s="554"/>
      <c r="I21" s="575"/>
      <c r="J21" s="554"/>
      <c r="K21" s="897"/>
      <c r="L21" s="2125"/>
      <c r="M21" s="2117"/>
      <c r="N21" s="2117"/>
      <c r="O21" s="2124"/>
      <c r="P21" s="3471"/>
      <c r="Q21" s="1557"/>
      <c r="R21" s="1558"/>
      <c r="S21" s="1559"/>
      <c r="T21" s="1558"/>
      <c r="U21" s="1559"/>
      <c r="V21" s="1558"/>
      <c r="W21" s="1559"/>
      <c r="X21" s="1552"/>
      <c r="Y21" s="3471"/>
      <c r="Z21" s="1560"/>
      <c r="AA21" s="1561">
        <v>1</v>
      </c>
      <c r="AB21" s="1561">
        <v>1</v>
      </c>
      <c r="AC21" s="1561">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71"/>
      <c r="Q22" s="1557" t="str">
        <f>B22</f>
        <v>楼层</v>
      </c>
      <c r="R22" s="1558" t="s">
        <v>8</v>
      </c>
      <c r="S22" s="1559">
        <f>F22</f>
        <v>100</v>
      </c>
      <c r="T22" s="1558" t="s">
        <v>8</v>
      </c>
      <c r="U22" s="1559">
        <f>H22</f>
        <v>100</v>
      </c>
      <c r="V22" s="1558" t="s">
        <v>8</v>
      </c>
      <c r="W22" s="1559">
        <f>J22</f>
        <v>100</v>
      </c>
      <c r="X22" s="1552"/>
      <c r="Y22" s="3471"/>
      <c r="Z22" s="1560" t="str">
        <f>Q22</f>
        <v>楼层</v>
      </c>
      <c r="AA22" s="1561">
        <f t="shared" si="3"/>
        <v>1</v>
      </c>
      <c r="AB22" s="1561">
        <f t="shared" si="4"/>
        <v>1</v>
      </c>
      <c r="AC22" s="1561">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71"/>
      <c r="Q23" s="1557">
        <f>B23</f>
        <v>111</v>
      </c>
      <c r="R23" s="1558" t="s">
        <v>8</v>
      </c>
      <c r="S23" s="1559">
        <f>F23</f>
        <v>100</v>
      </c>
      <c r="T23" s="1558" t="s">
        <v>8</v>
      </c>
      <c r="U23" s="1559">
        <f>H23</f>
        <v>100</v>
      </c>
      <c r="V23" s="1558" t="s">
        <v>8</v>
      </c>
      <c r="W23" s="1559">
        <f>J23</f>
        <v>100</v>
      </c>
      <c r="X23" s="1552"/>
      <c r="Y23" s="3471"/>
      <c r="Z23" s="1560">
        <f>Q23</f>
        <v>111</v>
      </c>
      <c r="AA23" s="1561">
        <f t="shared" si="3"/>
        <v>1</v>
      </c>
      <c r="AB23" s="1561">
        <f t="shared" si="4"/>
        <v>1</v>
      </c>
      <c r="AC23" s="1561">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71"/>
      <c r="Q24" s="1557">
        <f t="shared" ref="Q24:Q36" si="11">B24</f>
        <v>111</v>
      </c>
      <c r="R24" s="1558" t="s">
        <v>8</v>
      </c>
      <c r="S24" s="1559">
        <f>F24</f>
        <v>100</v>
      </c>
      <c r="T24" s="1558" t="s">
        <v>8</v>
      </c>
      <c r="U24" s="1559">
        <f>H24</f>
        <v>100</v>
      </c>
      <c r="V24" s="1558" t="s">
        <v>8</v>
      </c>
      <c r="W24" s="1559">
        <f>J24</f>
        <v>100</v>
      </c>
      <c r="X24" s="1552"/>
      <c r="Y24" s="3471"/>
      <c r="Z24" s="1560">
        <f>Q24</f>
        <v>111</v>
      </c>
      <c r="AA24" s="1561">
        <f t="shared" si="3"/>
        <v>1</v>
      </c>
      <c r="AB24" s="1561">
        <f t="shared" si="4"/>
        <v>1</v>
      </c>
      <c r="AC24" s="1561">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71"/>
      <c r="Q25" s="1145">
        <f t="shared" si="11"/>
        <v>111</v>
      </c>
      <c r="R25" s="1553" t="s">
        <v>8</v>
      </c>
      <c r="S25" s="1554">
        <f>F25</f>
        <v>100</v>
      </c>
      <c r="T25" s="1553" t="s">
        <v>8</v>
      </c>
      <c r="U25" s="1554">
        <f>H25</f>
        <v>100</v>
      </c>
      <c r="V25" s="1553" t="s">
        <v>8</v>
      </c>
      <c r="W25" s="1554">
        <f>J25</f>
        <v>100</v>
      </c>
      <c r="X25" s="1555"/>
      <c r="Y25" s="3471"/>
      <c r="Z25" s="1144">
        <f>Q25</f>
        <v>111</v>
      </c>
      <c r="AA25" s="1561">
        <f>D25/F25</f>
        <v>1</v>
      </c>
      <c r="AB25" s="1561">
        <f>D25/H25</f>
        <v>1</v>
      </c>
      <c r="AC25" s="1561">
        <f>D25/J25</f>
        <v>1</v>
      </c>
    </row>
    <row r="26" spans="1:29" ht="15">
      <c r="A26" s="2860" t="s">
        <v>2752</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7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73" t="s">
        <v>550</v>
      </c>
      <c r="Z26" s="1560" t="str">
        <f t="shared" ref="Z26:Z36" si="15">Q26</f>
        <v>配套类型</v>
      </c>
      <c r="AA26" s="1561">
        <f t="shared" si="3"/>
        <v>1</v>
      </c>
      <c r="AB26" s="1561">
        <f t="shared" si="4"/>
        <v>1</v>
      </c>
      <c r="AC26" s="1561">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73"/>
      <c r="Q27" s="1589" t="str">
        <f t="shared" si="11"/>
        <v>项目停车位配比</v>
      </c>
      <c r="R27" s="1562" t="s">
        <v>8</v>
      </c>
      <c r="S27" s="1563">
        <f t="shared" si="12"/>
        <v>100</v>
      </c>
      <c r="T27" s="1562" t="s">
        <v>8</v>
      </c>
      <c r="U27" s="1563">
        <f t="shared" si="13"/>
        <v>100</v>
      </c>
      <c r="V27" s="1562" t="s">
        <v>8</v>
      </c>
      <c r="W27" s="1563">
        <f t="shared" si="14"/>
        <v>100</v>
      </c>
      <c r="X27" s="1564"/>
      <c r="Y27" s="3473"/>
      <c r="Z27" s="1565" t="str">
        <f t="shared" si="15"/>
        <v>项目停车位配比</v>
      </c>
      <c r="AA27" s="1561">
        <f t="shared" si="3"/>
        <v>1</v>
      </c>
      <c r="AB27" s="1561">
        <f t="shared" si="4"/>
        <v>1</v>
      </c>
      <c r="AC27" s="1561">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73"/>
      <c r="Q28" s="1557" t="str">
        <f t="shared" si="11"/>
        <v>公共部分装修</v>
      </c>
      <c r="R28" s="1558" t="s">
        <v>8</v>
      </c>
      <c r="S28" s="1559">
        <f t="shared" si="12"/>
        <v>100</v>
      </c>
      <c r="T28" s="1558" t="s">
        <v>8</v>
      </c>
      <c r="U28" s="1559">
        <f t="shared" si="13"/>
        <v>100</v>
      </c>
      <c r="V28" s="1558" t="s">
        <v>8</v>
      </c>
      <c r="W28" s="1559">
        <f t="shared" si="14"/>
        <v>100</v>
      </c>
      <c r="X28" s="1552"/>
      <c r="Y28" s="3473"/>
      <c r="Z28" s="1560" t="str">
        <f t="shared" si="15"/>
        <v>公共部分装修</v>
      </c>
      <c r="AA28" s="1561">
        <f t="shared" si="3"/>
        <v>1</v>
      </c>
      <c r="AB28" s="1561">
        <f t="shared" si="4"/>
        <v>1</v>
      </c>
      <c r="AC28" s="1561">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473"/>
      <c r="Q29" s="1557" t="str">
        <f t="shared" si="11"/>
        <v>成新率</v>
      </c>
      <c r="R29" s="1558" t="s">
        <v>8</v>
      </c>
      <c r="S29" s="1559" t="e">
        <f t="shared" si="12"/>
        <v>#N/A</v>
      </c>
      <c r="T29" s="1558" t="s">
        <v>8</v>
      </c>
      <c r="U29" s="1559" t="e">
        <f t="shared" si="13"/>
        <v>#N/A</v>
      </c>
      <c r="V29" s="1558" t="s">
        <v>8</v>
      </c>
      <c r="W29" s="1559" t="e">
        <f t="shared" si="14"/>
        <v>#N/A</v>
      </c>
      <c r="X29" s="1552"/>
      <c r="Y29" s="3473"/>
      <c r="Z29" s="1560" t="str">
        <f t="shared" si="15"/>
        <v>成新率</v>
      </c>
      <c r="AA29" s="1561" t="e">
        <f t="shared" si="3"/>
        <v>#N/A</v>
      </c>
      <c r="AB29" s="1561" t="e">
        <f t="shared" si="4"/>
        <v>#N/A</v>
      </c>
      <c r="AC29" s="1561"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473"/>
      <c r="Q30" s="1557" t="str">
        <f t="shared" si="11"/>
        <v>物业等级</v>
      </c>
      <c r="R30" s="1558" t="s">
        <v>8</v>
      </c>
      <c r="S30" s="1559">
        <f t="shared" si="12"/>
        <v>100</v>
      </c>
      <c r="T30" s="1558" t="s">
        <v>8</v>
      </c>
      <c r="U30" s="1559">
        <f t="shared" si="13"/>
        <v>100</v>
      </c>
      <c r="V30" s="1558" t="s">
        <v>8</v>
      </c>
      <c r="W30" s="1559">
        <f t="shared" si="14"/>
        <v>100</v>
      </c>
      <c r="X30" s="1552"/>
      <c r="Y30" s="3473"/>
      <c r="Z30" s="1560" t="str">
        <f t="shared" si="15"/>
        <v>物业等级</v>
      </c>
      <c r="AA30" s="1561">
        <f t="shared" si="3"/>
        <v>1</v>
      </c>
      <c r="AB30" s="1561">
        <f t="shared" si="4"/>
        <v>1</v>
      </c>
      <c r="AC30" s="1561">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473"/>
      <c r="Q31" s="1145" t="str">
        <f t="shared" si="11"/>
        <v>停车位面积</v>
      </c>
      <c r="R31" s="1553" t="s">
        <v>8</v>
      </c>
      <c r="S31" s="1554" t="e">
        <f t="shared" si="12"/>
        <v>#N/A</v>
      </c>
      <c r="T31" s="1553" t="s">
        <v>8</v>
      </c>
      <c r="U31" s="1554" t="e">
        <f t="shared" si="13"/>
        <v>#N/A</v>
      </c>
      <c r="V31" s="1553" t="s">
        <v>8</v>
      </c>
      <c r="W31" s="1554" t="e">
        <f t="shared" si="14"/>
        <v>#N/A</v>
      </c>
      <c r="X31" s="1555"/>
      <c r="Y31" s="3473"/>
      <c r="Z31" s="1144" t="str">
        <f t="shared" si="15"/>
        <v>停车位面积</v>
      </c>
      <c r="AA31" s="1556" t="e">
        <f t="shared" si="3"/>
        <v>#N/A</v>
      </c>
      <c r="AB31" s="1556" t="e">
        <f t="shared" si="4"/>
        <v>#N/A</v>
      </c>
      <c r="AC31" s="1556"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73" t="s">
        <v>550</v>
      </c>
      <c r="Q32" s="1557" t="str">
        <f t="shared" si="11"/>
        <v>车位类型</v>
      </c>
      <c r="R32" s="1558" t="s">
        <v>8</v>
      </c>
      <c r="S32" s="1559">
        <f t="shared" si="12"/>
        <v>100</v>
      </c>
      <c r="T32" s="1558" t="s">
        <v>8</v>
      </c>
      <c r="U32" s="1559">
        <f t="shared" si="13"/>
        <v>100</v>
      </c>
      <c r="V32" s="1558" t="s">
        <v>8</v>
      </c>
      <c r="W32" s="1559">
        <f t="shared" si="14"/>
        <v>100</v>
      </c>
      <c r="X32" s="1552"/>
      <c r="Y32" s="3473" t="s">
        <v>550</v>
      </c>
      <c r="Z32" s="1560" t="str">
        <f t="shared" si="15"/>
        <v>车位类型</v>
      </c>
      <c r="AA32" s="1561">
        <f t="shared" si="3"/>
        <v>1</v>
      </c>
      <c r="AB32" s="1561">
        <f t="shared" si="4"/>
        <v>1</v>
      </c>
      <c r="AC32" s="1561">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73"/>
      <c r="Q33" s="1557" t="str">
        <f t="shared" si="11"/>
        <v>是否直接入户</v>
      </c>
      <c r="R33" s="1558" t="s">
        <v>8</v>
      </c>
      <c r="S33" s="1559">
        <f t="shared" si="12"/>
        <v>100</v>
      </c>
      <c r="T33" s="1558" t="s">
        <v>8</v>
      </c>
      <c r="U33" s="1559">
        <f t="shared" si="13"/>
        <v>100</v>
      </c>
      <c r="V33" s="1558" t="s">
        <v>8</v>
      </c>
      <c r="W33" s="1559">
        <f t="shared" si="14"/>
        <v>100</v>
      </c>
      <c r="X33" s="1552"/>
      <c r="Y33" s="3473"/>
      <c r="Z33" s="1560" t="str">
        <f t="shared" si="15"/>
        <v>是否直接入户</v>
      </c>
      <c r="AA33" s="1561">
        <f t="shared" si="3"/>
        <v>1</v>
      </c>
      <c r="AB33" s="1561">
        <f t="shared" si="4"/>
        <v>1</v>
      </c>
      <c r="AC33" s="1561">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73"/>
      <c r="Q34" s="1557">
        <f t="shared" si="11"/>
        <v>111</v>
      </c>
      <c r="R34" s="1558" t="s">
        <v>8</v>
      </c>
      <c r="S34" s="1559">
        <f t="shared" si="12"/>
        <v>100</v>
      </c>
      <c r="T34" s="1558" t="s">
        <v>8</v>
      </c>
      <c r="U34" s="1559">
        <f t="shared" si="13"/>
        <v>100</v>
      </c>
      <c r="V34" s="1558" t="s">
        <v>8</v>
      </c>
      <c r="W34" s="1559">
        <f t="shared" si="14"/>
        <v>100</v>
      </c>
      <c r="X34" s="1552"/>
      <c r="Y34" s="3473"/>
      <c r="Z34" s="1560">
        <f t="shared" si="15"/>
        <v>111</v>
      </c>
      <c r="AA34" s="1561">
        <f t="shared" si="3"/>
        <v>1</v>
      </c>
      <c r="AB34" s="1561">
        <f t="shared" si="4"/>
        <v>1</v>
      </c>
      <c r="AC34" s="1561">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73"/>
      <c r="Q35" s="1589">
        <f t="shared" si="11"/>
        <v>111</v>
      </c>
      <c r="R35" s="1562" t="s">
        <v>8</v>
      </c>
      <c r="S35" s="1563">
        <f t="shared" si="12"/>
        <v>100</v>
      </c>
      <c r="T35" s="1562" t="s">
        <v>8</v>
      </c>
      <c r="U35" s="1563">
        <f t="shared" si="13"/>
        <v>100</v>
      </c>
      <c r="V35" s="1562" t="s">
        <v>8</v>
      </c>
      <c r="W35" s="1563">
        <f t="shared" si="14"/>
        <v>100</v>
      </c>
      <c r="X35" s="1564"/>
      <c r="Y35" s="3473"/>
      <c r="Z35" s="1565">
        <f t="shared" si="15"/>
        <v>111</v>
      </c>
      <c r="AA35" s="1561">
        <f t="shared" si="3"/>
        <v>1</v>
      </c>
      <c r="AB35" s="1561">
        <f t="shared" si="4"/>
        <v>1</v>
      </c>
      <c r="AC35" s="1561">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73"/>
      <c r="Q36" s="1557">
        <f t="shared" si="11"/>
        <v>111</v>
      </c>
      <c r="R36" s="1558" t="s">
        <v>8</v>
      </c>
      <c r="S36" s="1559">
        <f t="shared" si="12"/>
        <v>100</v>
      </c>
      <c r="T36" s="1558" t="s">
        <v>8</v>
      </c>
      <c r="U36" s="1559">
        <f t="shared" si="13"/>
        <v>100</v>
      </c>
      <c r="V36" s="1558" t="s">
        <v>8</v>
      </c>
      <c r="W36" s="1559">
        <f t="shared" si="14"/>
        <v>100</v>
      </c>
      <c r="X36" s="1552"/>
      <c r="Y36" s="3473"/>
      <c r="Z36" s="1560">
        <f t="shared" si="15"/>
        <v>111</v>
      </c>
      <c r="AA36" s="1561">
        <f t="shared" si="3"/>
        <v>1</v>
      </c>
      <c r="AB36" s="1561">
        <f t="shared" si="4"/>
        <v>1</v>
      </c>
      <c r="AC36" s="1561">
        <f t="shared" si="5"/>
        <v>1</v>
      </c>
    </row>
    <row r="37" spans="1:29" ht="15">
      <c r="A37" s="1829" t="s">
        <v>2076</v>
      </c>
      <c r="B37" s="1830" t="s">
        <v>2077</v>
      </c>
      <c r="C37" s="2589" t="s">
        <v>1</v>
      </c>
      <c r="D37" s="2590"/>
      <c r="E37" s="2591"/>
      <c r="F37" s="2592"/>
      <c r="G37" s="2593"/>
      <c r="H37" s="2594"/>
      <c r="I37" s="2591"/>
      <c r="J37" s="2594"/>
      <c r="K37" s="1595"/>
      <c r="L37" s="2127"/>
      <c r="M37" s="2128"/>
      <c r="N37" s="2117"/>
      <c r="O37" s="2128"/>
      <c r="P37" s="3468" t="str">
        <f>A37</f>
        <v>成交单价</v>
      </c>
      <c r="Q37" s="3468"/>
      <c r="R37" s="3570">
        <f>E37</f>
        <v>0</v>
      </c>
      <c r="S37" s="3570"/>
      <c r="T37" s="3570">
        <f>G37</f>
        <v>0</v>
      </c>
      <c r="U37" s="3570"/>
      <c r="V37" s="3570">
        <f>I37</f>
        <v>0</v>
      </c>
      <c r="W37" s="3570"/>
      <c r="X37" s="1544"/>
      <c r="Y37" s="1566"/>
      <c r="Z37" s="1544"/>
      <c r="AA37" s="1544"/>
      <c r="AB37" s="1544"/>
      <c r="AC37" s="1544"/>
    </row>
    <row r="38" spans="1:29" ht="15.75" thickBot="1">
      <c r="A38" s="614" t="s">
        <v>2757</v>
      </c>
      <c r="B38" s="886"/>
      <c r="C38" s="2595" t="e">
        <f>R39</f>
        <v>#DIV/0!</v>
      </c>
      <c r="D38" s="2596"/>
      <c r="E38" s="2597" t="e">
        <f>R38</f>
        <v>#DIV/0!</v>
      </c>
      <c r="F38" s="2597"/>
      <c r="G38" s="2595" t="e">
        <f>T38</f>
        <v>#DIV/0!</v>
      </c>
      <c r="H38" s="2596"/>
      <c r="I38" s="2597" t="e">
        <f>V38</f>
        <v>#DIV/0!</v>
      </c>
      <c r="J38" s="2596"/>
      <c r="K38" s="1596"/>
      <c r="L38" s="2127"/>
      <c r="M38" s="2128"/>
      <c r="N38" s="2128"/>
      <c r="O38" s="2128"/>
      <c r="P38" s="3468" t="str">
        <f>A38</f>
        <v>比较价格（元/平方米）</v>
      </c>
      <c r="Q38" s="3468"/>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1544"/>
      <c r="Y38" s="1544"/>
      <c r="Z38" s="1544"/>
      <c r="AA38" s="1544"/>
      <c r="AB38" s="1544"/>
      <c r="AC38" s="1544"/>
    </row>
    <row r="39" spans="1:29" ht="15.75" thickBot="1">
      <c r="A39" s="620" t="s">
        <v>2932</v>
      </c>
      <c r="B39" s="621"/>
      <c r="C39" s="2598" t="e">
        <f>R39</f>
        <v>#DIV/0!</v>
      </c>
      <c r="D39" s="2598"/>
      <c r="E39" s="2598"/>
      <c r="F39" s="2598"/>
      <c r="G39" s="2598"/>
      <c r="H39" s="2598"/>
      <c r="I39" s="2598"/>
      <c r="J39" s="2598"/>
      <c r="K39" s="1597"/>
      <c r="L39" s="2127"/>
      <c r="M39" s="2128"/>
      <c r="N39" s="2128"/>
      <c r="O39" s="2128"/>
      <c r="P39" s="3489" t="str">
        <f>A39</f>
        <v>估价对象XX用房的比较价格（楼面单价，元/平方米）</v>
      </c>
      <c r="Q39" s="3490"/>
      <c r="R39" s="3571" t="e">
        <f>IF(F1="售价",ROUND(AVERAGE(R38:V38),0),ROUND(AVERAGE(R38:V38),1))</f>
        <v>#DIV/0!</v>
      </c>
      <c r="S39" s="3571"/>
      <c r="T39" s="3571"/>
      <c r="U39" s="3571"/>
      <c r="V39" s="3571"/>
      <c r="W39" s="3571"/>
      <c r="X39" s="1544"/>
      <c r="Y39" s="1544"/>
      <c r="Z39" s="1544"/>
      <c r="AA39" s="1544"/>
      <c r="AB39" s="1544"/>
      <c r="AC39" s="1544"/>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9" t="s">
        <v>574</v>
      </c>
      <c r="B47" s="1544"/>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2019-10</v>
      </c>
      <c r="D48" s="2757">
        <f>EDATE(C48,-1)</f>
        <v>43709</v>
      </c>
      <c r="E48" s="2757">
        <f t="shared" ref="E48:O48" si="16">EDATE(D48,-1)</f>
        <v>43678</v>
      </c>
      <c r="F48" s="2757">
        <f t="shared" si="16"/>
        <v>43647</v>
      </c>
      <c r="G48" s="2757">
        <f t="shared" si="16"/>
        <v>43617</v>
      </c>
      <c r="H48" s="2757">
        <f t="shared" si="16"/>
        <v>43586</v>
      </c>
      <c r="I48" s="2757">
        <f t="shared" si="16"/>
        <v>43556</v>
      </c>
      <c r="J48" s="2757">
        <f t="shared" si="16"/>
        <v>43525</v>
      </c>
      <c r="K48" s="2757">
        <f t="shared" si="16"/>
        <v>43497</v>
      </c>
      <c r="L48" s="2757">
        <f t="shared" si="16"/>
        <v>43466</v>
      </c>
      <c r="M48" s="2757">
        <f t="shared" si="16"/>
        <v>43435</v>
      </c>
      <c r="N48" s="2757">
        <f t="shared" si="16"/>
        <v>43405</v>
      </c>
      <c r="O48" s="2757">
        <f t="shared" si="16"/>
        <v>43374</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2555</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2556</v>
      </c>
      <c r="C67" s="2560" t="s">
        <v>2557</v>
      </c>
      <c r="D67" s="2560" t="s">
        <v>2558</v>
      </c>
      <c r="E67" s="2560" t="s">
        <v>2559</v>
      </c>
      <c r="F67" s="2560" t="s">
        <v>2560</v>
      </c>
      <c r="G67" s="2560" t="s">
        <v>2561</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5" t="s">
        <v>793</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9"/>
      <c r="Q2" s="1549"/>
      <c r="R2" s="1549"/>
      <c r="S2" s="1549"/>
      <c r="T2" s="1549"/>
      <c r="U2" s="1549"/>
      <c r="V2" s="1549"/>
      <c r="W2" s="1549"/>
      <c r="X2" s="1549"/>
      <c r="Y2" s="1549"/>
      <c r="Z2" s="1549"/>
      <c r="AA2" s="1549"/>
      <c r="AB2" s="1549"/>
      <c r="AC2" s="1550"/>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9"/>
      <c r="Q3" s="1549"/>
      <c r="R3" s="1549"/>
      <c r="S3" s="1549"/>
      <c r="T3" s="1549"/>
      <c r="U3" s="1549"/>
      <c r="V3" s="1549"/>
      <c r="W3" s="1549"/>
      <c r="X3" s="1549"/>
      <c r="Y3" s="1549"/>
      <c r="Z3" s="1549"/>
      <c r="AA3" s="1549"/>
      <c r="AB3" s="1551"/>
      <c r="AC3" s="427"/>
    </row>
    <row r="4" spans="1:29" ht="15">
      <c r="A4" s="511" t="s">
        <v>797</v>
      </c>
      <c r="B4" s="512"/>
      <c r="C4" s="3474" t="s">
        <v>798</v>
      </c>
      <c r="D4" s="3475"/>
      <c r="E4" s="3498" t="s">
        <v>799</v>
      </c>
      <c r="F4" s="3499"/>
      <c r="G4" s="3474" t="s">
        <v>800</v>
      </c>
      <c r="H4" s="3475"/>
      <c r="I4" s="3474" t="s">
        <v>801</v>
      </c>
      <c r="J4" s="3475"/>
      <c r="K4" s="513" t="s">
        <v>802</v>
      </c>
      <c r="L4" s="2116"/>
      <c r="M4" s="2117"/>
      <c r="N4" s="2117"/>
      <c r="O4" s="2117"/>
      <c r="P4" s="3476" t="s">
        <v>803</v>
      </c>
      <c r="Q4" s="3477"/>
      <c r="R4" s="3462" t="s">
        <v>799</v>
      </c>
      <c r="S4" s="3463"/>
      <c r="T4" s="3462" t="s">
        <v>800</v>
      </c>
      <c r="U4" s="3463"/>
      <c r="V4" s="3482" t="s">
        <v>801</v>
      </c>
      <c r="W4" s="3482"/>
      <c r="X4" s="1552"/>
      <c r="Y4" s="3462" t="s">
        <v>803</v>
      </c>
      <c r="Z4" s="3463"/>
      <c r="AA4" s="3457" t="s">
        <v>799</v>
      </c>
      <c r="AB4" s="3458" t="s">
        <v>800</v>
      </c>
      <c r="AC4" s="3457" t="s">
        <v>801</v>
      </c>
    </row>
    <row r="5" spans="1:29" ht="15">
      <c r="A5" s="514"/>
      <c r="B5" s="515"/>
      <c r="C5" s="3485" t="s">
        <v>2926</v>
      </c>
      <c r="D5" s="3486"/>
      <c r="E5" s="3500" t="s">
        <v>2927</v>
      </c>
      <c r="F5" s="3501"/>
      <c r="G5" s="3485" t="s">
        <v>2928</v>
      </c>
      <c r="H5" s="3486"/>
      <c r="I5" s="3485" t="s">
        <v>2929</v>
      </c>
      <c r="J5" s="3486"/>
      <c r="K5" s="513"/>
      <c r="L5" s="2116"/>
      <c r="M5" s="2117"/>
      <c r="N5" s="2117"/>
      <c r="O5" s="2117"/>
      <c r="P5" s="3478"/>
      <c r="Q5" s="3479"/>
      <c r="R5" s="3464"/>
      <c r="S5" s="3465"/>
      <c r="T5" s="3464"/>
      <c r="U5" s="3465"/>
      <c r="V5" s="3482"/>
      <c r="W5" s="3482"/>
      <c r="X5" s="1552"/>
      <c r="Y5" s="3464"/>
      <c r="Z5" s="3465"/>
      <c r="AA5" s="3458"/>
      <c r="AB5" s="3458"/>
      <c r="AC5" s="3458"/>
    </row>
    <row r="6" spans="1:29" ht="15.75" thickBot="1">
      <c r="A6" s="516"/>
      <c r="B6" s="517"/>
      <c r="C6" s="3483" t="s">
        <v>2930</v>
      </c>
      <c r="D6" s="3484"/>
      <c r="E6" s="3502" t="s">
        <v>2930</v>
      </c>
      <c r="F6" s="3503"/>
      <c r="G6" s="3483" t="s">
        <v>2930</v>
      </c>
      <c r="H6" s="3484"/>
      <c r="I6" s="3483" t="s">
        <v>2930</v>
      </c>
      <c r="J6" s="3484"/>
      <c r="K6" s="513" t="s">
        <v>528</v>
      </c>
      <c r="L6" s="2116"/>
      <c r="M6" s="2117"/>
      <c r="N6" s="2117"/>
      <c r="O6" s="2117"/>
      <c r="P6" s="3480"/>
      <c r="Q6" s="3481"/>
      <c r="R6" s="3464"/>
      <c r="S6" s="3465"/>
      <c r="T6" s="3466"/>
      <c r="U6" s="3467"/>
      <c r="V6" s="3482"/>
      <c r="W6" s="3482"/>
      <c r="X6" s="1552"/>
      <c r="Y6" s="3466"/>
      <c r="Z6" s="3467"/>
      <c r="AA6" s="3459"/>
      <c r="AB6" s="3459"/>
      <c r="AC6" s="3459"/>
    </row>
    <row r="7" spans="1:29" s="1214" customFormat="1" ht="15.75" thickBot="1">
      <c r="A7" s="2865"/>
      <c r="B7" s="2872" t="s">
        <v>529</v>
      </c>
      <c r="C7" s="518">
        <f>'数据-取费表'!B2</f>
        <v>43763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60" t="s">
        <v>530</v>
      </c>
      <c r="Q7" s="3469"/>
      <c r="R7" s="1553" t="s">
        <v>8</v>
      </c>
      <c r="S7" s="1554">
        <f t="shared" ref="S7:S14" si="0">F7</f>
        <v>0</v>
      </c>
      <c r="T7" s="1553" t="s">
        <v>8</v>
      </c>
      <c r="U7" s="1554">
        <f t="shared" ref="U7:U14" si="1">H7</f>
        <v>0</v>
      </c>
      <c r="V7" s="1553" t="s">
        <v>8</v>
      </c>
      <c r="W7" s="1554">
        <f t="shared" ref="W7:W14" si="2">J7</f>
        <v>0</v>
      </c>
      <c r="X7" s="1555"/>
      <c r="Y7" s="3460" t="s">
        <v>530</v>
      </c>
      <c r="Z7" s="3461"/>
      <c r="AA7" s="1556" t="e">
        <f>D7/F7</f>
        <v>#DIV/0!</v>
      </c>
      <c r="AB7" s="1556" t="e">
        <f>D7/H7</f>
        <v>#DIV/0!</v>
      </c>
      <c r="AC7" s="1556"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60" t="s">
        <v>533</v>
      </c>
      <c r="Q8" s="3461"/>
      <c r="R8" s="1553" t="s">
        <v>8</v>
      </c>
      <c r="S8" s="1554">
        <f t="shared" si="0"/>
        <v>0</v>
      </c>
      <c r="T8" s="1553" t="s">
        <v>8</v>
      </c>
      <c r="U8" s="1554">
        <f t="shared" si="1"/>
        <v>0</v>
      </c>
      <c r="V8" s="1553" t="s">
        <v>8</v>
      </c>
      <c r="W8" s="1554">
        <f t="shared" si="2"/>
        <v>0</v>
      </c>
      <c r="X8" s="1555"/>
      <c r="Y8" s="3460" t="s">
        <v>533</v>
      </c>
      <c r="Z8" s="3461"/>
      <c r="AA8" s="1556" t="e">
        <f t="shared" ref="AA8:AA34" si="3">D8/F8</f>
        <v>#DIV/0!</v>
      </c>
      <c r="AB8" s="1556" t="e">
        <f t="shared" ref="AB8:AB34" si="4">D8/H8</f>
        <v>#DIV/0!</v>
      </c>
      <c r="AC8" s="1556" t="e">
        <f t="shared" ref="AC8:AC34" si="5">D8/J8</f>
        <v>#DIV/0!</v>
      </c>
    </row>
    <row r="9" spans="1:29" s="1214" customFormat="1" ht="15">
      <c r="A9" s="2867"/>
      <c r="B9" s="2874" t="s">
        <v>2753</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68" t="s">
        <v>535</v>
      </c>
      <c r="Q9" s="1145" t="str">
        <f t="shared" ref="Q9:Q14" si="6">B9</f>
        <v>用途</v>
      </c>
      <c r="R9" s="1553" t="s">
        <v>8</v>
      </c>
      <c r="S9" s="1554">
        <f t="shared" si="0"/>
        <v>100</v>
      </c>
      <c r="T9" s="1553" t="s">
        <v>8</v>
      </c>
      <c r="U9" s="1554">
        <f t="shared" si="1"/>
        <v>100</v>
      </c>
      <c r="V9" s="1553" t="s">
        <v>8</v>
      </c>
      <c r="W9" s="1554">
        <f t="shared" si="2"/>
        <v>100</v>
      </c>
      <c r="X9" s="1555"/>
      <c r="Y9" s="3425" t="s">
        <v>536</v>
      </c>
      <c r="Z9" s="1144" t="str">
        <f t="shared" ref="Z9:Z14" si="7">Q9</f>
        <v>用途</v>
      </c>
      <c r="AA9" s="1556">
        <f t="shared" si="3"/>
        <v>1</v>
      </c>
      <c r="AB9" s="1556">
        <f t="shared" si="4"/>
        <v>1</v>
      </c>
      <c r="AC9" s="1556">
        <f t="shared" si="5"/>
        <v>1</v>
      </c>
    </row>
    <row r="10" spans="1:29" s="1332" customFormat="1" ht="27">
      <c r="A10" s="2868"/>
      <c r="B10" s="2873" t="s">
        <v>2754</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68"/>
      <c r="Q11" s="1145">
        <f t="shared" si="6"/>
        <v>111</v>
      </c>
      <c r="R11" s="1553" t="s">
        <v>8</v>
      </c>
      <c r="S11" s="1554">
        <f t="shared" si="0"/>
        <v>100</v>
      </c>
      <c r="T11" s="1553" t="s">
        <v>8</v>
      </c>
      <c r="U11" s="1554">
        <f t="shared" si="1"/>
        <v>100</v>
      </c>
      <c r="V11" s="1553" t="s">
        <v>8</v>
      </c>
      <c r="W11" s="1554">
        <f t="shared" si="2"/>
        <v>100</v>
      </c>
      <c r="X11" s="1555"/>
      <c r="Y11" s="3425"/>
      <c r="Z11" s="1144">
        <f t="shared" si="7"/>
        <v>111</v>
      </c>
      <c r="AA11" s="1556">
        <f t="shared" si="3"/>
        <v>1</v>
      </c>
      <c r="AB11" s="1556">
        <f t="shared" si="4"/>
        <v>1</v>
      </c>
      <c r="AC11" s="1556">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68"/>
      <c r="Q12" s="1145">
        <f t="shared" si="6"/>
        <v>111</v>
      </c>
      <c r="R12" s="1553" t="s">
        <v>8</v>
      </c>
      <c r="S12" s="1554">
        <f t="shared" si="0"/>
        <v>100</v>
      </c>
      <c r="T12" s="1553" t="s">
        <v>8</v>
      </c>
      <c r="U12" s="1554">
        <f t="shared" si="1"/>
        <v>100</v>
      </c>
      <c r="V12" s="1553" t="s">
        <v>8</v>
      </c>
      <c r="W12" s="1554">
        <f t="shared" si="2"/>
        <v>100</v>
      </c>
      <c r="X12" s="1555"/>
      <c r="Y12" s="3425"/>
      <c r="Z12" s="1144">
        <f t="shared" si="7"/>
        <v>111</v>
      </c>
      <c r="AA12" s="1556">
        <f>D12/F12</f>
        <v>1</v>
      </c>
      <c r="AB12" s="1556">
        <f>D12/H12</f>
        <v>1</v>
      </c>
      <c r="AC12" s="1556">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68"/>
      <c r="Q13" s="1145">
        <f t="shared" si="6"/>
        <v>111</v>
      </c>
      <c r="R13" s="1553" t="s">
        <v>8</v>
      </c>
      <c r="S13" s="1554">
        <f t="shared" si="0"/>
        <v>100</v>
      </c>
      <c r="T13" s="1553" t="s">
        <v>8</v>
      </c>
      <c r="U13" s="1554">
        <f t="shared" si="1"/>
        <v>100</v>
      </c>
      <c r="V13" s="1553" t="s">
        <v>8</v>
      </c>
      <c r="W13" s="1554">
        <f t="shared" si="2"/>
        <v>100</v>
      </c>
      <c r="X13" s="1555"/>
      <c r="Y13" s="3425"/>
      <c r="Z13" s="1144">
        <f t="shared" si="7"/>
        <v>111</v>
      </c>
      <c r="AA13" s="1556">
        <f t="shared" si="3"/>
        <v>1</v>
      </c>
      <c r="AB13" s="1556">
        <f t="shared" si="4"/>
        <v>1</v>
      </c>
      <c r="AC13" s="1556">
        <f t="shared" si="5"/>
        <v>1</v>
      </c>
    </row>
    <row r="14" spans="1:29" ht="85.5">
      <c r="A14" s="2863" t="s">
        <v>2751</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470" t="s">
        <v>540</v>
      </c>
      <c r="Q14" s="1557" t="str">
        <f t="shared" si="6"/>
        <v>交通便捷度</v>
      </c>
      <c r="R14" s="1558" t="s">
        <v>8</v>
      </c>
      <c r="S14" s="1559">
        <f t="shared" si="0"/>
        <v>100</v>
      </c>
      <c r="T14" s="1558" t="s">
        <v>8</v>
      </c>
      <c r="U14" s="1559">
        <f t="shared" si="1"/>
        <v>100</v>
      </c>
      <c r="V14" s="1558" t="s">
        <v>8</v>
      </c>
      <c r="W14" s="1559">
        <f t="shared" si="2"/>
        <v>100</v>
      </c>
      <c r="X14" s="1552"/>
      <c r="Y14" s="3470" t="s">
        <v>540</v>
      </c>
      <c r="Z14" s="1560" t="str">
        <f t="shared" si="7"/>
        <v>交通便捷度</v>
      </c>
      <c r="AA14" s="1561">
        <f t="shared" si="3"/>
        <v>1</v>
      </c>
      <c r="AB14" s="1561">
        <f t="shared" si="4"/>
        <v>1</v>
      </c>
      <c r="AC14" s="1561">
        <f t="shared" si="5"/>
        <v>1</v>
      </c>
    </row>
    <row r="15" spans="1:29" ht="15">
      <c r="A15" s="531"/>
      <c r="B15" s="868"/>
      <c r="C15" s="575"/>
      <c r="D15" s="554"/>
      <c r="E15" s="575"/>
      <c r="F15" s="556"/>
      <c r="G15" s="575"/>
      <c r="H15" s="558"/>
      <c r="I15" s="575"/>
      <c r="J15" s="554"/>
      <c r="K15" s="897"/>
      <c r="L15" s="2125"/>
      <c r="M15" s="2117"/>
      <c r="N15" s="2117"/>
      <c r="O15" s="2124"/>
      <c r="P15" s="3471"/>
      <c r="Q15" s="1557"/>
      <c r="R15" s="1558"/>
      <c r="S15" s="1559"/>
      <c r="T15" s="1558"/>
      <c r="U15" s="1559"/>
      <c r="V15" s="1558"/>
      <c r="W15" s="1559"/>
      <c r="X15" s="1552"/>
      <c r="Y15" s="3471"/>
      <c r="Z15" s="1560"/>
      <c r="AA15" s="1561">
        <v>1</v>
      </c>
      <c r="AB15" s="1561">
        <v>1</v>
      </c>
      <c r="AC15" s="1561">
        <v>1</v>
      </c>
    </row>
    <row r="16" spans="1:29" ht="42.75">
      <c r="A16" s="531"/>
      <c r="B16" s="2565"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471"/>
      <c r="Q16" s="1557" t="str">
        <f>B16</f>
        <v>公共配套设施</v>
      </c>
      <c r="R16" s="1558" t="s">
        <v>8</v>
      </c>
      <c r="S16" s="1559">
        <f>F16</f>
        <v>100</v>
      </c>
      <c r="T16" s="1558" t="s">
        <v>8</v>
      </c>
      <c r="U16" s="1559">
        <f>H16</f>
        <v>100</v>
      </c>
      <c r="V16" s="1558" t="s">
        <v>8</v>
      </c>
      <c r="W16" s="1559">
        <f>J16</f>
        <v>100</v>
      </c>
      <c r="X16" s="1552"/>
      <c r="Y16" s="3471"/>
      <c r="Z16" s="1560" t="str">
        <f>Q16</f>
        <v>公共配套设施</v>
      </c>
      <c r="AA16" s="1561">
        <f t="shared" si="3"/>
        <v>1</v>
      </c>
      <c r="AB16" s="1561">
        <f t="shared" si="4"/>
        <v>1</v>
      </c>
      <c r="AC16" s="1561">
        <f t="shared" si="5"/>
        <v>1</v>
      </c>
    </row>
    <row r="17" spans="1:29" ht="15">
      <c r="A17" s="531"/>
      <c r="B17" s="565"/>
      <c r="C17" s="872"/>
      <c r="D17" s="554"/>
      <c r="E17" s="575"/>
      <c r="F17" s="556"/>
      <c r="G17" s="575"/>
      <c r="H17" s="554"/>
      <c r="I17" s="575"/>
      <c r="J17" s="554"/>
      <c r="K17" s="897"/>
      <c r="L17" s="2125"/>
      <c r="M17" s="2117"/>
      <c r="N17" s="2117"/>
      <c r="O17" s="2124"/>
      <c r="P17" s="3471"/>
      <c r="Q17" s="1557"/>
      <c r="R17" s="1558"/>
      <c r="S17" s="1559"/>
      <c r="T17" s="1558"/>
      <c r="U17" s="1559"/>
      <c r="V17" s="1558"/>
      <c r="W17" s="1559"/>
      <c r="X17" s="1552"/>
      <c r="Y17" s="3471"/>
      <c r="Z17" s="1560"/>
      <c r="AA17" s="1561">
        <v>1</v>
      </c>
      <c r="AB17" s="1561">
        <v>1</v>
      </c>
      <c r="AC17" s="1561">
        <v>1</v>
      </c>
    </row>
    <row r="18" spans="1:29" ht="28.5">
      <c r="A18" s="531"/>
      <c r="B18" s="2553"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471"/>
      <c r="Q18" s="2541" t="str">
        <f>B18</f>
        <v>基础设施水平</v>
      </c>
      <c r="R18" s="1558" t="s">
        <v>8</v>
      </c>
      <c r="S18" s="1559">
        <f>F18</f>
        <v>100</v>
      </c>
      <c r="T18" s="1558" t="s">
        <v>8</v>
      </c>
      <c r="U18" s="1559">
        <f>H18</f>
        <v>100</v>
      </c>
      <c r="V18" s="1558" t="s">
        <v>8</v>
      </c>
      <c r="W18" s="1559">
        <f>J18</f>
        <v>100</v>
      </c>
      <c r="X18" s="2543"/>
      <c r="Y18" s="3471"/>
      <c r="Z18" s="2542" t="str">
        <f>Q18</f>
        <v>基础设施水平</v>
      </c>
      <c r="AA18" s="1561">
        <f t="shared" ref="AA18" si="8">D18/F18</f>
        <v>1</v>
      </c>
      <c r="AB18" s="1561">
        <f t="shared" ref="AB18" si="9">D18/H18</f>
        <v>1</v>
      </c>
      <c r="AC18" s="1561">
        <f t="shared" ref="AC18" si="10">D18/J18</f>
        <v>1</v>
      </c>
    </row>
    <row r="19" spans="1:29" ht="15">
      <c r="A19" s="531"/>
      <c r="B19" s="577"/>
      <c r="C19" s="872"/>
      <c r="D19" s="558"/>
      <c r="E19" s="872"/>
      <c r="F19" s="562"/>
      <c r="G19" s="872"/>
      <c r="H19" s="554"/>
      <c r="I19" s="575"/>
      <c r="J19" s="554"/>
      <c r="K19" s="2564"/>
      <c r="L19" s="2125"/>
      <c r="M19" s="2117"/>
      <c r="N19" s="2117"/>
      <c r="O19" s="2124"/>
      <c r="P19" s="3471"/>
      <c r="Q19" s="2541"/>
      <c r="R19" s="1558"/>
      <c r="S19" s="1559"/>
      <c r="T19" s="1558"/>
      <c r="U19" s="1559"/>
      <c r="V19" s="1558"/>
      <c r="W19" s="1559"/>
      <c r="X19" s="2543"/>
      <c r="Y19" s="3471"/>
      <c r="Z19" s="2542"/>
      <c r="AA19" s="1561">
        <v>1</v>
      </c>
      <c r="AB19" s="1561">
        <v>1</v>
      </c>
      <c r="AC19" s="1561">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471"/>
      <c r="Q20" s="1557" t="str">
        <f>B20</f>
        <v>自然及人文环境</v>
      </c>
      <c r="R20" s="1558" t="s">
        <v>8</v>
      </c>
      <c r="S20" s="1559">
        <f>F20</f>
        <v>100</v>
      </c>
      <c r="T20" s="1558" t="s">
        <v>8</v>
      </c>
      <c r="U20" s="1559">
        <f>H20</f>
        <v>100</v>
      </c>
      <c r="V20" s="1558" t="s">
        <v>8</v>
      </c>
      <c r="W20" s="1559">
        <f>J20</f>
        <v>100</v>
      </c>
      <c r="X20" s="1552"/>
      <c r="Y20" s="3471"/>
      <c r="Z20" s="1560" t="str">
        <f>Q20</f>
        <v>自然及人文环境</v>
      </c>
      <c r="AA20" s="1561">
        <f t="shared" si="3"/>
        <v>1</v>
      </c>
      <c r="AB20" s="1561">
        <f t="shared" si="4"/>
        <v>1</v>
      </c>
      <c r="AC20" s="1561">
        <f t="shared" si="5"/>
        <v>1</v>
      </c>
    </row>
    <row r="21" spans="1:29" ht="15">
      <c r="A21" s="531"/>
      <c r="B21" s="594"/>
      <c r="C21" s="575"/>
      <c r="D21" s="554"/>
      <c r="E21" s="575"/>
      <c r="F21" s="556"/>
      <c r="G21" s="575"/>
      <c r="H21" s="554"/>
      <c r="I21" s="575"/>
      <c r="J21" s="554"/>
      <c r="K21" s="897"/>
      <c r="L21" s="2125"/>
      <c r="M21" s="2117"/>
      <c r="N21" s="2117"/>
      <c r="O21" s="2124"/>
      <c r="P21" s="3471"/>
      <c r="Q21" s="1557"/>
      <c r="R21" s="1558"/>
      <c r="S21" s="1559"/>
      <c r="T21" s="1558"/>
      <c r="U21" s="1559"/>
      <c r="V21" s="1558"/>
      <c r="W21" s="1559"/>
      <c r="X21" s="1552"/>
      <c r="Y21" s="3471"/>
      <c r="Z21" s="1560"/>
      <c r="AA21" s="1561">
        <v>1</v>
      </c>
      <c r="AB21" s="1561">
        <v>1</v>
      </c>
      <c r="AC21" s="1561">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71"/>
      <c r="Q22" s="1557" t="str">
        <f>B22</f>
        <v>楼层</v>
      </c>
      <c r="R22" s="1558" t="s">
        <v>8</v>
      </c>
      <c r="S22" s="1559">
        <f>F22</f>
        <v>100</v>
      </c>
      <c r="T22" s="1558" t="s">
        <v>8</v>
      </c>
      <c r="U22" s="1559">
        <f>H22</f>
        <v>100</v>
      </c>
      <c r="V22" s="1558" t="s">
        <v>8</v>
      </c>
      <c r="W22" s="1559">
        <f>J22</f>
        <v>100</v>
      </c>
      <c r="X22" s="1552"/>
      <c r="Y22" s="3471"/>
      <c r="Z22" s="1560" t="str">
        <f>Q22</f>
        <v>楼层</v>
      </c>
      <c r="AA22" s="1561">
        <f t="shared" si="3"/>
        <v>1</v>
      </c>
      <c r="AB22" s="1561">
        <f t="shared" si="4"/>
        <v>1</v>
      </c>
      <c r="AC22" s="1561">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71"/>
      <c r="Q23" s="1557">
        <f>B23</f>
        <v>111</v>
      </c>
      <c r="R23" s="1558" t="s">
        <v>8</v>
      </c>
      <c r="S23" s="1559">
        <f>F23</f>
        <v>100</v>
      </c>
      <c r="T23" s="1558" t="s">
        <v>8</v>
      </c>
      <c r="U23" s="1559">
        <f>H23</f>
        <v>100</v>
      </c>
      <c r="V23" s="1558" t="s">
        <v>8</v>
      </c>
      <c r="W23" s="1559">
        <f>J23</f>
        <v>100</v>
      </c>
      <c r="X23" s="1552"/>
      <c r="Y23" s="3471"/>
      <c r="Z23" s="1560">
        <f>Q23</f>
        <v>111</v>
      </c>
      <c r="AA23" s="1561">
        <f t="shared" si="3"/>
        <v>1</v>
      </c>
      <c r="AB23" s="1561">
        <f t="shared" si="4"/>
        <v>1</v>
      </c>
      <c r="AC23" s="1561">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71"/>
      <c r="Q24" s="1557">
        <f t="shared" ref="Q24:Q34" si="11">B24</f>
        <v>111</v>
      </c>
      <c r="R24" s="1558" t="s">
        <v>8</v>
      </c>
      <c r="S24" s="1559">
        <f>F24</f>
        <v>100</v>
      </c>
      <c r="T24" s="1558" t="s">
        <v>8</v>
      </c>
      <c r="U24" s="1559">
        <f>H24</f>
        <v>100</v>
      </c>
      <c r="V24" s="1558" t="s">
        <v>8</v>
      </c>
      <c r="W24" s="1559">
        <f>J24</f>
        <v>100</v>
      </c>
      <c r="X24" s="1552"/>
      <c r="Y24" s="3471"/>
      <c r="Z24" s="1560">
        <f>Q24</f>
        <v>111</v>
      </c>
      <c r="AA24" s="1561">
        <f t="shared" si="3"/>
        <v>1</v>
      </c>
      <c r="AB24" s="1561">
        <f t="shared" si="4"/>
        <v>1</v>
      </c>
      <c r="AC24" s="1561">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71"/>
      <c r="Q25" s="1145">
        <f t="shared" si="11"/>
        <v>111</v>
      </c>
      <c r="R25" s="1553" t="s">
        <v>8</v>
      </c>
      <c r="S25" s="1554">
        <f>F25</f>
        <v>100</v>
      </c>
      <c r="T25" s="1553" t="s">
        <v>8</v>
      </c>
      <c r="U25" s="1554">
        <f>H25</f>
        <v>100</v>
      </c>
      <c r="V25" s="1553" t="s">
        <v>8</v>
      </c>
      <c r="W25" s="1554">
        <f>J25</f>
        <v>100</v>
      </c>
      <c r="X25" s="1555"/>
      <c r="Y25" s="3471"/>
      <c r="Z25" s="1144">
        <f>Q25</f>
        <v>111</v>
      </c>
      <c r="AA25" s="1561">
        <f>D25/F25</f>
        <v>1</v>
      </c>
      <c r="AB25" s="1561">
        <f>D25/H25</f>
        <v>1</v>
      </c>
      <c r="AC25" s="1561">
        <f>D25/J25</f>
        <v>1</v>
      </c>
    </row>
    <row r="26" spans="1:29" ht="15">
      <c r="A26" s="2860" t="s">
        <v>2752</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47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73" t="s">
        <v>821</v>
      </c>
      <c r="Z26" s="1560" t="str">
        <f t="shared" ref="Z26:Z34" si="15">Q26</f>
        <v>公共部分装修</v>
      </c>
      <c r="AA26" s="1561">
        <f t="shared" si="3"/>
        <v>1</v>
      </c>
      <c r="AB26" s="1561">
        <f t="shared" si="4"/>
        <v>1</v>
      </c>
      <c r="AC26" s="1561">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473"/>
      <c r="Q27" s="1589" t="str">
        <f t="shared" si="11"/>
        <v>成新率</v>
      </c>
      <c r="R27" s="1562" t="s">
        <v>8</v>
      </c>
      <c r="S27" s="1563" t="e">
        <f t="shared" si="12"/>
        <v>#N/A</v>
      </c>
      <c r="T27" s="1562" t="s">
        <v>8</v>
      </c>
      <c r="U27" s="1563" t="e">
        <f t="shared" si="13"/>
        <v>#N/A</v>
      </c>
      <c r="V27" s="1562" t="s">
        <v>8</v>
      </c>
      <c r="W27" s="1563" t="e">
        <f t="shared" si="14"/>
        <v>#N/A</v>
      </c>
      <c r="X27" s="1564"/>
      <c r="Y27" s="3473"/>
      <c r="Z27" s="1565" t="str">
        <f t="shared" si="15"/>
        <v>成新率</v>
      </c>
      <c r="AA27" s="1561" t="e">
        <f t="shared" si="3"/>
        <v>#N/A</v>
      </c>
      <c r="AB27" s="1561" t="e">
        <f t="shared" si="4"/>
        <v>#N/A</v>
      </c>
      <c r="AC27" s="1561"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73"/>
      <c r="Q28" s="1557" t="str">
        <f t="shared" si="11"/>
        <v>物业等级</v>
      </c>
      <c r="R28" s="1558" t="s">
        <v>8</v>
      </c>
      <c r="S28" s="1559">
        <f t="shared" si="12"/>
        <v>100</v>
      </c>
      <c r="T28" s="1558" t="s">
        <v>8</v>
      </c>
      <c r="U28" s="1559">
        <f t="shared" si="13"/>
        <v>100</v>
      </c>
      <c r="V28" s="1558" t="s">
        <v>8</v>
      </c>
      <c r="W28" s="1559">
        <f t="shared" si="14"/>
        <v>100</v>
      </c>
      <c r="X28" s="1552"/>
      <c r="Y28" s="3473"/>
      <c r="Z28" s="1560" t="str">
        <f t="shared" si="15"/>
        <v>物业等级</v>
      </c>
      <c r="AA28" s="1561">
        <f t="shared" si="3"/>
        <v>1</v>
      </c>
      <c r="AB28" s="1561">
        <f t="shared" si="4"/>
        <v>1</v>
      </c>
      <c r="AC28" s="1561">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73"/>
      <c r="Q29" s="1557" t="str">
        <f t="shared" si="11"/>
        <v>有无电梯</v>
      </c>
      <c r="R29" s="1558" t="s">
        <v>8</v>
      </c>
      <c r="S29" s="1559">
        <f t="shared" si="12"/>
        <v>100</v>
      </c>
      <c r="T29" s="1558" t="s">
        <v>8</v>
      </c>
      <c r="U29" s="1559">
        <f t="shared" si="13"/>
        <v>100</v>
      </c>
      <c r="V29" s="1558" t="s">
        <v>8</v>
      </c>
      <c r="W29" s="1559">
        <f t="shared" si="14"/>
        <v>100</v>
      </c>
      <c r="X29" s="1552"/>
      <c r="Y29" s="3473"/>
      <c r="Z29" s="1560" t="str">
        <f t="shared" si="15"/>
        <v>有无电梯</v>
      </c>
      <c r="AA29" s="1561">
        <f t="shared" si="3"/>
        <v>1</v>
      </c>
      <c r="AB29" s="1561">
        <f t="shared" si="4"/>
        <v>1</v>
      </c>
      <c r="AC29" s="1561">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473"/>
      <c r="Q30" s="1557" t="str">
        <f t="shared" si="11"/>
        <v>建筑面积</v>
      </c>
      <c r="R30" s="1558" t="s">
        <v>8</v>
      </c>
      <c r="S30" s="1559" t="e">
        <f t="shared" si="12"/>
        <v>#N/A</v>
      </c>
      <c r="T30" s="1558" t="s">
        <v>8</v>
      </c>
      <c r="U30" s="1559" t="e">
        <f t="shared" si="13"/>
        <v>#N/A</v>
      </c>
      <c r="V30" s="1558" t="s">
        <v>8</v>
      </c>
      <c r="W30" s="1559" t="e">
        <f t="shared" si="14"/>
        <v>#N/A</v>
      </c>
      <c r="X30" s="1552"/>
      <c r="Y30" s="3473"/>
      <c r="Z30" s="1560" t="str">
        <f t="shared" si="15"/>
        <v>建筑面积</v>
      </c>
      <c r="AA30" s="1561" t="e">
        <f t="shared" si="3"/>
        <v>#N/A</v>
      </c>
      <c r="AB30" s="1561" t="e">
        <f t="shared" si="4"/>
        <v>#N/A</v>
      </c>
      <c r="AC30" s="1561"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73"/>
      <c r="Q31" s="1145" t="str">
        <f t="shared" si="11"/>
        <v>是否封闭</v>
      </c>
      <c r="R31" s="1553" t="s">
        <v>8</v>
      </c>
      <c r="S31" s="1554">
        <f t="shared" si="12"/>
        <v>100</v>
      </c>
      <c r="T31" s="1553" t="s">
        <v>8</v>
      </c>
      <c r="U31" s="1554">
        <f t="shared" si="13"/>
        <v>100</v>
      </c>
      <c r="V31" s="1553" t="s">
        <v>8</v>
      </c>
      <c r="W31" s="1554">
        <f t="shared" si="14"/>
        <v>100</v>
      </c>
      <c r="X31" s="1555"/>
      <c r="Y31" s="3473"/>
      <c r="Z31" s="1144" t="str">
        <f t="shared" si="15"/>
        <v>是否封闭</v>
      </c>
      <c r="AA31" s="1556">
        <f t="shared" si="3"/>
        <v>1</v>
      </c>
      <c r="AB31" s="1556">
        <f t="shared" si="4"/>
        <v>1</v>
      </c>
      <c r="AC31" s="1556">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73" t="s">
        <v>550</v>
      </c>
      <c r="Q32" s="1557">
        <f t="shared" si="11"/>
        <v>111</v>
      </c>
      <c r="R32" s="1558" t="s">
        <v>8</v>
      </c>
      <c r="S32" s="1559">
        <f t="shared" si="12"/>
        <v>100</v>
      </c>
      <c r="T32" s="1558" t="s">
        <v>8</v>
      </c>
      <c r="U32" s="1559">
        <f t="shared" si="13"/>
        <v>100</v>
      </c>
      <c r="V32" s="1558" t="s">
        <v>8</v>
      </c>
      <c r="W32" s="1559">
        <f t="shared" si="14"/>
        <v>100</v>
      </c>
      <c r="X32" s="1552"/>
      <c r="Y32" s="3473" t="s">
        <v>550</v>
      </c>
      <c r="Z32" s="1560">
        <f t="shared" si="15"/>
        <v>111</v>
      </c>
      <c r="AA32" s="1561">
        <f t="shared" si="3"/>
        <v>1</v>
      </c>
      <c r="AB32" s="1561">
        <f t="shared" si="4"/>
        <v>1</v>
      </c>
      <c r="AC32" s="1561">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73"/>
      <c r="Q33" s="1557">
        <f t="shared" si="11"/>
        <v>111</v>
      </c>
      <c r="R33" s="1558" t="s">
        <v>8</v>
      </c>
      <c r="S33" s="1559">
        <f t="shared" si="12"/>
        <v>100</v>
      </c>
      <c r="T33" s="1558" t="s">
        <v>8</v>
      </c>
      <c r="U33" s="1559">
        <f t="shared" si="13"/>
        <v>100</v>
      </c>
      <c r="V33" s="1558" t="s">
        <v>8</v>
      </c>
      <c r="W33" s="1559">
        <f t="shared" si="14"/>
        <v>100</v>
      </c>
      <c r="X33" s="1552"/>
      <c r="Y33" s="3473"/>
      <c r="Z33" s="1560">
        <f t="shared" si="15"/>
        <v>111</v>
      </c>
      <c r="AA33" s="1561">
        <f t="shared" si="3"/>
        <v>1</v>
      </c>
      <c r="AB33" s="1561">
        <f t="shared" si="4"/>
        <v>1</v>
      </c>
      <c r="AC33" s="1561">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73"/>
      <c r="Q34" s="1557">
        <f t="shared" si="11"/>
        <v>111</v>
      </c>
      <c r="R34" s="1558" t="s">
        <v>8</v>
      </c>
      <c r="S34" s="1559">
        <f t="shared" si="12"/>
        <v>100</v>
      </c>
      <c r="T34" s="1558" t="s">
        <v>8</v>
      </c>
      <c r="U34" s="1559">
        <f t="shared" si="13"/>
        <v>100</v>
      </c>
      <c r="V34" s="1558" t="s">
        <v>8</v>
      </c>
      <c r="W34" s="1559">
        <f t="shared" si="14"/>
        <v>100</v>
      </c>
      <c r="X34" s="1552"/>
      <c r="Y34" s="3473"/>
      <c r="Z34" s="1560">
        <f t="shared" si="15"/>
        <v>111</v>
      </c>
      <c r="AA34" s="1561">
        <f t="shared" si="3"/>
        <v>1</v>
      </c>
      <c r="AB34" s="1561">
        <f t="shared" si="4"/>
        <v>1</v>
      </c>
      <c r="AC34" s="1561">
        <f t="shared" si="5"/>
        <v>1</v>
      </c>
    </row>
    <row r="35" spans="1:29" ht="15">
      <c r="A35" s="606" t="s">
        <v>736</v>
      </c>
      <c r="B35" s="885"/>
      <c r="C35" s="2589" t="s">
        <v>1</v>
      </c>
      <c r="D35" s="2590"/>
      <c r="E35" s="2591"/>
      <c r="F35" s="2592"/>
      <c r="G35" s="2593"/>
      <c r="H35" s="2594"/>
      <c r="I35" s="2591"/>
      <c r="J35" s="2594"/>
      <c r="K35" s="1595"/>
      <c r="L35" s="2127"/>
      <c r="M35" s="2128"/>
      <c r="N35" s="2117"/>
      <c r="O35" s="2128"/>
      <c r="P35" s="3468" t="str">
        <f>A35</f>
        <v>成交单价（元/平方米）</v>
      </c>
      <c r="Q35" s="3468"/>
      <c r="R35" s="3570">
        <f>E35</f>
        <v>0</v>
      </c>
      <c r="S35" s="3570"/>
      <c r="T35" s="3570">
        <f>G35</f>
        <v>0</v>
      </c>
      <c r="U35" s="3570"/>
      <c r="V35" s="3570">
        <f>I35</f>
        <v>0</v>
      </c>
      <c r="W35" s="3570"/>
      <c r="X35" s="1544"/>
      <c r="Y35" s="1566"/>
      <c r="Z35" s="1544"/>
      <c r="AA35" s="1544"/>
      <c r="AB35" s="1544"/>
      <c r="AC35" s="1544"/>
    </row>
    <row r="36" spans="1:29" ht="15.75" thickBot="1">
      <c r="A36" s="614" t="s">
        <v>2757</v>
      </c>
      <c r="B36" s="886"/>
      <c r="C36" s="2595" t="e">
        <f>R37</f>
        <v>#DIV/0!</v>
      </c>
      <c r="D36" s="2596"/>
      <c r="E36" s="2597" t="e">
        <f>R36</f>
        <v>#DIV/0!</v>
      </c>
      <c r="F36" s="2597"/>
      <c r="G36" s="2595" t="e">
        <f>T36</f>
        <v>#DIV/0!</v>
      </c>
      <c r="H36" s="2596"/>
      <c r="I36" s="2597" t="e">
        <f>V36</f>
        <v>#DIV/0!</v>
      </c>
      <c r="J36" s="2596"/>
      <c r="K36" s="1596"/>
      <c r="L36" s="2127"/>
      <c r="M36" s="2128"/>
      <c r="N36" s="2117"/>
      <c r="O36" s="2128"/>
      <c r="P36" s="3468" t="str">
        <f>A36</f>
        <v>比较价格（元/平方米）</v>
      </c>
      <c r="Q36" s="3468"/>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544"/>
      <c r="Y36" s="1544"/>
      <c r="Z36" s="1544"/>
      <c r="AA36" s="1544"/>
      <c r="AB36" s="1544"/>
      <c r="AC36" s="1544"/>
    </row>
    <row r="37" spans="1:29" ht="15.75" thickBot="1">
      <c r="A37" s="620" t="s">
        <v>2932</v>
      </c>
      <c r="B37" s="621"/>
      <c r="C37" s="2598" t="e">
        <f>R37</f>
        <v>#DIV/0!</v>
      </c>
      <c r="D37" s="2598"/>
      <c r="E37" s="2598"/>
      <c r="F37" s="2598"/>
      <c r="G37" s="2598"/>
      <c r="H37" s="2598"/>
      <c r="I37" s="2598"/>
      <c r="J37" s="2598"/>
      <c r="K37" s="1597"/>
      <c r="L37" s="2127"/>
      <c r="M37" s="2128"/>
      <c r="N37" s="2128"/>
      <c r="O37" s="2128"/>
      <c r="P37" s="3489" t="str">
        <f>A37</f>
        <v>估价对象XX用房的比较价格（楼面单价，元/平方米）</v>
      </c>
      <c r="Q37" s="3490"/>
      <c r="R37" s="3571" t="e">
        <f>IF(F1="售价",ROUND(AVERAGE(R36:V36),0),ROUND(AVERAGE(R36:V36),1))</f>
        <v>#DIV/0!</v>
      </c>
      <c r="S37" s="3571"/>
      <c r="T37" s="3571"/>
      <c r="U37" s="3571"/>
      <c r="V37" s="3571"/>
      <c r="W37" s="3571"/>
      <c r="X37" s="1544"/>
      <c r="Y37" s="1544"/>
      <c r="Z37" s="1544"/>
      <c r="AA37" s="1544"/>
      <c r="AB37" s="1544"/>
      <c r="AC37" s="1544"/>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9" t="s">
        <v>574</v>
      </c>
      <c r="B45" s="1544"/>
      <c r="C45" s="1568"/>
      <c r="D45" s="1568"/>
      <c r="E45" s="1568"/>
      <c r="F45" s="1570"/>
      <c r="G45" s="1570"/>
      <c r="H45" s="1568"/>
      <c r="I45" s="1568"/>
      <c r="J45" s="1568"/>
      <c r="K45" s="1571"/>
      <c r="L45" s="1567"/>
      <c r="M45" s="1568"/>
      <c r="N45" s="1568"/>
      <c r="O45" s="1568"/>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2019-10</v>
      </c>
      <c r="D46" s="2757">
        <f>EDATE(C46,-1)</f>
        <v>43709</v>
      </c>
      <c r="E46" s="2757">
        <f t="shared" ref="E46:O46" si="16">EDATE(D46,-1)</f>
        <v>43678</v>
      </c>
      <c r="F46" s="2757">
        <f t="shared" si="16"/>
        <v>43647</v>
      </c>
      <c r="G46" s="2757">
        <f t="shared" si="16"/>
        <v>43617</v>
      </c>
      <c r="H46" s="2757">
        <f t="shared" si="16"/>
        <v>43586</v>
      </c>
      <c r="I46" s="2757">
        <f t="shared" si="16"/>
        <v>43556</v>
      </c>
      <c r="J46" s="2757">
        <f t="shared" si="16"/>
        <v>43525</v>
      </c>
      <c r="K46" s="2757">
        <f t="shared" si="16"/>
        <v>43497</v>
      </c>
      <c r="L46" s="2757">
        <f t="shared" si="16"/>
        <v>43466</v>
      </c>
      <c r="M46" s="2757">
        <f t="shared" si="16"/>
        <v>43435</v>
      </c>
      <c r="N46" s="2757">
        <f t="shared" si="16"/>
        <v>43405</v>
      </c>
      <c r="O46" s="2757">
        <f t="shared" si="16"/>
        <v>43374</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2555</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2556</v>
      </c>
      <c r="C65" s="2560" t="s">
        <v>2557</v>
      </c>
      <c r="D65" s="2560" t="s">
        <v>2558</v>
      </c>
      <c r="E65" s="2560" t="s">
        <v>2559</v>
      </c>
      <c r="F65" s="2560" t="s">
        <v>2560</v>
      </c>
      <c r="G65" s="2560" t="s">
        <v>2561</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6"/>
    <col min="36" max="16384" width="9" style="1244"/>
  </cols>
  <sheetData>
    <row r="1" spans="1:45" s="256" customFormat="1" ht="14.25" customHeight="1" thickBot="1">
      <c r="A1" s="364"/>
      <c r="B1" s="2217" t="s">
        <v>2302</v>
      </c>
      <c r="C1" s="3579" t="s">
        <v>2303</v>
      </c>
      <c r="D1" s="3580"/>
      <c r="E1" s="3580"/>
      <c r="F1" s="3580"/>
      <c r="G1" s="3580"/>
      <c r="H1" s="3580"/>
      <c r="I1" s="3580"/>
      <c r="J1" s="3580"/>
      <c r="K1" s="3580"/>
      <c r="L1" s="3580"/>
      <c r="M1" s="3580"/>
      <c r="N1" s="3580"/>
      <c r="O1" s="3580"/>
      <c r="P1" s="3580"/>
      <c r="Q1" s="3580"/>
      <c r="R1" s="3580"/>
      <c r="S1" s="3581"/>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8" t="s">
        <v>2925</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40" t="s">
        <v>2924</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40" t="s">
        <v>2923</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9"/>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8" t="s">
        <v>2936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8" t="s">
        <v>2922</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8" t="s">
        <v>2921</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76" t="s">
        <v>20</v>
      </c>
      <c r="D22" s="3577"/>
      <c r="E22" s="3577"/>
      <c r="F22" s="3577"/>
      <c r="G22" s="3577"/>
      <c r="H22" s="3577"/>
      <c r="I22" s="3577"/>
      <c r="J22" s="3577"/>
      <c r="K22" s="3577"/>
      <c r="L22" s="3577"/>
      <c r="M22" s="3577"/>
      <c r="N22" s="3577"/>
      <c r="O22" s="3577"/>
      <c r="P22" s="3577"/>
      <c r="Q22" s="3578"/>
      <c r="R22" s="489"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9"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43763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2</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topLeftCell="E25" zoomScale="85" zoomScaleNormal="85" workbookViewId="0">
      <selection activeCell="G75" sqref="G75"/>
    </sheetView>
  </sheetViews>
  <sheetFormatPr defaultRowHeight="13.5"/>
  <cols>
    <col min="1" max="1" width="40.125" hidden="1" customWidth="1"/>
    <col min="2" max="4" width="0" hidden="1" customWidth="1"/>
    <col min="5" max="5" width="49.875" customWidth="1"/>
    <col min="6" max="6" width="9.75" hidden="1" customWidth="1"/>
    <col min="7" max="7" width="20" customWidth="1"/>
    <col min="8" max="8" width="21.125" customWidth="1"/>
    <col min="9" max="10" width="14.625" customWidth="1"/>
    <col min="11" max="11" width="24.25" customWidth="1"/>
    <col min="12" max="12" width="10.5" customWidth="1"/>
    <col min="13" max="13" width="8.875" hidden="1" customWidth="1"/>
    <col min="14" max="14" width="28.125" customWidth="1"/>
    <col min="15" max="17" width="16.75" customWidth="1"/>
    <col min="21" max="21" width="58.125" customWidth="1"/>
  </cols>
  <sheetData>
    <row r="1" spans="1:22" ht="19.5" customHeight="1">
      <c r="A1" s="3185" t="s">
        <v>2995</v>
      </c>
      <c r="B1" s="3185" t="s">
        <v>2996</v>
      </c>
      <c r="C1" s="3185" t="s">
        <v>2997</v>
      </c>
      <c r="D1" s="3185" t="s">
        <v>2998</v>
      </c>
      <c r="E1" s="3185" t="s">
        <v>2999</v>
      </c>
      <c r="F1" s="3185" t="s">
        <v>3000</v>
      </c>
      <c r="G1" s="3185" t="s">
        <v>3001</v>
      </c>
      <c r="H1" s="3185" t="s">
        <v>3002</v>
      </c>
      <c r="I1" s="3185" t="s">
        <v>3003</v>
      </c>
      <c r="J1" s="3185" t="s">
        <v>3004</v>
      </c>
      <c r="K1" s="3185" t="s">
        <v>2031</v>
      </c>
      <c r="L1" s="3185" t="s">
        <v>3005</v>
      </c>
      <c r="M1" s="3185" t="s">
        <v>3006</v>
      </c>
      <c r="N1" s="3185" t="s">
        <v>3007</v>
      </c>
      <c r="O1" s="3185" t="s">
        <v>3008</v>
      </c>
      <c r="P1" s="3185" t="s">
        <v>3009</v>
      </c>
      <c r="Q1" s="3185" t="s">
        <v>3010</v>
      </c>
      <c r="R1" s="3185" t="s">
        <v>3011</v>
      </c>
      <c r="S1" s="3185" t="s">
        <v>3012</v>
      </c>
      <c r="T1" s="3185" t="s">
        <v>3013</v>
      </c>
    </row>
    <row r="2" spans="1:22" ht="19.5" customHeight="1">
      <c r="A2" s="3185" t="s">
        <v>3014</v>
      </c>
      <c r="B2" s="3185" t="s">
        <v>3015</v>
      </c>
      <c r="C2" s="3185" t="s">
        <v>3016</v>
      </c>
      <c r="D2" s="3185" t="s">
        <v>2815</v>
      </c>
      <c r="E2" s="3185" t="s">
        <v>3014</v>
      </c>
      <c r="F2" s="3185" t="s">
        <v>3017</v>
      </c>
      <c r="G2" s="3185" t="s">
        <v>3018</v>
      </c>
      <c r="H2" s="3185" t="s">
        <v>3019</v>
      </c>
      <c r="I2" s="3185">
        <v>91915</v>
      </c>
      <c r="J2" s="3185">
        <v>284936.5</v>
      </c>
      <c r="K2" s="3185" t="s">
        <v>3020</v>
      </c>
      <c r="L2" s="3185" t="s">
        <v>3021</v>
      </c>
      <c r="M2" s="3185" t="s">
        <v>3022</v>
      </c>
      <c r="N2" s="3220" t="s">
        <v>3217</v>
      </c>
      <c r="O2" s="3185">
        <v>22100</v>
      </c>
      <c r="P2" s="3185">
        <v>160.29</v>
      </c>
      <c r="Q2" s="3185">
        <v>775.61</v>
      </c>
      <c r="R2" s="3185">
        <v>0</v>
      </c>
      <c r="S2" s="3185" t="s">
        <v>3023</v>
      </c>
      <c r="T2" s="3185" t="s">
        <v>3024</v>
      </c>
    </row>
    <row r="3" spans="1:22" s="3213" customFormat="1" ht="19.5" customHeight="1">
      <c r="A3" s="3212" t="s">
        <v>3025</v>
      </c>
      <c r="B3" s="3212" t="s">
        <v>3015</v>
      </c>
      <c r="C3" s="3212" t="s">
        <v>3016</v>
      </c>
      <c r="D3" s="3212" t="s">
        <v>2815</v>
      </c>
      <c r="E3" s="3212" t="s">
        <v>3025</v>
      </c>
      <c r="F3" s="3212" t="s">
        <v>3026</v>
      </c>
      <c r="G3" s="3212" t="s">
        <v>3027</v>
      </c>
      <c r="H3" s="3212" t="s">
        <v>3019</v>
      </c>
      <c r="I3" s="3212">
        <v>16390</v>
      </c>
      <c r="J3" s="3212">
        <v>32780</v>
      </c>
      <c r="K3" s="3212" t="s">
        <v>3028</v>
      </c>
      <c r="L3" s="3212" t="s">
        <v>3029</v>
      </c>
      <c r="M3" s="3212" t="s">
        <v>3030</v>
      </c>
      <c r="N3" s="3212" t="s">
        <v>3031</v>
      </c>
      <c r="O3" s="3212">
        <v>10480</v>
      </c>
      <c r="P3" s="3212">
        <v>426.28</v>
      </c>
      <c r="Q3" s="3212">
        <v>3197.07</v>
      </c>
      <c r="R3" s="3212">
        <v>42.01</v>
      </c>
      <c r="S3" s="3212" t="s">
        <v>3023</v>
      </c>
      <c r="T3" s="3212" t="s">
        <v>3024</v>
      </c>
    </row>
    <row r="4" spans="1:22" s="3189" customFormat="1" ht="19.5" customHeight="1">
      <c r="A4" s="3188" t="s">
        <v>3032</v>
      </c>
      <c r="B4" s="3188" t="s">
        <v>3015</v>
      </c>
      <c r="C4" s="3188" t="s">
        <v>3016</v>
      </c>
      <c r="D4" s="3188" t="s">
        <v>2815</v>
      </c>
      <c r="E4" s="3188" t="s">
        <v>3032</v>
      </c>
      <c r="F4" s="3188" t="s">
        <v>3026</v>
      </c>
      <c r="G4" s="3188" t="s">
        <v>3166</v>
      </c>
      <c r="H4" s="3188" t="s">
        <v>3019</v>
      </c>
      <c r="I4" s="3188">
        <v>57984</v>
      </c>
      <c r="J4" s="3188">
        <v>133363.20000000001</v>
      </c>
      <c r="K4" s="3188" t="s">
        <v>3033</v>
      </c>
      <c r="L4" s="3188" t="s">
        <v>3029</v>
      </c>
      <c r="M4" s="3188" t="s">
        <v>3030</v>
      </c>
      <c r="N4" s="3188" t="s">
        <v>3034</v>
      </c>
      <c r="O4" s="3188">
        <v>46720</v>
      </c>
      <c r="P4" s="3188">
        <v>537.16</v>
      </c>
      <c r="Q4" s="3188">
        <v>3503.21</v>
      </c>
      <c r="R4" s="3188">
        <v>70.39</v>
      </c>
      <c r="S4" s="3188" t="s">
        <v>3023</v>
      </c>
      <c r="T4" s="3188" t="s">
        <v>3024</v>
      </c>
    </row>
    <row r="5" spans="1:22" s="3189" customFormat="1" ht="19.5" customHeight="1">
      <c r="A5" s="3188" t="s">
        <v>3035</v>
      </c>
      <c r="B5" s="3188" t="s">
        <v>3015</v>
      </c>
      <c r="C5" s="3188" t="s">
        <v>3016</v>
      </c>
      <c r="D5" s="3188" t="s">
        <v>2815</v>
      </c>
      <c r="E5" s="3188" t="s">
        <v>3035</v>
      </c>
      <c r="F5" s="3188" t="s">
        <v>3026</v>
      </c>
      <c r="G5" s="3188" t="s">
        <v>3036</v>
      </c>
      <c r="H5" s="3188" t="s">
        <v>3019</v>
      </c>
      <c r="I5" s="3188">
        <v>36869</v>
      </c>
      <c r="J5" s="3188">
        <v>114293.9</v>
      </c>
      <c r="K5" s="3188" t="s">
        <v>3037</v>
      </c>
      <c r="L5" s="3188" t="s">
        <v>3029</v>
      </c>
      <c r="M5" s="3188" t="s">
        <v>3030</v>
      </c>
      <c r="N5" s="3188" t="s">
        <v>3034</v>
      </c>
      <c r="O5" s="3188">
        <v>37100</v>
      </c>
      <c r="P5" s="3188">
        <v>670.84</v>
      </c>
      <c r="Q5" s="3188">
        <v>3246.01</v>
      </c>
      <c r="R5" s="3188">
        <v>109.6</v>
      </c>
      <c r="S5" s="3188" t="s">
        <v>3023</v>
      </c>
      <c r="T5" s="3188" t="s">
        <v>3024</v>
      </c>
    </row>
    <row r="6" spans="1:22" s="3189" customFormat="1" ht="19.5" customHeight="1">
      <c r="A6" s="3188" t="s">
        <v>3038</v>
      </c>
      <c r="B6" s="3188" t="s">
        <v>3015</v>
      </c>
      <c r="C6" s="3188" t="s">
        <v>3016</v>
      </c>
      <c r="D6" s="3188" t="s">
        <v>2815</v>
      </c>
      <c r="E6" s="3188" t="s">
        <v>3038</v>
      </c>
      <c r="F6" s="3188" t="s">
        <v>3026</v>
      </c>
      <c r="G6" s="3188" t="s">
        <v>3039</v>
      </c>
      <c r="H6" s="3188" t="s">
        <v>3019</v>
      </c>
      <c r="I6" s="3188">
        <v>36905</v>
      </c>
      <c r="J6" s="3188">
        <v>110715</v>
      </c>
      <c r="K6" s="3188" t="s">
        <v>3040</v>
      </c>
      <c r="L6" s="3188" t="s">
        <v>3029</v>
      </c>
      <c r="M6" s="3188" t="s">
        <v>3030</v>
      </c>
      <c r="N6" s="3188" t="s">
        <v>3034</v>
      </c>
      <c r="O6" s="3188">
        <v>35020</v>
      </c>
      <c r="P6" s="3188">
        <v>632.62</v>
      </c>
      <c r="Q6" s="3188">
        <v>3163.07</v>
      </c>
      <c r="R6" s="3188">
        <v>110.71</v>
      </c>
      <c r="S6" s="3188" t="s">
        <v>3023</v>
      </c>
      <c r="T6" s="3188" t="s">
        <v>3024</v>
      </c>
    </row>
    <row r="7" spans="1:22" ht="19.5" customHeight="1">
      <c r="A7" s="3185" t="s">
        <v>3041</v>
      </c>
      <c r="B7" s="3185" t="s">
        <v>3015</v>
      </c>
      <c r="C7" s="3185" t="s">
        <v>3042</v>
      </c>
      <c r="D7" s="3185" t="s">
        <v>2815</v>
      </c>
      <c r="E7" s="3185" t="s">
        <v>3041</v>
      </c>
      <c r="F7" s="3185" t="s">
        <v>3026</v>
      </c>
      <c r="G7" s="3185" t="s">
        <v>3216</v>
      </c>
      <c r="H7" s="3185" t="s">
        <v>2815</v>
      </c>
      <c r="I7" s="3185">
        <v>26580</v>
      </c>
      <c r="J7" s="3185">
        <v>85056</v>
      </c>
      <c r="K7" s="3185" t="s">
        <v>3043</v>
      </c>
      <c r="L7" s="3185" t="s">
        <v>3044</v>
      </c>
      <c r="M7" s="3185" t="s">
        <v>3045</v>
      </c>
      <c r="N7" s="3185" t="s">
        <v>3046</v>
      </c>
      <c r="O7" s="3185">
        <v>22580</v>
      </c>
      <c r="P7" s="3185">
        <v>566.34</v>
      </c>
      <c r="Q7" s="3185">
        <v>2654.71</v>
      </c>
      <c r="R7" s="3185">
        <v>130.88</v>
      </c>
      <c r="S7" s="3185" t="s">
        <v>3047</v>
      </c>
      <c r="T7" s="3185" t="s">
        <v>3024</v>
      </c>
      <c r="U7" s="3222" t="s">
        <v>3219</v>
      </c>
    </row>
    <row r="8" spans="1:22" s="3213" customFormat="1" ht="19.5" customHeight="1">
      <c r="A8" s="3212" t="s">
        <v>3048</v>
      </c>
      <c r="B8" s="3212" t="s">
        <v>3015</v>
      </c>
      <c r="C8" s="3212" t="s">
        <v>3016</v>
      </c>
      <c r="D8" s="3212" t="s">
        <v>2815</v>
      </c>
      <c r="E8" s="3212" t="s">
        <v>3048</v>
      </c>
      <c r="F8" s="3212" t="s">
        <v>3026</v>
      </c>
      <c r="G8" s="3212" t="s">
        <v>3049</v>
      </c>
      <c r="H8" s="3212" t="s">
        <v>3019</v>
      </c>
      <c r="I8" s="3212">
        <v>26815</v>
      </c>
      <c r="J8" s="3212">
        <v>93852.5</v>
      </c>
      <c r="K8" s="3212" t="s">
        <v>3050</v>
      </c>
      <c r="L8" s="3212" t="s">
        <v>3051</v>
      </c>
      <c r="M8" s="3212" t="s">
        <v>3052</v>
      </c>
      <c r="N8" s="3214" t="s">
        <v>3190</v>
      </c>
      <c r="O8" s="3212">
        <v>32920</v>
      </c>
      <c r="P8" s="3212">
        <v>818.45</v>
      </c>
      <c r="Q8" s="3212">
        <v>3507.63</v>
      </c>
      <c r="R8" s="3212">
        <v>55.87</v>
      </c>
      <c r="S8" s="3212" t="s">
        <v>3023</v>
      </c>
      <c r="T8" s="3212" t="s">
        <v>3024</v>
      </c>
    </row>
    <row r="9" spans="1:22" ht="19.5" customHeight="1">
      <c r="A9" s="3185" t="s">
        <v>3053</v>
      </c>
      <c r="B9" s="3185" t="s">
        <v>3015</v>
      </c>
      <c r="C9" s="3185" t="s">
        <v>3016</v>
      </c>
      <c r="D9" s="3185" t="s">
        <v>2815</v>
      </c>
      <c r="E9" s="3185" t="s">
        <v>3053</v>
      </c>
      <c r="F9" s="3185" t="s">
        <v>3026</v>
      </c>
      <c r="G9" s="3185" t="s">
        <v>3054</v>
      </c>
      <c r="H9" s="3185" t="s">
        <v>3019</v>
      </c>
      <c r="I9" s="3185">
        <v>49795</v>
      </c>
      <c r="J9" s="3185">
        <v>174282.5</v>
      </c>
      <c r="K9" s="3185" t="s">
        <v>3050</v>
      </c>
      <c r="L9" s="3185" t="s">
        <v>3051</v>
      </c>
      <c r="M9" s="3185" t="s">
        <v>3052</v>
      </c>
      <c r="N9" s="3185" t="s">
        <v>3046</v>
      </c>
      <c r="O9" s="3185">
        <v>70940</v>
      </c>
      <c r="P9" s="3185">
        <v>949.76</v>
      </c>
      <c r="Q9" s="3185">
        <v>4070.4</v>
      </c>
      <c r="R9" s="3185">
        <v>79.87</v>
      </c>
      <c r="S9" s="3185" t="s">
        <v>3023</v>
      </c>
      <c r="T9" s="3185" t="s">
        <v>3024</v>
      </c>
    </row>
    <row r="10" spans="1:22" ht="19.5" customHeight="1">
      <c r="A10" s="3185" t="s">
        <v>3055</v>
      </c>
      <c r="B10" s="3185" t="s">
        <v>3015</v>
      </c>
      <c r="C10" s="3185" t="s">
        <v>3016</v>
      </c>
      <c r="D10" s="3185" t="s">
        <v>2815</v>
      </c>
      <c r="E10" s="3185" t="s">
        <v>3055</v>
      </c>
      <c r="F10" s="3185" t="s">
        <v>3026</v>
      </c>
      <c r="G10" s="3185" t="s">
        <v>3056</v>
      </c>
      <c r="H10" s="3185" t="s">
        <v>3019</v>
      </c>
      <c r="I10" s="3185">
        <v>19704</v>
      </c>
      <c r="J10" s="3185">
        <v>68964</v>
      </c>
      <c r="K10" s="3185" t="s">
        <v>3050</v>
      </c>
      <c r="L10" s="3185" t="s">
        <v>3057</v>
      </c>
      <c r="M10" s="3185" t="s">
        <v>3058</v>
      </c>
      <c r="N10" s="3185" t="s">
        <v>3046</v>
      </c>
      <c r="O10" s="3185">
        <v>19720</v>
      </c>
      <c r="P10" s="3185">
        <v>667.21</v>
      </c>
      <c r="Q10" s="3185">
        <v>2859.46</v>
      </c>
      <c r="R10" s="3185">
        <v>27.06</v>
      </c>
      <c r="S10" s="3185" t="s">
        <v>3023</v>
      </c>
      <c r="T10" s="3185" t="s">
        <v>3024</v>
      </c>
    </row>
    <row r="11" spans="1:22" ht="19.5" customHeight="1">
      <c r="A11" s="3185" t="s">
        <v>3059</v>
      </c>
      <c r="B11" s="3185" t="s">
        <v>3015</v>
      </c>
      <c r="C11" s="3185" t="s">
        <v>3016</v>
      </c>
      <c r="D11" s="3185" t="s">
        <v>2815</v>
      </c>
      <c r="E11" s="3185" t="s">
        <v>3059</v>
      </c>
      <c r="F11" s="3185" t="s">
        <v>3026</v>
      </c>
      <c r="G11" s="3185" t="s">
        <v>3060</v>
      </c>
      <c r="H11" s="3185" t="s">
        <v>3019</v>
      </c>
      <c r="I11" s="3185">
        <v>8133</v>
      </c>
      <c r="J11" s="3185">
        <v>28465.5</v>
      </c>
      <c r="K11" s="3185" t="s">
        <v>3050</v>
      </c>
      <c r="L11" s="3185" t="s">
        <v>3057</v>
      </c>
      <c r="M11" s="3185" t="s">
        <v>3058</v>
      </c>
      <c r="N11" s="3185" t="s">
        <v>3061</v>
      </c>
      <c r="O11" s="3185">
        <v>6485</v>
      </c>
      <c r="P11" s="3185">
        <v>531.58000000000004</v>
      </c>
      <c r="Q11" s="3185">
        <v>2278.19</v>
      </c>
      <c r="R11" s="3185">
        <v>1.57</v>
      </c>
      <c r="S11" s="3185" t="s">
        <v>3023</v>
      </c>
      <c r="T11" s="3185" t="s">
        <v>3024</v>
      </c>
    </row>
    <row r="12" spans="1:22" s="3213" customFormat="1" ht="19.5" customHeight="1">
      <c r="A12" s="3212" t="s">
        <v>3062</v>
      </c>
      <c r="B12" s="3212" t="s">
        <v>3015</v>
      </c>
      <c r="C12" s="3212" t="s">
        <v>3016</v>
      </c>
      <c r="D12" s="3212" t="s">
        <v>2815</v>
      </c>
      <c r="E12" s="3212" t="s">
        <v>3062</v>
      </c>
      <c r="F12" s="3212" t="s">
        <v>3026</v>
      </c>
      <c r="G12" s="3212" t="s">
        <v>3063</v>
      </c>
      <c r="H12" s="3212" t="s">
        <v>3019</v>
      </c>
      <c r="I12" s="3212">
        <v>36115</v>
      </c>
      <c r="J12" s="3212">
        <v>126402.5</v>
      </c>
      <c r="K12" s="3212" t="s">
        <v>3050</v>
      </c>
      <c r="L12" s="3212" t="s">
        <v>3057</v>
      </c>
      <c r="M12" s="3212" t="s">
        <v>3058</v>
      </c>
      <c r="N12" s="3212" t="s">
        <v>3046</v>
      </c>
      <c r="O12" s="3212">
        <v>48310</v>
      </c>
      <c r="P12" s="3212">
        <v>891.78</v>
      </c>
      <c r="Q12" s="3212">
        <v>3821.92</v>
      </c>
      <c r="R12" s="3212">
        <v>68.86</v>
      </c>
      <c r="S12" s="3212" t="s">
        <v>3023</v>
      </c>
      <c r="T12" s="3212" t="s">
        <v>3024</v>
      </c>
      <c r="U12" s="3228" t="s">
        <v>3232</v>
      </c>
      <c r="V12" s="3221"/>
    </row>
    <row r="13" spans="1:22" ht="19.5" customHeight="1">
      <c r="A13" s="3185" t="s">
        <v>3064</v>
      </c>
      <c r="B13" s="3185" t="s">
        <v>3015</v>
      </c>
      <c r="C13" s="3185" t="s">
        <v>3042</v>
      </c>
      <c r="D13" s="3185" t="s">
        <v>2815</v>
      </c>
      <c r="E13" s="3185" t="s">
        <v>3064</v>
      </c>
      <c r="F13" s="3185" t="s">
        <v>3026</v>
      </c>
      <c r="G13" s="3185" t="s">
        <v>3220</v>
      </c>
      <c r="H13" s="3185" t="s">
        <v>3065</v>
      </c>
      <c r="I13" s="3185">
        <v>1861</v>
      </c>
      <c r="J13" s="3185">
        <v>9305</v>
      </c>
      <c r="K13" s="3185" t="s">
        <v>3066</v>
      </c>
      <c r="L13" s="3185" t="s">
        <v>3067</v>
      </c>
      <c r="M13" s="3185" t="s">
        <v>3068</v>
      </c>
      <c r="N13" s="3220" t="s">
        <v>3218</v>
      </c>
      <c r="O13" s="3185">
        <v>420</v>
      </c>
      <c r="P13" s="3185">
        <v>150.46</v>
      </c>
      <c r="Q13" s="3185">
        <v>451.37</v>
      </c>
      <c r="R13" s="3185">
        <v>0</v>
      </c>
      <c r="S13" s="3185" t="s">
        <v>3070</v>
      </c>
      <c r="T13" s="3185" t="s">
        <v>3024</v>
      </c>
    </row>
    <row r="14" spans="1:22" s="3226" customFormat="1" ht="19.5" customHeight="1">
      <c r="A14" s="3223" t="s">
        <v>3071</v>
      </c>
      <c r="B14" s="3223" t="s">
        <v>3015</v>
      </c>
      <c r="C14" s="3223" t="s">
        <v>3042</v>
      </c>
      <c r="D14" s="3223" t="s">
        <v>2815</v>
      </c>
      <c r="E14" s="3223" t="s">
        <v>3071</v>
      </c>
      <c r="F14" s="3223" t="s">
        <v>3026</v>
      </c>
      <c r="G14" s="3223" t="s">
        <v>3222</v>
      </c>
      <c r="H14" s="3223" t="s">
        <v>3072</v>
      </c>
      <c r="I14" s="3223">
        <v>48050</v>
      </c>
      <c r="J14" s="3223">
        <v>302715</v>
      </c>
      <c r="K14" s="3223" t="s">
        <v>3073</v>
      </c>
      <c r="L14" s="3223" t="s">
        <v>3074</v>
      </c>
      <c r="M14" s="3223" t="s">
        <v>3075</v>
      </c>
      <c r="N14" s="3224" t="s">
        <v>3221</v>
      </c>
      <c r="O14" s="3223">
        <v>18750</v>
      </c>
      <c r="P14" s="3223">
        <v>260.14999999999998</v>
      </c>
      <c r="Q14" s="3223">
        <v>619.38</v>
      </c>
      <c r="R14" s="3223">
        <v>0</v>
      </c>
      <c r="S14" s="3223" t="s">
        <v>3076</v>
      </c>
      <c r="T14" s="3223" t="s">
        <v>3024</v>
      </c>
      <c r="U14" s="3225" t="s">
        <v>3223</v>
      </c>
    </row>
    <row r="15" spans="1:22" s="3226" customFormat="1" ht="19.5" customHeight="1">
      <c r="A15" s="3223" t="s">
        <v>3077</v>
      </c>
      <c r="B15" s="3223" t="s">
        <v>3015</v>
      </c>
      <c r="C15" s="3223" t="s">
        <v>3016</v>
      </c>
      <c r="D15" s="3223" t="s">
        <v>2815</v>
      </c>
      <c r="E15" s="3223" t="s">
        <v>3077</v>
      </c>
      <c r="F15" s="3223" t="s">
        <v>3026</v>
      </c>
      <c r="G15" s="3223" t="s">
        <v>3224</v>
      </c>
      <c r="H15" s="3223" t="s">
        <v>3078</v>
      </c>
      <c r="I15" s="3223">
        <v>30856</v>
      </c>
      <c r="J15" s="3223">
        <v>154280</v>
      </c>
      <c r="K15" s="3223" t="s">
        <v>3066</v>
      </c>
      <c r="L15" s="3223" t="s">
        <v>3079</v>
      </c>
      <c r="M15" s="3223" t="s">
        <v>3080</v>
      </c>
      <c r="N15" s="3224" t="s">
        <v>3226</v>
      </c>
      <c r="O15" s="3223">
        <v>7350</v>
      </c>
      <c r="P15" s="3223">
        <v>158.80000000000001</v>
      </c>
      <c r="Q15" s="3223">
        <v>476.41</v>
      </c>
      <c r="R15" s="3223">
        <v>0</v>
      </c>
      <c r="S15" s="3223" t="s">
        <v>3023</v>
      </c>
      <c r="T15" s="3223" t="s">
        <v>3024</v>
      </c>
      <c r="U15" s="3227" t="s">
        <v>3227</v>
      </c>
    </row>
    <row r="16" spans="1:22" ht="19.5" customHeight="1">
      <c r="A16" s="3185" t="s">
        <v>3082</v>
      </c>
      <c r="B16" s="3185" t="s">
        <v>3015</v>
      </c>
      <c r="C16" s="3185" t="s">
        <v>3042</v>
      </c>
      <c r="D16" s="3185" t="s">
        <v>2815</v>
      </c>
      <c r="E16" s="3185" t="s">
        <v>3082</v>
      </c>
      <c r="F16" s="3185" t="s">
        <v>3026</v>
      </c>
      <c r="G16" s="3185" t="s">
        <v>3083</v>
      </c>
      <c r="H16" s="3185" t="s">
        <v>3084</v>
      </c>
      <c r="I16" s="3185">
        <v>20868</v>
      </c>
      <c r="J16" s="3185">
        <v>52170</v>
      </c>
      <c r="K16" s="3185" t="s">
        <v>3085</v>
      </c>
      <c r="L16" s="3185" t="s">
        <v>3086</v>
      </c>
      <c r="M16" s="3185" t="s">
        <v>3087</v>
      </c>
      <c r="N16" s="3220" t="s">
        <v>3229</v>
      </c>
      <c r="O16" s="3185">
        <v>13000</v>
      </c>
      <c r="P16" s="3185">
        <v>415.31</v>
      </c>
      <c r="Q16" s="3185">
        <v>2491.84</v>
      </c>
      <c r="R16" s="3185">
        <v>66.67</v>
      </c>
      <c r="S16" s="3185" t="s">
        <v>3070</v>
      </c>
      <c r="T16" s="3185" t="s">
        <v>3024</v>
      </c>
      <c r="U16" s="3186" t="s">
        <v>3230</v>
      </c>
    </row>
    <row r="17" spans="1:21" s="3226" customFormat="1" ht="19.5" customHeight="1">
      <c r="A17" s="3223" t="s">
        <v>3088</v>
      </c>
      <c r="B17" s="3223" t="s">
        <v>3015</v>
      </c>
      <c r="C17" s="3223" t="s">
        <v>3042</v>
      </c>
      <c r="D17" s="3223" t="s">
        <v>2815</v>
      </c>
      <c r="E17" s="3223" t="s">
        <v>3088</v>
      </c>
      <c r="F17" s="3223" t="s">
        <v>3026</v>
      </c>
      <c r="G17" s="3223" t="s">
        <v>3225</v>
      </c>
      <c r="H17" s="3223" t="s">
        <v>3089</v>
      </c>
      <c r="I17" s="3223">
        <v>31355</v>
      </c>
      <c r="J17" s="3223">
        <v>156775</v>
      </c>
      <c r="K17" s="3223" t="s">
        <v>3066</v>
      </c>
      <c r="L17" s="3223" t="s">
        <v>3090</v>
      </c>
      <c r="M17" s="3223" t="s">
        <v>3091</v>
      </c>
      <c r="N17" s="3223" t="s">
        <v>3081</v>
      </c>
      <c r="O17" s="3223">
        <v>7600</v>
      </c>
      <c r="P17" s="3223">
        <v>161.59</v>
      </c>
      <c r="Q17" s="3223">
        <v>484.76</v>
      </c>
      <c r="R17" s="3223">
        <v>0</v>
      </c>
      <c r="S17" s="3223" t="s">
        <v>3092</v>
      </c>
      <c r="T17" s="3223" t="s">
        <v>3024</v>
      </c>
      <c r="U17" s="3227" t="s">
        <v>3228</v>
      </c>
    </row>
    <row r="18" spans="1:21" s="3216" customFormat="1" ht="19.5" customHeight="1">
      <c r="A18" s="3215" t="s">
        <v>3093</v>
      </c>
      <c r="B18" s="3215" t="s">
        <v>3015</v>
      </c>
      <c r="C18" s="3215" t="s">
        <v>3016</v>
      </c>
      <c r="D18" s="3215" t="s">
        <v>2815</v>
      </c>
      <c r="E18" s="3215" t="s">
        <v>3093</v>
      </c>
      <c r="F18" s="3215" t="s">
        <v>3026</v>
      </c>
      <c r="G18" s="3215" t="s">
        <v>3094</v>
      </c>
      <c r="H18" s="3215" t="s">
        <v>3078</v>
      </c>
      <c r="I18" s="3215">
        <v>117612</v>
      </c>
      <c r="J18" s="3215">
        <v>141134.39999999999</v>
      </c>
      <c r="K18" s="3215" t="s">
        <v>3095</v>
      </c>
      <c r="L18" s="3215" t="s">
        <v>3096</v>
      </c>
      <c r="M18" s="3215" t="s">
        <v>3097</v>
      </c>
      <c r="N18" s="3215" t="s">
        <v>3098</v>
      </c>
      <c r="O18" s="3215">
        <v>39050</v>
      </c>
      <c r="P18" s="3215">
        <v>221.35</v>
      </c>
      <c r="Q18" s="3215">
        <v>2766.86</v>
      </c>
      <c r="R18" s="3215">
        <v>0.51</v>
      </c>
      <c r="S18" s="3215" t="s">
        <v>3023</v>
      </c>
      <c r="T18" s="3215" t="s">
        <v>3024</v>
      </c>
    </row>
    <row r="19" spans="1:21" ht="19.5" customHeight="1">
      <c r="A19" s="3185" t="s">
        <v>3099</v>
      </c>
      <c r="B19" s="3185" t="s">
        <v>3015</v>
      </c>
      <c r="C19" s="3185" t="s">
        <v>3042</v>
      </c>
      <c r="D19" s="3185" t="s">
        <v>2815</v>
      </c>
      <c r="E19" s="3185" t="s">
        <v>3099</v>
      </c>
      <c r="F19" s="3185" t="s">
        <v>3026</v>
      </c>
      <c r="G19" s="3185" t="s">
        <v>3100</v>
      </c>
      <c r="H19" s="3185" t="s">
        <v>3101</v>
      </c>
      <c r="I19" s="3185">
        <v>3787</v>
      </c>
      <c r="J19" s="3185">
        <v>18935</v>
      </c>
      <c r="K19" s="3185" t="s">
        <v>3102</v>
      </c>
      <c r="L19" s="3185" t="s">
        <v>3096</v>
      </c>
      <c r="M19" s="3185" t="s">
        <v>3103</v>
      </c>
      <c r="N19" s="3185" t="s">
        <v>3069</v>
      </c>
      <c r="O19" s="3185">
        <v>1120</v>
      </c>
      <c r="P19" s="3185">
        <v>197.17</v>
      </c>
      <c r="Q19" s="3185">
        <v>591.5</v>
      </c>
      <c r="R19" s="3185">
        <v>0</v>
      </c>
      <c r="S19" s="3185" t="s">
        <v>3104</v>
      </c>
      <c r="T19" s="3185" t="s">
        <v>3024</v>
      </c>
    </row>
    <row r="20" spans="1:21" ht="19.5" customHeight="1">
      <c r="A20" s="3185" t="s">
        <v>3105</v>
      </c>
      <c r="B20" s="3185" t="s">
        <v>3015</v>
      </c>
      <c r="C20" s="3185" t="s">
        <v>3016</v>
      </c>
      <c r="D20" s="3185" t="s">
        <v>2815</v>
      </c>
      <c r="E20" s="3185" t="s">
        <v>3105</v>
      </c>
      <c r="F20" s="3185" t="s">
        <v>3026</v>
      </c>
      <c r="G20" s="3185" t="s">
        <v>3106</v>
      </c>
      <c r="H20" s="3185" t="s">
        <v>3107</v>
      </c>
      <c r="I20" s="3185">
        <v>1386</v>
      </c>
      <c r="J20" s="3185">
        <v>3880.8</v>
      </c>
      <c r="K20" s="3185" t="s">
        <v>3108</v>
      </c>
      <c r="L20" s="3185" t="s">
        <v>3109</v>
      </c>
      <c r="M20" s="3185" t="s">
        <v>3110</v>
      </c>
      <c r="N20" s="3185" t="s">
        <v>3111</v>
      </c>
      <c r="O20" s="3185">
        <v>585</v>
      </c>
      <c r="P20" s="3185">
        <v>281.39</v>
      </c>
      <c r="Q20" s="3185">
        <v>1507.42</v>
      </c>
      <c r="R20" s="3185">
        <v>0</v>
      </c>
      <c r="S20" s="3185" t="s">
        <v>3023</v>
      </c>
      <c r="T20" s="3185" t="s">
        <v>3024</v>
      </c>
    </row>
  </sheetData>
  <phoneticPr fontId="228" type="noConversion"/>
  <hyperlinks>
    <hyperlink ref="U12" r:id="rId1" display="http://www.sohu.com/a/302645625_391639"/>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五矿国际信托有限公司：</v>
      </c>
    </row>
    <row r="4" spans="1:4" ht="37.5">
      <c r="A4" s="1774" t="str">
        <f>"受贵公司委托，我公司对"&amp;项目基本情况!K2&amp;项目基本情况!B9&amp;"进行了预评估。"</f>
        <v>受贵公司委托，我公司对云南省玉溪市红塔区李棋街道新康井路以西出让国有建设用地使用权抵押价格进行了预评估。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玉溪润雅置业有限公司使用的、位于云南省玉溪市红塔区李棋街道新康井路以西出让国有建设用地使用权。根据《国有土地使用证》[]，估价对象（分摊）出让国有建设用地使用权面积为36905.32平方米。根据《建设工程规划许可证》[]、《出让合同》[]，估价对象规划建筑面积为140701.99平方米。</v>
      </c>
    </row>
    <row r="7" spans="1:4" ht="93.75">
      <c r="A7" s="2826" t="s">
        <v>2745</v>
      </c>
    </row>
    <row r="8" spans="1:4" ht="18.75">
      <c r="A8" s="1777" t="s">
        <v>1906</v>
      </c>
    </row>
    <row r="9" spans="1:4" ht="93.75">
      <c r="A9" s="1779" t="str">
        <f>IF(项目基本情况!B8="抵押",IF(项目基本情况!B5=项目基本情况!B6,定义!C51,定义!B51),定义!D51)</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2019年10月25日（评估专业人员勘察现场之日）</v>
      </c>
    </row>
    <row r="12" spans="1:4" ht="18.75">
      <c r="A12" s="1780" t="s">
        <v>2024</v>
      </c>
    </row>
    <row r="13" spans="1:4" ht="18.75">
      <c r="A13" s="1774" t="s">
        <v>2070</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根据委托估价方介绍及评估专业人员现场勘查，本次评估估价对象实际土地开发程度为红线外市政基础设施达“六通”（即通路、通电、通讯、通上水、通下水、燃气）、宗地红线内已开工建设。。</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根据《国有土地使用证》[]，估价对象（分摊）出让国有建设用地使用权面积为36905.32平方米。根据《建设工程规划许可证》[]、《出让合同》[]，估价对象规划建筑面积为140701.99平方米。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2746</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H32" sqref="H3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35193</v>
      </c>
      <c r="C2" s="2087"/>
      <c r="D2" s="2087"/>
      <c r="E2" s="2087"/>
      <c r="F2" s="2087"/>
      <c r="G2" s="2087"/>
      <c r="H2" s="2087"/>
      <c r="I2" s="2087"/>
      <c r="J2" s="2087"/>
      <c r="K2" s="2087"/>
    </row>
    <row r="3" spans="1:31" s="2024" customFormat="1" ht="18" customHeight="1">
      <c r="A3" s="2089" t="s">
        <v>1684</v>
      </c>
      <c r="B3" s="2090">
        <f ca="1">ROUND(B2*10000/IF(B1="",'数据-汇总表'!E3,INDIRECT("'数据-取费表'!K"&amp;$K$1)),0)</f>
        <v>2501</v>
      </c>
      <c r="C3" s="2087"/>
      <c r="D3" s="2087"/>
      <c r="E3" s="2087"/>
      <c r="F3" s="2087"/>
      <c r="G3" s="2087"/>
      <c r="H3" s="2087"/>
      <c r="I3" s="2087"/>
      <c r="J3" s="2087"/>
      <c r="K3" s="2087"/>
    </row>
    <row r="4" spans="1:31" s="2024" customFormat="1" ht="18" customHeight="1">
      <c r="A4" s="425" t="s">
        <v>468</v>
      </c>
      <c r="B4" s="426">
        <f ca="1">ROUND(B2*10000/IF(B1="",'数据-汇总表'!D3,INDIRECT("'数据-取费表'!R"&amp;$K$1)),0)</f>
        <v>9536</v>
      </c>
      <c r="C4" s="427"/>
      <c r="D4" s="421"/>
      <c r="E4" s="421"/>
      <c r="F4" s="421"/>
      <c r="G4" s="421"/>
      <c r="H4" s="421"/>
      <c r="I4" s="421"/>
      <c r="J4" s="421"/>
      <c r="K4" s="421"/>
    </row>
    <row r="5" spans="1:31" s="2024" customFormat="1" ht="18" customHeight="1" thickBot="1">
      <c r="A5" s="428"/>
      <c r="B5" s="429">
        <f ca="1">ROUND(B2/(IF(B1="",'数据-汇总表'!D3,INDIRECT("'数据-取费表'!R"&amp;$K$1))/666.67),0)</f>
        <v>636</v>
      </c>
      <c r="C5" s="430" t="s">
        <v>469</v>
      </c>
      <c r="D5" s="421"/>
      <c r="E5" s="421"/>
      <c r="F5" s="421"/>
      <c r="G5" s="421"/>
      <c r="H5" s="421"/>
      <c r="I5" s="421"/>
      <c r="J5" s="421"/>
      <c r="K5" s="421"/>
    </row>
    <row r="6" spans="1:31" s="2094" customFormat="1" ht="16.5" customHeight="1">
      <c r="A6" s="2781" t="s">
        <v>1842</v>
      </c>
      <c r="B6" s="2782"/>
      <c r="C6" s="2783">
        <f ca="1">SUM(C10:K10)</f>
        <v>89932</v>
      </c>
      <c r="D6" s="2782"/>
      <c r="E6" s="2782"/>
      <c r="F6" s="2782"/>
      <c r="G6" s="2782"/>
      <c r="H6" s="2782"/>
      <c r="I6" s="2782"/>
      <c r="J6" s="2782"/>
      <c r="K6" s="2784"/>
    </row>
    <row r="7" spans="1:31" s="2096" customFormat="1" ht="25.5">
      <c r="A7" s="2785" t="s">
        <v>470</v>
      </c>
      <c r="B7" s="2786" t="s">
        <v>471</v>
      </c>
      <c r="C7" s="435" t="s">
        <v>923</v>
      </c>
      <c r="D7" s="435" t="s">
        <v>3145</v>
      </c>
      <c r="E7" s="435" t="s">
        <v>3292</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7907</v>
      </c>
      <c r="D8" s="2787">
        <f ca="1">'不动产收益法（商业）'!B3</f>
        <v>8816</v>
      </c>
      <c r="E8" s="2787">
        <f ca="1">'不动产收益法（车位）'!B3</f>
        <v>2441</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102713.52</v>
      </c>
      <c r="D9" s="440">
        <f>SUMIF('数据-汇总表'!$C19:$C33,'剩余法-待开发'!D7,'数据-汇总表'!$E19:$E33)</f>
        <v>2594.0100000000002</v>
      </c>
      <c r="E9" s="440">
        <f>SUMIF('数据-汇总表'!$C19:$C33,'剩余法-待开发'!E7,'数据-汇总表'!$E19:$E33)</f>
        <v>26341.64</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8">
        <f>'不动产比较法-住宅'!B2</f>
        <v>81216</v>
      </c>
      <c r="D10" s="2978">
        <f ca="1">'不动产收益法（商业）'!B2</f>
        <v>2287</v>
      </c>
      <c r="E10" s="2978">
        <f ca="1">'不动产收益法（车位）'!B2</f>
        <v>6429</v>
      </c>
      <c r="F10" s="2790"/>
      <c r="G10" s="2790"/>
      <c r="H10" s="2790"/>
      <c r="I10" s="2790"/>
      <c r="J10" s="2790"/>
      <c r="K10" s="2791"/>
      <c r="L10" s="2097">
        <f ca="1">E10/'数据-取费表'!AH8</f>
        <v>7.4237875288683606</v>
      </c>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29564</v>
      </c>
      <c r="D13" s="2797"/>
      <c r="E13" s="2798"/>
      <c r="F13" s="2799"/>
      <c r="G13" s="2765"/>
      <c r="H13" s="2766"/>
      <c r="I13" s="2766"/>
      <c r="J13" s="2766"/>
      <c r="K13" s="2767"/>
    </row>
    <row r="14" spans="1:31" s="2099" customFormat="1" ht="13.5" customHeight="1">
      <c r="A14" s="2795" t="s">
        <v>1849</v>
      </c>
      <c r="B14" s="2796" t="s">
        <v>480</v>
      </c>
      <c r="C14" s="53">
        <f ca="1">ROUND(C13*F14,0)</f>
        <v>887</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1130</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2814</v>
      </c>
      <c r="D16" s="2797">
        <f ca="1">IF(B1="",'数据-汇总表'!E3,INDIRECT("'数据-取费表'!K"&amp;$K$1)+INDIRECT("'数据-取费表'!S"&amp;$K$1))</f>
        <v>140701.99</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443</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34838</v>
      </c>
      <c r="D18" s="2806"/>
      <c r="E18" s="467"/>
      <c r="F18" s="467"/>
      <c r="G18" s="2769" t="s">
        <v>2428</v>
      </c>
      <c r="H18" s="2770"/>
      <c r="I18" s="2770"/>
      <c r="J18" s="2770"/>
      <c r="K18" s="2771"/>
    </row>
    <row r="19" spans="1:14" s="2099" customFormat="1" ht="13.5" customHeight="1">
      <c r="A19" s="2803" t="s">
        <v>1854</v>
      </c>
      <c r="B19" s="2804" t="s">
        <v>488</v>
      </c>
      <c r="C19" s="2761">
        <f ca="1">ROUND(D19*E19/10000,0)</f>
        <v>0</v>
      </c>
      <c r="D19" s="2807">
        <f ca="1">D16</f>
        <v>140701.99</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160</v>
      </c>
      <c r="D20" s="2807"/>
      <c r="E20" s="2761"/>
      <c r="F20" s="2808"/>
      <c r="G20" s="3037"/>
      <c r="H20" s="2763"/>
      <c r="I20" s="2764" t="s">
        <v>2648</v>
      </c>
      <c r="J20" s="2770"/>
      <c r="K20" s="2771"/>
    </row>
    <row r="21" spans="1:14" s="2099" customFormat="1" ht="13.5" customHeight="1">
      <c r="A21" s="2795" t="s">
        <v>1856</v>
      </c>
      <c r="B21" s="2796" t="s">
        <v>491</v>
      </c>
      <c r="C21" s="53">
        <f ca="1">ROUND(D21*E21/10000,0)</f>
        <v>103</v>
      </c>
      <c r="D21" s="2797">
        <f ca="1">IF(B1="",'数据-汇总表'!E5,IF(INDIRECT("'数据-取费表'!c"&amp;$K$1)="住宅",INDIRECT("'数据-取费表'!k"&amp;$K$1),0))</f>
        <v>102713.52</v>
      </c>
      <c r="E21" s="53">
        <f>'数据-取费表'!B27</f>
        <v>10</v>
      </c>
      <c r="F21" s="2800"/>
      <c r="G21" s="26"/>
      <c r="H21" s="51"/>
      <c r="I21" s="51"/>
      <c r="J21" s="51"/>
      <c r="K21" s="2772"/>
    </row>
    <row r="22" spans="1:14" s="2099" customFormat="1" ht="13.5" customHeight="1">
      <c r="A22" s="2795" t="s">
        <v>1857</v>
      </c>
      <c r="B22" s="2796" t="s">
        <v>492</v>
      </c>
      <c r="C22" s="53">
        <f ca="1">ROUND(D22*E22/10000,0)</f>
        <v>57</v>
      </c>
      <c r="D22" s="2797">
        <f ca="1">IF(B1="",'数据-汇总表'!E6,IF(INDIRECT("'数据-取费表'!c"&amp;$K$1)="住宅",INDIRECT("'数据-取费表'!s"&amp;$K$1),INDIRECT("'数据-取费表'!k"&amp;$K$1)+INDIRECT("'数据-取费表'!s"&amp;$K$1)))</f>
        <v>37988.469999999987</v>
      </c>
      <c r="E22" s="53">
        <f>'数据-取费表'!B28</f>
        <v>15</v>
      </c>
      <c r="F22" s="2800"/>
      <c r="G22" s="26"/>
      <c r="H22" s="51"/>
      <c r="I22" s="51"/>
      <c r="J22" s="51"/>
      <c r="K22" s="2772"/>
    </row>
    <row r="23" spans="1:14" s="2099" customFormat="1" ht="13.5" customHeight="1">
      <c r="A23" s="2803" t="s">
        <v>1858</v>
      </c>
      <c r="B23" s="2984" t="s">
        <v>2831</v>
      </c>
      <c r="C23" s="2805">
        <f ca="1">ROUND((C18+C19+C20)*F23,0)</f>
        <v>700</v>
      </c>
      <c r="D23" s="467"/>
      <c r="E23" s="467"/>
      <c r="F23" s="2809">
        <f>'数据-取费表'!B37</f>
        <v>0.02</v>
      </c>
      <c r="G23" s="2765" t="s">
        <v>2429</v>
      </c>
      <c r="H23" s="2766"/>
      <c r="I23" s="2766"/>
      <c r="J23" s="2766"/>
      <c r="K23" s="2767"/>
      <c r="L23" s="2101"/>
      <c r="M23" s="2101"/>
      <c r="N23" s="2101"/>
    </row>
    <row r="24" spans="1:14" s="2099" customFormat="1" ht="13.5" customHeight="1">
      <c r="A24" s="2803" t="s">
        <v>1859</v>
      </c>
      <c r="B24" s="2984" t="s">
        <v>2834</v>
      </c>
      <c r="C24" s="2805">
        <f ca="1">ROUND(C6*F24,0)</f>
        <v>1349</v>
      </c>
      <c r="D24" s="474"/>
      <c r="E24" s="472"/>
      <c r="F24" s="2809">
        <f>'数据-取费表'!B38</f>
        <v>1.4999999999999999E-2</v>
      </c>
      <c r="G24" s="2774" t="s">
        <v>499</v>
      </c>
      <c r="H24" s="2768"/>
      <c r="I24" s="2768"/>
      <c r="J24" s="2768"/>
      <c r="K24" s="278"/>
      <c r="L24" s="2101"/>
      <c r="M24" s="2101"/>
      <c r="N24" s="2101"/>
    </row>
    <row r="25" spans="1:14" s="2102" customFormat="1" ht="13.5" customHeight="1">
      <c r="A25" s="2803" t="s">
        <v>1860</v>
      </c>
      <c r="B25" s="2984" t="s">
        <v>2832</v>
      </c>
      <c r="C25" s="466">
        <f>ROUND(F25/(1+'数据-取费表'!C42),4)</f>
        <v>2.9000000000000001E-2</v>
      </c>
      <c r="D25" s="461" t="s">
        <v>2826</v>
      </c>
      <c r="E25" s="468"/>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5" t="s">
        <v>2833</v>
      </c>
      <c r="C26" s="2810">
        <f ca="1">C28</f>
        <v>1760</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2835</v>
      </c>
      <c r="C28" s="2813">
        <f ca="1">ROUND(IF('数据-取费表'!B22&lt;=1,(C18+C19+C20+C23+C24)*F26*'数据-取费表'!B24/2,(C18+C19+C20+C23+C24)*(POWER((1+F26),'数据-取费表'!B24/2)-1)),0)</f>
        <v>1760</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 ca="1">ROUND(C6*F29/(1+'数据-取费表'!C42),0)</f>
        <v>4796</v>
      </c>
      <c r="D29" s="467"/>
      <c r="E29" s="467"/>
      <c r="F29" s="2986">
        <f>'数据-取费表'!B41</f>
        <v>5.6000000000000001E-2</v>
      </c>
      <c r="G29" s="2774" t="s">
        <v>498</v>
      </c>
      <c r="H29" s="2766"/>
      <c r="I29" s="2766"/>
      <c r="J29" s="2766"/>
      <c r="K29" s="2767"/>
    </row>
    <row r="30" spans="1:14" s="2104" customFormat="1" ht="13.5" customHeight="1">
      <c r="A30" s="1619" t="s">
        <v>1863</v>
      </c>
      <c r="B30" s="2815" t="s">
        <v>500</v>
      </c>
      <c r="C30" s="2810">
        <f ca="1">C31</f>
        <v>43603</v>
      </c>
      <c r="D30" s="476">
        <f ca="1">C32</f>
        <v>0.12909999999999999</v>
      </c>
      <c r="E30" s="468" t="s">
        <v>495</v>
      </c>
      <c r="F30" s="470"/>
      <c r="G30" s="2773" t="s">
        <v>2968</v>
      </c>
      <c r="H30" s="2766"/>
      <c r="I30" s="2766"/>
      <c r="J30" s="2766"/>
      <c r="K30" s="2767"/>
    </row>
    <row r="31" spans="1:14" s="2103" customFormat="1" ht="13.5" customHeight="1">
      <c r="A31" s="802" t="s">
        <v>1856</v>
      </c>
      <c r="B31" s="2811"/>
      <c r="C31" s="449">
        <f ca="1">C18+C19+C20+C23+C24+C26+C29</f>
        <v>43603</v>
      </c>
      <c r="D31" s="471"/>
      <c r="E31" s="472"/>
      <c r="F31" s="473"/>
      <c r="G31" s="260"/>
      <c r="H31" s="2768"/>
      <c r="I31" s="2768"/>
      <c r="J31" s="2768"/>
      <c r="K31" s="278"/>
    </row>
    <row r="32" spans="1:14" s="2103" customFormat="1" ht="13.5" customHeight="1">
      <c r="A32" s="802" t="s">
        <v>1857</v>
      </c>
      <c r="B32" s="2811"/>
      <c r="C32" s="53">
        <f ca="1">ROUND(C25+D26,4)</f>
        <v>0.12909999999999999</v>
      </c>
      <c r="D32" s="471"/>
      <c r="E32" s="472"/>
      <c r="F32" s="473"/>
      <c r="G32" s="260"/>
      <c r="H32" s="2768"/>
      <c r="I32" s="2768"/>
      <c r="J32" s="2768"/>
      <c r="K32" s="278"/>
    </row>
    <row r="33" spans="1:11" s="2105" customFormat="1" ht="13.5" customHeight="1">
      <c r="A33" s="2983" t="s">
        <v>2830</v>
      </c>
      <c r="B33" s="2981" t="s">
        <v>2828</v>
      </c>
      <c r="C33" s="477">
        <f ca="1">C35</f>
        <v>3334</v>
      </c>
      <c r="D33" s="466">
        <f ca="1">C34</f>
        <v>9.2600000000000002E-2</v>
      </c>
      <c r="E33" s="468" t="s">
        <v>495</v>
      </c>
      <c r="F33" s="478">
        <f ca="1">IF(B1="",'数据-取费表'!Q16,INDIRECT("'数据-取费表'!q"&amp;$K$1))</f>
        <v>0.09</v>
      </c>
      <c r="G33" s="2769"/>
      <c r="H33" s="2770"/>
      <c r="I33" s="2770"/>
      <c r="J33" s="2770"/>
      <c r="K33" s="2771"/>
    </row>
    <row r="34" spans="1:11" s="2106" customFormat="1" ht="13.5" customHeight="1">
      <c r="A34" s="374" t="s">
        <v>1856</v>
      </c>
      <c r="B34" s="2816" t="s">
        <v>501</v>
      </c>
      <c r="C34" s="471">
        <f ca="1">ROUND((1+C25)*F33,4)</f>
        <v>9.2600000000000002E-2</v>
      </c>
      <c r="D34" s="471"/>
      <c r="E34" s="472"/>
      <c r="F34" s="479"/>
      <c r="G34" s="260" t="s">
        <v>2289</v>
      </c>
      <c r="H34" s="2768"/>
      <c r="I34" s="2768"/>
      <c r="J34" s="2768"/>
      <c r="K34" s="278"/>
    </row>
    <row r="35" spans="1:11" s="2106" customFormat="1" ht="13.5" customHeight="1" thickBot="1">
      <c r="A35" s="1620" t="s">
        <v>1857</v>
      </c>
      <c r="B35" s="2982" t="s">
        <v>2836</v>
      </c>
      <c r="C35" s="1612">
        <f ca="1">ROUND((C18+C19+C20+C23+C24)*F33,0)</f>
        <v>3334</v>
      </c>
      <c r="D35" s="1613"/>
      <c r="E35" s="2817"/>
      <c r="F35" s="1614"/>
      <c r="G35" s="2775"/>
      <c r="H35" s="2776"/>
      <c r="I35" s="2776"/>
      <c r="J35" s="2776"/>
      <c r="K35" s="2777"/>
    </row>
    <row r="36" spans="1:11" s="2068" customFormat="1" ht="13.5" customHeight="1" thickBot="1">
      <c r="A36" s="283" t="s">
        <v>1844</v>
      </c>
      <c r="B36" s="2779"/>
      <c r="C36" s="2818">
        <f ca="1">ROUND((C6-C30-C33)/(1+D30+D33),0)</f>
        <v>35193</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 sqref="E5:F5"/>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5" t="s">
        <v>719</v>
      </c>
      <c r="C1" s="2586" t="s">
        <v>720</v>
      </c>
      <c r="D1" s="2587" t="s">
        <v>923</v>
      </c>
      <c r="E1" s="2588"/>
      <c r="F1" s="2760" t="s">
        <v>3189</v>
      </c>
      <c r="G1" s="1585" t="s">
        <v>721</v>
      </c>
      <c r="H1" s="505"/>
      <c r="I1" s="505"/>
      <c r="J1" s="505"/>
      <c r="K1" s="506"/>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2" t="s">
        <v>467</v>
      </c>
      <c r="B2" s="2584">
        <f>ROUND(B3*D3/10000,0)</f>
        <v>81216</v>
      </c>
      <c r="C2" s="2110"/>
      <c r="D2" s="2110"/>
      <c r="E2" s="2110"/>
      <c r="F2" s="2184"/>
      <c r="G2" s="2110"/>
      <c r="H2" s="2110"/>
      <c r="I2" s="2110"/>
      <c r="J2" s="2110"/>
      <c r="K2" s="2185"/>
      <c r="L2" s="2186"/>
      <c r="M2" s="2187"/>
      <c r="N2" s="2187"/>
      <c r="O2" s="2187"/>
      <c r="P2" s="1586"/>
      <c r="Q2" s="1586"/>
      <c r="R2" s="1586"/>
      <c r="S2" s="1586"/>
      <c r="T2" s="1586"/>
      <c r="U2" s="1586"/>
      <c r="V2" s="1586"/>
      <c r="W2" s="1586"/>
      <c r="X2" s="1586"/>
      <c r="Y2" s="1586"/>
      <c r="Z2" s="1586"/>
      <c r="AA2" s="1586"/>
      <c r="AB2" s="1586"/>
      <c r="AC2" s="1587"/>
    </row>
    <row r="3" spans="1:29" s="1356" customFormat="1" ht="28.5" customHeight="1" thickBot="1">
      <c r="A3" s="508" t="s">
        <v>519</v>
      </c>
      <c r="B3" s="850">
        <f>C49</f>
        <v>7907</v>
      </c>
      <c r="C3" s="851" t="s">
        <v>722</v>
      </c>
      <c r="D3" s="850">
        <f>SUMIF('数据-汇总表'!$C19:$C33,D1,'数据-汇总表'!$E19:$E33)</f>
        <v>102713.52</v>
      </c>
      <c r="E3" s="2110"/>
      <c r="F3" s="2184"/>
      <c r="G3" s="2110"/>
      <c r="H3" s="2110"/>
      <c r="I3" s="2110"/>
      <c r="J3" s="2110"/>
      <c r="K3" s="2185"/>
      <c r="L3" s="2186"/>
      <c r="M3" s="2187"/>
      <c r="N3" s="2187"/>
      <c r="O3" s="2187"/>
      <c r="P3" s="1586"/>
      <c r="Q3" s="1586"/>
      <c r="R3" s="1586"/>
      <c r="S3" s="1586"/>
      <c r="T3" s="1586"/>
      <c r="U3" s="1586"/>
      <c r="V3" s="1586"/>
      <c r="W3" s="1586"/>
      <c r="X3" s="1586"/>
      <c r="Y3" s="1586"/>
      <c r="Z3" s="1586"/>
      <c r="AA3" s="1586"/>
      <c r="AB3" s="1586"/>
      <c r="AC3" s="1588"/>
    </row>
    <row r="4" spans="1:29" ht="15">
      <c r="A4" s="511" t="s">
        <v>521</v>
      </c>
      <c r="B4" s="512"/>
      <c r="C4" s="3474" t="s">
        <v>522</v>
      </c>
      <c r="D4" s="3475"/>
      <c r="E4" s="3498" t="s">
        <v>523</v>
      </c>
      <c r="F4" s="3499"/>
      <c r="G4" s="3474" t="s">
        <v>524</v>
      </c>
      <c r="H4" s="3475"/>
      <c r="I4" s="3474" t="s">
        <v>525</v>
      </c>
      <c r="J4" s="3475"/>
      <c r="K4" s="852" t="s">
        <v>526</v>
      </c>
      <c r="L4" s="2116"/>
      <c r="M4" s="2117"/>
      <c r="N4" s="2117"/>
      <c r="O4" s="2117"/>
      <c r="P4" s="3476" t="s">
        <v>527</v>
      </c>
      <c r="Q4" s="3477"/>
      <c r="R4" s="3462" t="s">
        <v>523</v>
      </c>
      <c r="S4" s="3463"/>
      <c r="T4" s="3462" t="s">
        <v>524</v>
      </c>
      <c r="U4" s="3463"/>
      <c r="V4" s="3482" t="s">
        <v>525</v>
      </c>
      <c r="W4" s="3482"/>
      <c r="X4" s="1552"/>
      <c r="Y4" s="3462" t="s">
        <v>527</v>
      </c>
      <c r="Z4" s="3463"/>
      <c r="AA4" s="3457" t="s">
        <v>523</v>
      </c>
      <c r="AB4" s="3457" t="s">
        <v>524</v>
      </c>
      <c r="AC4" s="3457" t="s">
        <v>525</v>
      </c>
    </row>
    <row r="5" spans="1:29" ht="15">
      <c r="A5" s="514"/>
      <c r="B5" s="515"/>
      <c r="C5" s="3485" t="s">
        <v>2926</v>
      </c>
      <c r="D5" s="3486"/>
      <c r="E5" s="3582" t="s">
        <v>3312</v>
      </c>
      <c r="F5" s="3501"/>
      <c r="G5" s="3583" t="s">
        <v>3284</v>
      </c>
      <c r="H5" s="3486"/>
      <c r="I5" s="3583" t="s">
        <v>3285</v>
      </c>
      <c r="J5" s="3486"/>
      <c r="K5" s="853"/>
      <c r="L5" s="2116"/>
      <c r="M5" s="2117"/>
      <c r="N5" s="2117"/>
      <c r="O5" s="2117"/>
      <c r="P5" s="3478"/>
      <c r="Q5" s="3479"/>
      <c r="R5" s="3464"/>
      <c r="S5" s="3465"/>
      <c r="T5" s="3464"/>
      <c r="U5" s="3465"/>
      <c r="V5" s="3482"/>
      <c r="W5" s="3482"/>
      <c r="X5" s="1552"/>
      <c r="Y5" s="3464"/>
      <c r="Z5" s="3465"/>
      <c r="AA5" s="3458"/>
      <c r="AB5" s="3458"/>
      <c r="AC5" s="3458"/>
    </row>
    <row r="6" spans="1:29" ht="15.75" thickBot="1">
      <c r="A6" s="516"/>
      <c r="B6" s="517"/>
      <c r="C6" s="3483" t="s">
        <v>2930</v>
      </c>
      <c r="D6" s="3484"/>
      <c r="E6" s="3584"/>
      <c r="F6" s="3503"/>
      <c r="G6" s="3585" t="s">
        <v>3282</v>
      </c>
      <c r="H6" s="3484"/>
      <c r="I6" s="3585" t="s">
        <v>3283</v>
      </c>
      <c r="J6" s="3484"/>
      <c r="K6" s="853" t="s">
        <v>528</v>
      </c>
      <c r="L6" s="2116"/>
      <c r="M6" s="2117"/>
      <c r="N6" s="2117"/>
      <c r="O6" s="2117"/>
      <c r="P6" s="3480"/>
      <c r="Q6" s="3481"/>
      <c r="R6" s="3464"/>
      <c r="S6" s="3465"/>
      <c r="T6" s="3466"/>
      <c r="U6" s="3467"/>
      <c r="V6" s="3482"/>
      <c r="W6" s="3482"/>
      <c r="X6" s="1552"/>
      <c r="Y6" s="3466"/>
      <c r="Z6" s="3467"/>
      <c r="AA6" s="3459"/>
      <c r="AB6" s="3459"/>
      <c r="AC6" s="3459"/>
    </row>
    <row r="7" spans="1:29" s="1214" customFormat="1" ht="15.75" thickBot="1">
      <c r="A7" s="2865"/>
      <c r="B7" s="2872" t="s">
        <v>529</v>
      </c>
      <c r="C7" s="518">
        <f>'数据-取费表'!B2</f>
        <v>43763</v>
      </c>
      <c r="D7" s="519">
        <v>100</v>
      </c>
      <c r="E7" s="520">
        <v>43739</v>
      </c>
      <c r="F7" s="521">
        <f>SUMIF(58:58,YEAR(E7)&amp;"-"&amp;MONTH(E7),59:59)</f>
        <v>100</v>
      </c>
      <c r="G7" s="522">
        <f>E7</f>
        <v>43739</v>
      </c>
      <c r="H7" s="519">
        <f>SUMIF(58:58,YEAR(G7)&amp;"-"&amp;MONTH(G7),59:59)</f>
        <v>100</v>
      </c>
      <c r="I7" s="522">
        <f>E7</f>
        <v>43739</v>
      </c>
      <c r="J7" s="519">
        <f>SUMIF(58:58,YEAR(I7)&amp;"-"&amp;MONTH(I7),59:59)</f>
        <v>100</v>
      </c>
      <c r="K7" s="854"/>
      <c r="L7" s="2118"/>
      <c r="M7" s="2119"/>
      <c r="N7" s="2119"/>
      <c r="O7" s="2119"/>
      <c r="P7" s="3460" t="s">
        <v>530</v>
      </c>
      <c r="Q7" s="3469"/>
      <c r="R7" s="1553" t="s">
        <v>13</v>
      </c>
      <c r="S7" s="1554">
        <f t="shared" ref="S7:S15" si="0">F7</f>
        <v>100</v>
      </c>
      <c r="T7" s="1553" t="s">
        <v>13</v>
      </c>
      <c r="U7" s="1554">
        <f t="shared" ref="U7:U15" si="1">H7</f>
        <v>100</v>
      </c>
      <c r="V7" s="1553" t="s">
        <v>13</v>
      </c>
      <c r="W7" s="1554">
        <f t="shared" ref="W7:W15" si="2">J7</f>
        <v>100</v>
      </c>
      <c r="X7" s="1555"/>
      <c r="Y7" s="3460" t="s">
        <v>530</v>
      </c>
      <c r="Z7" s="3461"/>
      <c r="AA7" s="1556">
        <f>D7/F7</f>
        <v>1</v>
      </c>
      <c r="AB7" s="1556">
        <f>D7/H7</f>
        <v>1</v>
      </c>
      <c r="AC7" s="1556">
        <f>D7/J7</f>
        <v>1</v>
      </c>
    </row>
    <row r="8" spans="1:29" s="1214" customFormat="1" ht="15.75" thickBot="1">
      <c r="A8" s="2866"/>
      <c r="B8" s="2873" t="s">
        <v>531</v>
      </c>
      <c r="C8" s="524" t="s">
        <v>576</v>
      </c>
      <c r="D8" s="519">
        <v>100</v>
      </c>
      <c r="E8" s="855" t="s">
        <v>3191</v>
      </c>
      <c r="F8" s="521">
        <f>SUMIF(61:61,E8,62:62)-SUMIF(61:61,C8,62:62)+100</f>
        <v>100</v>
      </c>
      <c r="G8" s="524" t="s">
        <v>3191</v>
      </c>
      <c r="H8" s="519">
        <f>SUMIF(61:61,G8,62:62)-SUMIF(61:61,C8,62:62)+100</f>
        <v>100</v>
      </c>
      <c r="I8" s="855" t="s">
        <v>3191</v>
      </c>
      <c r="J8" s="519">
        <f>SUMIF(61:61,I8,62:62)-SUMIF(61:61,C8,62:62)+100</f>
        <v>100</v>
      </c>
      <c r="K8" s="854"/>
      <c r="L8" s="2118"/>
      <c r="M8" s="2119"/>
      <c r="N8" s="2119"/>
      <c r="O8" s="2119"/>
      <c r="P8" s="3460" t="s">
        <v>533</v>
      </c>
      <c r="Q8" s="3461"/>
      <c r="R8" s="1553" t="s">
        <v>13</v>
      </c>
      <c r="S8" s="1554">
        <f t="shared" si="0"/>
        <v>100</v>
      </c>
      <c r="T8" s="1553" t="s">
        <v>13</v>
      </c>
      <c r="U8" s="1554">
        <f t="shared" si="1"/>
        <v>100</v>
      </c>
      <c r="V8" s="1553" t="s">
        <v>13</v>
      </c>
      <c r="W8" s="1554">
        <f t="shared" si="2"/>
        <v>100</v>
      </c>
      <c r="X8" s="1555"/>
      <c r="Y8" s="3460" t="s">
        <v>533</v>
      </c>
      <c r="Z8" s="3461"/>
      <c r="AA8" s="1556">
        <f t="shared" ref="AA8:AA46" si="3">D8/F8</f>
        <v>1</v>
      </c>
      <c r="AB8" s="1556">
        <f t="shared" ref="AB8:AB46" si="4">D8/H8</f>
        <v>1</v>
      </c>
      <c r="AC8" s="1556">
        <f t="shared" ref="AC8:AC46" si="5">D8/J8</f>
        <v>1</v>
      </c>
    </row>
    <row r="9" spans="1:29" s="1214" customFormat="1" ht="15">
      <c r="A9" s="2867"/>
      <c r="B9" s="2874" t="s">
        <v>2753</v>
      </c>
      <c r="C9" s="3233" t="s">
        <v>3250</v>
      </c>
      <c r="D9" s="253">
        <v>100</v>
      </c>
      <c r="E9" s="857" t="s">
        <v>923</v>
      </c>
      <c r="F9" s="858">
        <f>SUMIF(63:63,E9,64:64)-SUMIF(63:63,C9,64:64)+100</f>
        <v>100</v>
      </c>
      <c r="G9" s="859" t="s">
        <v>923</v>
      </c>
      <c r="H9" s="253">
        <f>SUMIF(63:63,G9,64:64)-SUMIF(63:63,C9,64:64)+100</f>
        <v>100</v>
      </c>
      <c r="I9" s="857" t="s">
        <v>923</v>
      </c>
      <c r="J9" s="253">
        <f>SUMIF(63:63,I9,64:64)-SUMIF(63:63,C9,64:64)+100</f>
        <v>100</v>
      </c>
      <c r="K9" s="854"/>
      <c r="L9" s="2118"/>
      <c r="M9" s="2119"/>
      <c r="N9" s="2119"/>
      <c r="O9" s="2120"/>
      <c r="P9" s="3468" t="s">
        <v>535</v>
      </c>
      <c r="Q9" s="1145" t="str">
        <f t="shared" ref="Q9:Q15" si="6">B9</f>
        <v>用途</v>
      </c>
      <c r="R9" s="1553" t="s">
        <v>8</v>
      </c>
      <c r="S9" s="1554">
        <f t="shared" si="0"/>
        <v>100</v>
      </c>
      <c r="T9" s="1553" t="s">
        <v>8</v>
      </c>
      <c r="U9" s="1554">
        <f t="shared" si="1"/>
        <v>100</v>
      </c>
      <c r="V9" s="1553" t="s">
        <v>8</v>
      </c>
      <c r="W9" s="1554">
        <f t="shared" si="2"/>
        <v>100</v>
      </c>
      <c r="X9" s="1555"/>
      <c r="Y9" s="3425" t="s">
        <v>536</v>
      </c>
      <c r="Z9" s="1144" t="str">
        <f t="shared" ref="Z9:Z15" si="7">Q9</f>
        <v>用途</v>
      </c>
      <c r="AA9" s="1556">
        <f t="shared" si="3"/>
        <v>1</v>
      </c>
      <c r="AB9" s="1556">
        <f t="shared" si="4"/>
        <v>1</v>
      </c>
      <c r="AC9" s="1556">
        <f t="shared" si="5"/>
        <v>1</v>
      </c>
    </row>
    <row r="10" spans="1:29" s="1332" customFormat="1" ht="27">
      <c r="A10" s="2868"/>
      <c r="B10" s="2873" t="s">
        <v>2754</v>
      </c>
      <c r="C10" s="860" t="s">
        <v>3251</v>
      </c>
      <c r="D10" s="254">
        <v>100</v>
      </c>
      <c r="E10" s="861" t="s">
        <v>3251</v>
      </c>
      <c r="F10" s="862">
        <f>SUMIF(65:65,E10,66:66)-SUMIF(65:65,C10,66:66)+100</f>
        <v>100</v>
      </c>
      <c r="G10" s="860" t="s">
        <v>3251</v>
      </c>
      <c r="H10" s="254">
        <f>SUMIF(65:65,G10,66:66)-SUMIF(65:65,C10,66:66)+100</f>
        <v>100</v>
      </c>
      <c r="I10" s="861" t="s">
        <v>3251</v>
      </c>
      <c r="J10" s="254">
        <f>SUMIF(65:65,I10,66:66)-SUMIF(65:65,C10,66:66)+100</f>
        <v>100</v>
      </c>
      <c r="K10" s="863">
        <v>1</v>
      </c>
      <c r="L10" s="2121"/>
      <c r="M10" s="2161"/>
      <c r="N10" s="2161"/>
      <c r="O10" s="2122"/>
      <c r="P10" s="3468"/>
      <c r="Q10" s="1145" t="str">
        <f t="shared" si="6"/>
        <v>土地使用年限（年）</v>
      </c>
      <c r="R10" s="1553" t="s">
        <v>8</v>
      </c>
      <c r="S10" s="1554">
        <f t="shared" si="0"/>
        <v>100</v>
      </c>
      <c r="T10" s="1553" t="s">
        <v>8</v>
      </c>
      <c r="U10" s="1554">
        <f t="shared" si="1"/>
        <v>100</v>
      </c>
      <c r="V10" s="1553" t="s">
        <v>8</v>
      </c>
      <c r="W10" s="1554">
        <f t="shared" si="2"/>
        <v>100</v>
      </c>
      <c r="X10" s="1555"/>
      <c r="Y10" s="3425"/>
      <c r="Z10" s="1144" t="str">
        <f t="shared" si="7"/>
        <v>土地使用年限（年）</v>
      </c>
      <c r="AA10" s="1556">
        <f t="shared" si="3"/>
        <v>1</v>
      </c>
      <c r="AB10" s="1556">
        <f t="shared" si="4"/>
        <v>1</v>
      </c>
      <c r="AC10" s="1556">
        <f t="shared" si="5"/>
        <v>1</v>
      </c>
    </row>
    <row r="11" spans="1:29" ht="15">
      <c r="A11" s="2869"/>
      <c r="B11" s="2873" t="s">
        <v>2755</v>
      </c>
      <c r="C11" s="532"/>
      <c r="D11" s="254">
        <v>100</v>
      </c>
      <c r="E11" s="533"/>
      <c r="F11" s="862">
        <f>LOOKUP(E11,68:68,69:69)-LOOKUP(C11,68:68,69:69)+100</f>
        <v>100</v>
      </c>
      <c r="G11" s="532"/>
      <c r="H11" s="254">
        <f>LOOKUP(G11,68:68,69:69)-LOOKUP(C11,68:68,69:69)+100</f>
        <v>100</v>
      </c>
      <c r="I11" s="532"/>
      <c r="J11" s="254">
        <f>LOOKUP(I11,68:68,69:69)-LOOKUP(C11,68:68,69:69)+100</f>
        <v>100</v>
      </c>
      <c r="K11" s="863"/>
      <c r="L11" s="2123"/>
      <c r="M11" s="2117"/>
      <c r="N11" s="2117"/>
      <c r="O11" s="2124"/>
      <c r="P11" s="3468"/>
      <c r="Q11" s="1145" t="str">
        <f t="shared" si="6"/>
        <v>容积率</v>
      </c>
      <c r="R11" s="1553" t="s">
        <v>11</v>
      </c>
      <c r="S11" s="1554">
        <f t="shared" si="0"/>
        <v>100</v>
      </c>
      <c r="T11" s="1553" t="s">
        <v>11</v>
      </c>
      <c r="U11" s="1554">
        <f t="shared" si="1"/>
        <v>100</v>
      </c>
      <c r="V11" s="1553" t="s">
        <v>11</v>
      </c>
      <c r="W11" s="1554">
        <f t="shared" si="2"/>
        <v>100</v>
      </c>
      <c r="X11" s="1555"/>
      <c r="Y11" s="3425"/>
      <c r="Z11" s="1144" t="str">
        <f t="shared" si="7"/>
        <v>容积率</v>
      </c>
      <c r="AA11" s="1556">
        <f t="shared" si="3"/>
        <v>1</v>
      </c>
      <c r="AB11" s="1556">
        <f t="shared" si="4"/>
        <v>1</v>
      </c>
      <c r="AC11" s="1556">
        <f t="shared" si="5"/>
        <v>1</v>
      </c>
    </row>
    <row r="12" spans="1:29" s="1214" customFormat="1" ht="15">
      <c r="A12" s="2870"/>
      <c r="B12" s="2876"/>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68"/>
      <c r="Q12" s="1145">
        <f t="shared" si="6"/>
        <v>0</v>
      </c>
      <c r="R12" s="1553" t="s">
        <v>11</v>
      </c>
      <c r="S12" s="1554">
        <f t="shared" si="0"/>
        <v>100</v>
      </c>
      <c r="T12" s="1553" t="s">
        <v>11</v>
      </c>
      <c r="U12" s="1554">
        <f t="shared" si="1"/>
        <v>100</v>
      </c>
      <c r="V12" s="1553" t="s">
        <v>11</v>
      </c>
      <c r="W12" s="1554">
        <f t="shared" si="2"/>
        <v>100</v>
      </c>
      <c r="X12" s="1555"/>
      <c r="Y12" s="3425"/>
      <c r="Z12" s="1144">
        <f t="shared" si="7"/>
        <v>0</v>
      </c>
      <c r="AA12" s="1556">
        <f>D12/F12</f>
        <v>1</v>
      </c>
      <c r="AB12" s="1556">
        <f>D12/H12</f>
        <v>1</v>
      </c>
      <c r="AC12" s="1556">
        <f>D12/J12</f>
        <v>1</v>
      </c>
    </row>
    <row r="13" spans="1:29" ht="15">
      <c r="A13" s="2870"/>
      <c r="B13" s="2876"/>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68"/>
      <c r="Q13" s="1145">
        <f t="shared" si="6"/>
        <v>0</v>
      </c>
      <c r="R13" s="1553" t="s">
        <v>11</v>
      </c>
      <c r="S13" s="1554">
        <f t="shared" si="0"/>
        <v>100</v>
      </c>
      <c r="T13" s="1553" t="s">
        <v>11</v>
      </c>
      <c r="U13" s="1554">
        <f t="shared" si="1"/>
        <v>100</v>
      </c>
      <c r="V13" s="1553" t="s">
        <v>11</v>
      </c>
      <c r="W13" s="1554">
        <f t="shared" si="2"/>
        <v>100</v>
      </c>
      <c r="X13" s="1555"/>
      <c r="Y13" s="3425"/>
      <c r="Z13" s="1144">
        <f t="shared" si="7"/>
        <v>0</v>
      </c>
      <c r="AA13" s="1556">
        <f t="shared" si="3"/>
        <v>1</v>
      </c>
      <c r="AB13" s="1556">
        <f t="shared" si="4"/>
        <v>1</v>
      </c>
      <c r="AC13" s="1556">
        <f t="shared" si="5"/>
        <v>1</v>
      </c>
    </row>
    <row r="14" spans="1:29" ht="15.75" thickBot="1">
      <c r="A14" s="2871"/>
      <c r="B14" s="2877"/>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68"/>
      <c r="Q14" s="1145">
        <f t="shared" si="6"/>
        <v>0</v>
      </c>
      <c r="R14" s="1553" t="s">
        <v>11</v>
      </c>
      <c r="S14" s="1554">
        <f t="shared" si="0"/>
        <v>100</v>
      </c>
      <c r="T14" s="1553" t="s">
        <v>11</v>
      </c>
      <c r="U14" s="1554">
        <f t="shared" si="1"/>
        <v>100</v>
      </c>
      <c r="V14" s="1553" t="s">
        <v>11</v>
      </c>
      <c r="W14" s="1554">
        <f t="shared" si="2"/>
        <v>100</v>
      </c>
      <c r="X14" s="1555"/>
      <c r="Y14" s="3425"/>
      <c r="Z14" s="1144">
        <f t="shared" si="7"/>
        <v>0</v>
      </c>
      <c r="AA14" s="1556">
        <f t="shared" si="3"/>
        <v>1</v>
      </c>
      <c r="AB14" s="1556">
        <f t="shared" si="4"/>
        <v>1</v>
      </c>
      <c r="AC14" s="1556">
        <f t="shared" si="5"/>
        <v>1</v>
      </c>
    </row>
    <row r="15" spans="1:29" ht="99.75">
      <c r="A15" s="2863" t="s">
        <v>2751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102</v>
      </c>
      <c r="K15" s="867">
        <v>2</v>
      </c>
      <c r="L15" s="2125"/>
      <c r="M15" s="2117"/>
      <c r="N15" s="2117"/>
      <c r="O15" s="2124"/>
      <c r="P15" s="3470" t="s">
        <v>540</v>
      </c>
      <c r="Q15" s="1557" t="str">
        <f t="shared" si="6"/>
        <v>居住社区成熟度</v>
      </c>
      <c r="R15" s="1558" t="s">
        <v>11</v>
      </c>
      <c r="S15" s="1559">
        <f t="shared" si="0"/>
        <v>100</v>
      </c>
      <c r="T15" s="1558" t="s">
        <v>11</v>
      </c>
      <c r="U15" s="1559">
        <f t="shared" si="1"/>
        <v>100</v>
      </c>
      <c r="V15" s="1558" t="s">
        <v>11</v>
      </c>
      <c r="W15" s="1559">
        <f t="shared" si="2"/>
        <v>102</v>
      </c>
      <c r="X15" s="1552"/>
      <c r="Y15" s="3470" t="s">
        <v>540</v>
      </c>
      <c r="Z15" s="1560" t="str">
        <f t="shared" si="7"/>
        <v>居住社区成熟度</v>
      </c>
      <c r="AA15" s="1561">
        <f t="shared" si="3"/>
        <v>1</v>
      </c>
      <c r="AB15" s="1561">
        <f t="shared" si="4"/>
        <v>1</v>
      </c>
      <c r="AC15" s="1561">
        <f t="shared" si="5"/>
        <v>0.98039215686274506</v>
      </c>
    </row>
    <row r="16" spans="1:29" ht="15">
      <c r="A16" s="531"/>
      <c r="B16" s="868"/>
      <c r="C16" s="575" t="s">
        <v>3214</v>
      </c>
      <c r="D16" s="554"/>
      <c r="E16" s="575" t="s">
        <v>3214</v>
      </c>
      <c r="F16" s="556"/>
      <c r="G16" s="557" t="s">
        <v>3214</v>
      </c>
      <c r="H16" s="558"/>
      <c r="I16" s="555" t="s">
        <v>3215</v>
      </c>
      <c r="J16" s="554"/>
      <c r="K16" s="869"/>
      <c r="L16" s="2125"/>
      <c r="M16" s="2117"/>
      <c r="N16" s="2117"/>
      <c r="O16" s="2124"/>
      <c r="P16" s="3471"/>
      <c r="Q16" s="1557"/>
      <c r="R16" s="1558"/>
      <c r="S16" s="1559"/>
      <c r="T16" s="1558"/>
      <c r="U16" s="1559"/>
      <c r="V16" s="1558"/>
      <c r="W16" s="1559"/>
      <c r="X16" s="1552"/>
      <c r="Y16" s="3471"/>
      <c r="Z16" s="1560"/>
      <c r="AA16" s="1561">
        <v>1</v>
      </c>
      <c r="AB16" s="1561">
        <v>1</v>
      </c>
      <c r="AC16" s="1561">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71"/>
      <c r="Q17" s="1557" t="str">
        <f>B17</f>
        <v>交通便捷度</v>
      </c>
      <c r="R17" s="1558" t="s">
        <v>11</v>
      </c>
      <c r="S17" s="1559">
        <f>F17</f>
        <v>100</v>
      </c>
      <c r="T17" s="1558" t="s">
        <v>11</v>
      </c>
      <c r="U17" s="1559">
        <f>H17</f>
        <v>100</v>
      </c>
      <c r="V17" s="1558" t="s">
        <v>11</v>
      </c>
      <c r="W17" s="1559">
        <f>J17</f>
        <v>100</v>
      </c>
      <c r="X17" s="1552"/>
      <c r="Y17" s="3471"/>
      <c r="Z17" s="1560" t="str">
        <f>Q17</f>
        <v>交通便捷度</v>
      </c>
      <c r="AA17" s="1561">
        <f t="shared" si="3"/>
        <v>1</v>
      </c>
      <c r="AB17" s="1561">
        <f t="shared" si="4"/>
        <v>1</v>
      </c>
      <c r="AC17" s="1561">
        <f t="shared" si="5"/>
        <v>1</v>
      </c>
    </row>
    <row r="18" spans="1:29" ht="15">
      <c r="A18" s="531"/>
      <c r="B18" s="594"/>
      <c r="C18" s="872" t="s">
        <v>3214</v>
      </c>
      <c r="D18" s="558"/>
      <c r="E18" s="567" t="s">
        <v>3214</v>
      </c>
      <c r="F18" s="562"/>
      <c r="G18" s="568" t="s">
        <v>3214</v>
      </c>
      <c r="H18" s="554"/>
      <c r="I18" s="567" t="s">
        <v>3214</v>
      </c>
      <c r="J18" s="554"/>
      <c r="K18" s="869"/>
      <c r="L18" s="2125"/>
      <c r="M18" s="2117"/>
      <c r="N18" s="2117"/>
      <c r="O18" s="2124"/>
      <c r="P18" s="3471"/>
      <c r="Q18" s="1557"/>
      <c r="R18" s="1558"/>
      <c r="S18" s="1559"/>
      <c r="T18" s="1558"/>
      <c r="U18" s="1559"/>
      <c r="V18" s="1558"/>
      <c r="W18" s="1559"/>
      <c r="X18" s="1552"/>
      <c r="Y18" s="3471"/>
      <c r="Z18" s="1560"/>
      <c r="AA18" s="1561">
        <v>1</v>
      </c>
      <c r="AB18" s="1561">
        <v>1</v>
      </c>
      <c r="AC18" s="1561">
        <v>1</v>
      </c>
    </row>
    <row r="19" spans="1:29" ht="42.75">
      <c r="A19" s="531"/>
      <c r="B19" s="2562"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102</v>
      </c>
      <c r="K19" s="867">
        <v>2</v>
      </c>
      <c r="L19" s="2125"/>
      <c r="M19" s="2117"/>
      <c r="N19" s="2117"/>
      <c r="O19" s="2124"/>
      <c r="P19" s="3471"/>
      <c r="Q19" s="1557" t="str">
        <f>B19</f>
        <v>公共配套设施</v>
      </c>
      <c r="R19" s="1558" t="s">
        <v>11</v>
      </c>
      <c r="S19" s="1559">
        <f>F19</f>
        <v>100</v>
      </c>
      <c r="T19" s="1558" t="s">
        <v>11</v>
      </c>
      <c r="U19" s="1559">
        <f>H19</f>
        <v>100</v>
      </c>
      <c r="V19" s="1558" t="s">
        <v>11</v>
      </c>
      <c r="W19" s="1559">
        <f>J19</f>
        <v>102</v>
      </c>
      <c r="X19" s="1552"/>
      <c r="Y19" s="3471"/>
      <c r="Z19" s="1560" t="str">
        <f>Q19</f>
        <v>公共配套设施</v>
      </c>
      <c r="AA19" s="1561">
        <f t="shared" si="3"/>
        <v>1</v>
      </c>
      <c r="AB19" s="1561">
        <f t="shared" si="4"/>
        <v>1</v>
      </c>
      <c r="AC19" s="1561">
        <f t="shared" si="5"/>
        <v>0.98039215686274506</v>
      </c>
    </row>
    <row r="20" spans="1:29" ht="15">
      <c r="A20" s="531"/>
      <c r="B20" s="594"/>
      <c r="C20" s="575" t="s">
        <v>3214</v>
      </c>
      <c r="D20" s="554"/>
      <c r="E20" s="575" t="s">
        <v>3214</v>
      </c>
      <c r="F20" s="556"/>
      <c r="G20" s="557" t="s">
        <v>3214</v>
      </c>
      <c r="H20" s="554"/>
      <c r="I20" s="555" t="s">
        <v>3215</v>
      </c>
      <c r="J20" s="554"/>
      <c r="K20" s="869"/>
      <c r="L20" s="2125"/>
      <c r="M20" s="2117"/>
      <c r="N20" s="2117"/>
      <c r="O20" s="2124"/>
      <c r="P20" s="3471"/>
      <c r="Q20" s="1557"/>
      <c r="R20" s="1558"/>
      <c r="S20" s="1559"/>
      <c r="T20" s="1558"/>
      <c r="U20" s="1559"/>
      <c r="V20" s="1558"/>
      <c r="W20" s="1559"/>
      <c r="X20" s="1552"/>
      <c r="Y20" s="3471"/>
      <c r="Z20" s="1560"/>
      <c r="AA20" s="1561">
        <v>1</v>
      </c>
      <c r="AB20" s="1561">
        <v>1</v>
      </c>
      <c r="AC20" s="1561">
        <v>1</v>
      </c>
    </row>
    <row r="21" spans="1:29" ht="28.5">
      <c r="A21" s="531"/>
      <c r="B21" s="2555" t="s">
        <v>2556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25"/>
      <c r="M21" s="2117"/>
      <c r="N21" s="2117"/>
      <c r="O21" s="2124"/>
      <c r="P21" s="3471"/>
      <c r="Q21" s="2541" t="str">
        <f>B21</f>
        <v>基础设施水平</v>
      </c>
      <c r="R21" s="1558" t="s">
        <v>11</v>
      </c>
      <c r="S21" s="1559">
        <f>F21</f>
        <v>100</v>
      </c>
      <c r="T21" s="1558" t="s">
        <v>11</v>
      </c>
      <c r="U21" s="1559">
        <f>H21</f>
        <v>100</v>
      </c>
      <c r="V21" s="1558" t="s">
        <v>11</v>
      </c>
      <c r="W21" s="1559">
        <f>J21</f>
        <v>100</v>
      </c>
      <c r="X21" s="2543"/>
      <c r="Y21" s="3471"/>
      <c r="Z21" s="2542" t="str">
        <f>Q21</f>
        <v>基础设施水平</v>
      </c>
      <c r="AA21" s="1561">
        <f t="shared" ref="AA21" si="8">D21/F21</f>
        <v>1</v>
      </c>
      <c r="AB21" s="1561">
        <f t="shared" ref="AB21" si="9">D21/H21</f>
        <v>1</v>
      </c>
      <c r="AC21" s="1561">
        <f t="shared" ref="AC21" si="10">D21/J21</f>
        <v>1</v>
      </c>
    </row>
    <row r="22" spans="1:29" ht="15">
      <c r="A22" s="531"/>
      <c r="B22" s="920"/>
      <c r="C22" s="872" t="s">
        <v>3233</v>
      </c>
      <c r="D22" s="554"/>
      <c r="E22" s="575" t="s">
        <v>3233</v>
      </c>
      <c r="F22" s="556"/>
      <c r="G22" s="575" t="s">
        <v>3233</v>
      </c>
      <c r="H22" s="554"/>
      <c r="I22" s="575" t="s">
        <v>3233</v>
      </c>
      <c r="J22" s="554"/>
      <c r="K22" s="2561"/>
      <c r="L22" s="2125"/>
      <c r="M22" s="2117"/>
      <c r="N22" s="2117"/>
      <c r="O22" s="2124"/>
      <c r="P22" s="3471"/>
      <c r="Q22" s="2541"/>
      <c r="R22" s="1558"/>
      <c r="S22" s="1559"/>
      <c r="T22" s="1558"/>
      <c r="U22" s="1559"/>
      <c r="V22" s="1558"/>
      <c r="W22" s="1559"/>
      <c r="X22" s="2543"/>
      <c r="Y22" s="3471"/>
      <c r="Z22" s="2542"/>
      <c r="AA22" s="1561">
        <v>1</v>
      </c>
      <c r="AB22" s="1561">
        <v>1</v>
      </c>
      <c r="AC22" s="1561">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471"/>
      <c r="Q23" s="1557" t="str">
        <f>B23</f>
        <v>自然及人文环境</v>
      </c>
      <c r="R23" s="1558" t="s">
        <v>11</v>
      </c>
      <c r="S23" s="1559">
        <f>F23</f>
        <v>100</v>
      </c>
      <c r="T23" s="1558" t="s">
        <v>11</v>
      </c>
      <c r="U23" s="1559">
        <f>H23</f>
        <v>100</v>
      </c>
      <c r="V23" s="1558" t="s">
        <v>11</v>
      </c>
      <c r="W23" s="1559">
        <f>J23</f>
        <v>100</v>
      </c>
      <c r="X23" s="1552"/>
      <c r="Y23" s="3471"/>
      <c r="Z23" s="1560" t="str">
        <f>Q23</f>
        <v>自然及人文环境</v>
      </c>
      <c r="AA23" s="1561">
        <f t="shared" si="3"/>
        <v>1</v>
      </c>
      <c r="AB23" s="1561">
        <f t="shared" si="4"/>
        <v>1</v>
      </c>
      <c r="AC23" s="1561">
        <f t="shared" si="5"/>
        <v>1</v>
      </c>
    </row>
    <row r="24" spans="1:29" ht="15">
      <c r="A24" s="531"/>
      <c r="B24" s="594"/>
      <c r="C24" s="575" t="s">
        <v>3214</v>
      </c>
      <c r="D24" s="554"/>
      <c r="E24" s="555" t="s">
        <v>3214</v>
      </c>
      <c r="F24" s="556"/>
      <c r="G24" s="557" t="s">
        <v>3214</v>
      </c>
      <c r="H24" s="554"/>
      <c r="I24" s="555" t="s">
        <v>3214</v>
      </c>
      <c r="J24" s="554"/>
      <c r="K24" s="869"/>
      <c r="L24" s="2125"/>
      <c r="M24" s="2117"/>
      <c r="N24" s="2117"/>
      <c r="O24" s="2124"/>
      <c r="P24" s="3471"/>
      <c r="Q24" s="1557"/>
      <c r="R24" s="1558"/>
      <c r="S24" s="1559"/>
      <c r="T24" s="1558"/>
      <c r="U24" s="1559"/>
      <c r="V24" s="1558"/>
      <c r="W24" s="1559"/>
      <c r="X24" s="1552"/>
      <c r="Y24" s="3471"/>
      <c r="Z24" s="1560"/>
      <c r="AA24" s="1561">
        <v>1</v>
      </c>
      <c r="AB24" s="1561">
        <v>1</v>
      </c>
      <c r="AC24" s="1561">
        <v>1</v>
      </c>
    </row>
    <row r="25" spans="1:29" ht="15">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71"/>
      <c r="Q25" s="1557" t="str">
        <f t="shared" ref="Q25:Q46" si="11">B25</f>
        <v>楼层-1</v>
      </c>
      <c r="R25" s="1558" t="s">
        <v>11</v>
      </c>
      <c r="S25" s="1559">
        <f>F25</f>
        <v>100</v>
      </c>
      <c r="T25" s="1558" t="s">
        <v>11</v>
      </c>
      <c r="U25" s="1559">
        <f>H25</f>
        <v>100</v>
      </c>
      <c r="V25" s="1558" t="s">
        <v>11</v>
      </c>
      <c r="W25" s="1559">
        <f>J25</f>
        <v>100</v>
      </c>
      <c r="X25" s="1552"/>
      <c r="Y25" s="3471"/>
      <c r="Z25" s="1560" t="str">
        <f>Q25</f>
        <v>楼层-1</v>
      </c>
      <c r="AA25" s="1561">
        <f t="shared" si="3"/>
        <v>1</v>
      </c>
      <c r="AB25" s="1561">
        <f t="shared" si="4"/>
        <v>1</v>
      </c>
      <c r="AC25" s="156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71"/>
      <c r="Q26" s="1557" t="str">
        <f t="shared" si="11"/>
        <v>朝向</v>
      </c>
      <c r="R26" s="1558" t="s">
        <v>11</v>
      </c>
      <c r="S26" s="1559">
        <f>F26</f>
        <v>100</v>
      </c>
      <c r="T26" s="1558" t="s">
        <v>11</v>
      </c>
      <c r="U26" s="1559">
        <f>H26</f>
        <v>100</v>
      </c>
      <c r="V26" s="1558" t="s">
        <v>11</v>
      </c>
      <c r="W26" s="1559">
        <f>J26</f>
        <v>100</v>
      </c>
      <c r="X26" s="1552"/>
      <c r="Y26" s="3471"/>
      <c r="Z26" s="1560" t="str">
        <f>Q26</f>
        <v>朝向</v>
      </c>
      <c r="AA26" s="1561">
        <f t="shared" si="3"/>
        <v>1</v>
      </c>
      <c r="AB26" s="1561">
        <f t="shared" si="4"/>
        <v>1</v>
      </c>
      <c r="AC26" s="1561">
        <f t="shared" si="5"/>
        <v>1</v>
      </c>
    </row>
    <row r="27" spans="1:29" s="1214"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71"/>
      <c r="Q27" s="1145" t="str">
        <f t="shared" si="11"/>
        <v>道路级别</v>
      </c>
      <c r="R27" s="1553" t="s">
        <v>11</v>
      </c>
      <c r="S27" s="1554">
        <f>F27</f>
        <v>100</v>
      </c>
      <c r="T27" s="1553" t="s">
        <v>11</v>
      </c>
      <c r="U27" s="1554">
        <f>H27</f>
        <v>100</v>
      </c>
      <c r="V27" s="1553" t="s">
        <v>11</v>
      </c>
      <c r="W27" s="1554">
        <f>J27</f>
        <v>100</v>
      </c>
      <c r="X27" s="1555"/>
      <c r="Y27" s="3471"/>
      <c r="Z27" s="1144" t="str">
        <f>Q27</f>
        <v>道路级别</v>
      </c>
      <c r="AA27" s="1561">
        <f>D27/F27</f>
        <v>1</v>
      </c>
      <c r="AB27" s="1561">
        <f>D27/H27</f>
        <v>1</v>
      </c>
      <c r="AC27" s="1561">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71"/>
      <c r="Q28" s="1557">
        <f t="shared" si="11"/>
        <v>0</v>
      </c>
      <c r="R28" s="1558" t="s">
        <v>11</v>
      </c>
      <c r="S28" s="1559">
        <f t="shared" ref="S28:S46" si="12">F28</f>
        <v>100</v>
      </c>
      <c r="T28" s="1558" t="s">
        <v>11</v>
      </c>
      <c r="U28" s="1559">
        <f t="shared" ref="U28:U46" si="13">H28</f>
        <v>100</v>
      </c>
      <c r="V28" s="1558" t="s">
        <v>11</v>
      </c>
      <c r="W28" s="1559">
        <f t="shared" ref="W28:W46" si="14">J28</f>
        <v>100</v>
      </c>
      <c r="X28" s="1552"/>
      <c r="Y28" s="3471"/>
      <c r="Z28" s="1560">
        <f t="shared" ref="Z28:Z46" si="15">Q28</f>
        <v>0</v>
      </c>
      <c r="AA28" s="1561">
        <f t="shared" si="3"/>
        <v>1</v>
      </c>
      <c r="AB28" s="1561">
        <f t="shared" si="4"/>
        <v>1</v>
      </c>
      <c r="AC28" s="1561">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71"/>
      <c r="Q29" s="1557">
        <f t="shared" si="11"/>
        <v>0</v>
      </c>
      <c r="R29" s="1558" t="s">
        <v>11</v>
      </c>
      <c r="S29" s="1559">
        <f t="shared" si="12"/>
        <v>100</v>
      </c>
      <c r="T29" s="1558" t="s">
        <v>11</v>
      </c>
      <c r="U29" s="1559">
        <f t="shared" si="13"/>
        <v>100</v>
      </c>
      <c r="V29" s="1558" t="s">
        <v>11</v>
      </c>
      <c r="W29" s="1559">
        <f t="shared" si="14"/>
        <v>100</v>
      </c>
      <c r="X29" s="1552"/>
      <c r="Y29" s="3471"/>
      <c r="Z29" s="1560">
        <f t="shared" si="15"/>
        <v>0</v>
      </c>
      <c r="AA29" s="1561">
        <f t="shared" si="3"/>
        <v>1</v>
      </c>
      <c r="AB29" s="1561">
        <f t="shared" si="4"/>
        <v>1</v>
      </c>
      <c r="AC29" s="1561">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71"/>
      <c r="Q30" s="1557">
        <f t="shared" si="11"/>
        <v>0</v>
      </c>
      <c r="R30" s="1558" t="s">
        <v>11</v>
      </c>
      <c r="S30" s="1559">
        <f t="shared" si="12"/>
        <v>100</v>
      </c>
      <c r="T30" s="1558" t="s">
        <v>11</v>
      </c>
      <c r="U30" s="1559">
        <f t="shared" si="13"/>
        <v>100</v>
      </c>
      <c r="V30" s="1558" t="s">
        <v>11</v>
      </c>
      <c r="W30" s="1559">
        <f t="shared" si="14"/>
        <v>100</v>
      </c>
      <c r="X30" s="1552"/>
      <c r="Y30" s="3471"/>
      <c r="Z30" s="1560">
        <f t="shared" si="15"/>
        <v>0</v>
      </c>
      <c r="AA30" s="1561">
        <f t="shared" si="3"/>
        <v>1</v>
      </c>
      <c r="AB30" s="1561">
        <f t="shared" si="4"/>
        <v>1</v>
      </c>
      <c r="AC30" s="1561">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71"/>
      <c r="Q31" s="1557">
        <f t="shared" si="11"/>
        <v>0</v>
      </c>
      <c r="R31" s="1558" t="s">
        <v>11</v>
      </c>
      <c r="S31" s="1559">
        <f t="shared" si="12"/>
        <v>100</v>
      </c>
      <c r="T31" s="1558" t="s">
        <v>11</v>
      </c>
      <c r="U31" s="1559">
        <f t="shared" si="13"/>
        <v>100</v>
      </c>
      <c r="V31" s="1558" t="s">
        <v>11</v>
      </c>
      <c r="W31" s="1559">
        <f t="shared" si="14"/>
        <v>100</v>
      </c>
      <c r="X31" s="1552"/>
      <c r="Y31" s="3471"/>
      <c r="Z31" s="1560">
        <f t="shared" si="15"/>
        <v>0</v>
      </c>
      <c r="AA31" s="1561">
        <f t="shared" si="3"/>
        <v>1</v>
      </c>
      <c r="AB31" s="1561">
        <f t="shared" si="4"/>
        <v>1</v>
      </c>
      <c r="AC31" s="1561">
        <f t="shared" si="5"/>
        <v>1</v>
      </c>
    </row>
    <row r="32" spans="1:29" ht="15">
      <c r="A32" s="2860" t="s">
        <v>2752</v>
      </c>
      <c r="B32" s="172" t="s">
        <v>725</v>
      </c>
      <c r="C32" s="877" t="s">
        <v>3177</v>
      </c>
      <c r="D32" s="596">
        <v>100</v>
      </c>
      <c r="E32" s="877" t="s">
        <v>3177</v>
      </c>
      <c r="F32" s="574">
        <f>SUMIF(100:100,E32,101:101)-SUMIF(100:100,C32,101:101)+100</f>
        <v>100</v>
      </c>
      <c r="G32" s="877" t="s">
        <v>3177</v>
      </c>
      <c r="H32" s="596">
        <f>SUMIF(100:100,G32,101:101)-SUMIF(100:100,C32,101:101)+100</f>
        <v>100</v>
      </c>
      <c r="I32" s="877" t="s">
        <v>3177</v>
      </c>
      <c r="J32" s="539">
        <f>SUMIF(100:100,I32,101:101)-SUMIF(100:100,C32,101:101)+100</f>
        <v>100</v>
      </c>
      <c r="K32" s="863"/>
      <c r="L32" s="2125"/>
      <c r="M32" s="2117"/>
      <c r="N32" s="2117"/>
      <c r="O32" s="2124"/>
      <c r="P32" s="3472" t="s">
        <v>550</v>
      </c>
      <c r="Q32" s="1557" t="str">
        <f t="shared" si="11"/>
        <v>建筑类型</v>
      </c>
      <c r="R32" s="1558" t="s">
        <v>11</v>
      </c>
      <c r="S32" s="1559">
        <f t="shared" si="12"/>
        <v>100</v>
      </c>
      <c r="T32" s="1558" t="s">
        <v>11</v>
      </c>
      <c r="U32" s="1559">
        <f t="shared" si="13"/>
        <v>100</v>
      </c>
      <c r="V32" s="1558" t="s">
        <v>11</v>
      </c>
      <c r="W32" s="1559">
        <f t="shared" si="14"/>
        <v>100</v>
      </c>
      <c r="X32" s="1552"/>
      <c r="Y32" s="3473" t="s">
        <v>550</v>
      </c>
      <c r="Z32" s="1560" t="str">
        <f t="shared" si="15"/>
        <v>建筑类型</v>
      </c>
      <c r="AA32" s="1561">
        <f t="shared" si="3"/>
        <v>1</v>
      </c>
      <c r="AB32" s="1561">
        <f t="shared" si="4"/>
        <v>1</v>
      </c>
      <c r="AC32" s="1561">
        <f t="shared" si="5"/>
        <v>1</v>
      </c>
    </row>
    <row r="33" spans="1:29" s="1333" customFormat="1" ht="15">
      <c r="A33" s="602"/>
      <c r="B33" s="526" t="s">
        <v>726</v>
      </c>
      <c r="C33" s="878">
        <f>'数据-汇总表'!E3</f>
        <v>140701.99</v>
      </c>
      <c r="D33" s="254">
        <v>100</v>
      </c>
      <c r="E33" s="878"/>
      <c r="F33" s="862">
        <f>LOOKUP(E33,103:103,104:104)-LOOKUP(C33,103:103,104:104)+100</f>
        <v>100</v>
      </c>
      <c r="G33" s="878"/>
      <c r="H33" s="254">
        <f>LOOKUP(G33,103:103,104:104)-LOOKUP(C33,103:103,104:104)+100</f>
        <v>100</v>
      </c>
      <c r="I33" s="878"/>
      <c r="J33" s="254">
        <f>LOOKUP(I33,103:103,104:104)-LOOKUP(C33,103:103,104:104)+100</f>
        <v>100</v>
      </c>
      <c r="K33" s="864"/>
      <c r="L33" s="2123"/>
      <c r="M33" s="2154"/>
      <c r="N33" s="2154"/>
      <c r="O33" s="2126"/>
      <c r="P33" s="3473"/>
      <c r="Q33" s="1589" t="str">
        <f t="shared" si="11"/>
        <v>项目建筑规模</v>
      </c>
      <c r="R33" s="1562" t="s">
        <v>11</v>
      </c>
      <c r="S33" s="1563">
        <f t="shared" si="12"/>
        <v>100</v>
      </c>
      <c r="T33" s="1562" t="s">
        <v>11</v>
      </c>
      <c r="U33" s="1563">
        <f t="shared" si="13"/>
        <v>100</v>
      </c>
      <c r="V33" s="1562" t="s">
        <v>11</v>
      </c>
      <c r="W33" s="1563">
        <f t="shared" si="14"/>
        <v>100</v>
      </c>
      <c r="X33" s="1564"/>
      <c r="Y33" s="3473"/>
      <c r="Z33" s="1565" t="str">
        <f t="shared" si="15"/>
        <v>项目建筑规模</v>
      </c>
      <c r="AA33" s="1561">
        <f t="shared" si="3"/>
        <v>1</v>
      </c>
      <c r="AB33" s="1561">
        <f t="shared" si="4"/>
        <v>1</v>
      </c>
      <c r="AC33" s="1561">
        <f t="shared" si="5"/>
        <v>1</v>
      </c>
    </row>
    <row r="34" spans="1:29" ht="15">
      <c r="A34" s="593"/>
      <c r="B34" s="526" t="s">
        <v>727</v>
      </c>
      <c r="C34" s="879" t="s">
        <v>3185</v>
      </c>
      <c r="D34" s="539">
        <v>100</v>
      </c>
      <c r="E34" s="879" t="s">
        <v>3185</v>
      </c>
      <c r="F34" s="574">
        <f>SUMIF(105:105,E34,106:106)-SUMIF(105:105,C34,106:106)+100</f>
        <v>100</v>
      </c>
      <c r="G34" s="879" t="s">
        <v>3185</v>
      </c>
      <c r="H34" s="539">
        <f>SUMIF(105:105,G34,106:106)-SUMIF(105:105,C34,106:106)+100</f>
        <v>100</v>
      </c>
      <c r="I34" s="879" t="s">
        <v>3185</v>
      </c>
      <c r="J34" s="539">
        <f>SUMIF(105:105,I34,106:106)-SUMIF(105:105,C34,106:106)+100</f>
        <v>100</v>
      </c>
      <c r="K34" s="863"/>
      <c r="L34" s="2125"/>
      <c r="M34" s="2117"/>
      <c r="N34" s="2117"/>
      <c r="O34" s="2124"/>
      <c r="P34" s="3473"/>
      <c r="Q34" s="1557" t="str">
        <f t="shared" si="11"/>
        <v>建筑结构</v>
      </c>
      <c r="R34" s="1558" t="s">
        <v>11</v>
      </c>
      <c r="S34" s="1559">
        <f t="shared" si="12"/>
        <v>100</v>
      </c>
      <c r="T34" s="1558" t="s">
        <v>11</v>
      </c>
      <c r="U34" s="1559">
        <f t="shared" si="13"/>
        <v>100</v>
      </c>
      <c r="V34" s="1558" t="s">
        <v>11</v>
      </c>
      <c r="W34" s="1559">
        <f t="shared" si="14"/>
        <v>100</v>
      </c>
      <c r="X34" s="1552"/>
      <c r="Y34" s="3473"/>
      <c r="Z34" s="1560" t="str">
        <f t="shared" si="15"/>
        <v>建筑结构</v>
      </c>
      <c r="AA34" s="1561">
        <f t="shared" si="3"/>
        <v>1</v>
      </c>
      <c r="AB34" s="1561">
        <f t="shared" si="4"/>
        <v>1</v>
      </c>
      <c r="AC34" s="1561">
        <f t="shared" si="5"/>
        <v>1</v>
      </c>
    </row>
    <row r="35" spans="1:29" ht="15">
      <c r="A35" s="593"/>
      <c r="B35" s="526" t="s">
        <v>728</v>
      </c>
      <c r="C35" s="598" t="s">
        <v>3260</v>
      </c>
      <c r="D35" s="539">
        <v>100</v>
      </c>
      <c r="E35" s="598" t="s">
        <v>3260</v>
      </c>
      <c r="F35" s="574">
        <f>SUMIF(107:107,E35,108:108)-SUMIF(107:107,C35,108:108)+100</f>
        <v>100</v>
      </c>
      <c r="G35" s="598" t="s">
        <v>3260</v>
      </c>
      <c r="H35" s="539">
        <f>SUMIF(107:107,G35,108:108)-SUMIF(107:107,C35,108:108)+100</f>
        <v>100</v>
      </c>
      <c r="I35" s="598" t="s">
        <v>3260</v>
      </c>
      <c r="J35" s="539">
        <f>SUMIF(107:107,I35,108:108)-SUMIF(107:107,C35,108:108)+100</f>
        <v>100</v>
      </c>
      <c r="K35" s="863"/>
      <c r="L35" s="2125"/>
      <c r="M35" s="2117"/>
      <c r="N35" s="2117"/>
      <c r="O35" s="2124"/>
      <c r="P35" s="3473"/>
      <c r="Q35" s="1557" t="str">
        <f t="shared" si="11"/>
        <v>建筑品质</v>
      </c>
      <c r="R35" s="1558" t="s">
        <v>11</v>
      </c>
      <c r="S35" s="1559">
        <f t="shared" si="12"/>
        <v>100</v>
      </c>
      <c r="T35" s="1558" t="s">
        <v>11</v>
      </c>
      <c r="U35" s="1559">
        <f t="shared" si="13"/>
        <v>100</v>
      </c>
      <c r="V35" s="1558" t="s">
        <v>11</v>
      </c>
      <c r="W35" s="1559">
        <f t="shared" si="14"/>
        <v>100</v>
      </c>
      <c r="X35" s="1552"/>
      <c r="Y35" s="3473"/>
      <c r="Z35" s="1560" t="str">
        <f t="shared" si="15"/>
        <v>建筑品质</v>
      </c>
      <c r="AA35" s="1561">
        <f t="shared" si="3"/>
        <v>1</v>
      </c>
      <c r="AB35" s="1561">
        <f t="shared" si="4"/>
        <v>1</v>
      </c>
      <c r="AC35" s="1561">
        <f t="shared" si="5"/>
        <v>1</v>
      </c>
    </row>
    <row r="36" spans="1:29" ht="15">
      <c r="A36" s="593"/>
      <c r="B36" s="526" t="s">
        <v>729</v>
      </c>
      <c r="C36" s="598" t="s">
        <v>3258</v>
      </c>
      <c r="D36" s="539">
        <v>100</v>
      </c>
      <c r="E36" s="598" t="s">
        <v>3258</v>
      </c>
      <c r="F36" s="574">
        <f>SUMIF(109:109,E36,110:110)-SUMIF(109:109,C36,110:110)+100</f>
        <v>100</v>
      </c>
      <c r="G36" s="598" t="s">
        <v>3258</v>
      </c>
      <c r="H36" s="539">
        <f>SUMIF(109:109,G36,110:110)-SUMIF(109:109,C36,110:110)+100</f>
        <v>100</v>
      </c>
      <c r="I36" s="598" t="s">
        <v>3258</v>
      </c>
      <c r="J36" s="539">
        <f>SUMIF(109:109,I36,110:110)-SUMIF(109:109,C36,110:110)+100</f>
        <v>100</v>
      </c>
      <c r="K36" s="863"/>
      <c r="L36" s="2125"/>
      <c r="M36" s="2117"/>
      <c r="N36" s="2117"/>
      <c r="O36" s="2124"/>
      <c r="P36" s="3473"/>
      <c r="Q36" s="1557" t="str">
        <f t="shared" si="11"/>
        <v>公共部分装修</v>
      </c>
      <c r="R36" s="1558" t="s">
        <v>11</v>
      </c>
      <c r="S36" s="1559">
        <f t="shared" si="12"/>
        <v>100</v>
      </c>
      <c r="T36" s="1558" t="s">
        <v>11</v>
      </c>
      <c r="U36" s="1559">
        <f t="shared" si="13"/>
        <v>100</v>
      </c>
      <c r="V36" s="1558" t="s">
        <v>11</v>
      </c>
      <c r="W36" s="1559">
        <f t="shared" si="14"/>
        <v>100</v>
      </c>
      <c r="X36" s="1552"/>
      <c r="Y36" s="3473"/>
      <c r="Z36" s="1560" t="str">
        <f t="shared" si="15"/>
        <v>公共部分装修</v>
      </c>
      <c r="AA36" s="1561">
        <f t="shared" si="3"/>
        <v>1</v>
      </c>
      <c r="AB36" s="1561">
        <f t="shared" si="4"/>
        <v>1</v>
      </c>
      <c r="AC36" s="1561">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c r="L37" s="2118"/>
      <c r="M37" s="2119"/>
      <c r="N37" s="2119"/>
      <c r="O37" s="2120"/>
      <c r="P37" s="3473"/>
      <c r="Q37" s="1145" t="str">
        <f t="shared" si="11"/>
        <v>成新度</v>
      </c>
      <c r="R37" s="1553" t="s">
        <v>11</v>
      </c>
      <c r="S37" s="1554">
        <f t="shared" si="12"/>
        <v>100</v>
      </c>
      <c r="T37" s="1553" t="s">
        <v>11</v>
      </c>
      <c r="U37" s="1554">
        <f t="shared" si="13"/>
        <v>100</v>
      </c>
      <c r="V37" s="1553" t="s">
        <v>11</v>
      </c>
      <c r="W37" s="1554">
        <f t="shared" si="14"/>
        <v>100</v>
      </c>
      <c r="X37" s="1555"/>
      <c r="Y37" s="3473"/>
      <c r="Z37" s="1144" t="str">
        <f t="shared" si="15"/>
        <v>成新度</v>
      </c>
      <c r="AA37" s="1556">
        <f t="shared" si="3"/>
        <v>1</v>
      </c>
      <c r="AB37" s="1556">
        <f t="shared" si="4"/>
        <v>1</v>
      </c>
      <c r="AC37" s="1556">
        <f t="shared" si="5"/>
        <v>1</v>
      </c>
    </row>
    <row r="38" spans="1:29" ht="15">
      <c r="A38" s="593"/>
      <c r="B38" s="526" t="s">
        <v>731</v>
      </c>
      <c r="C38" s="598" t="s">
        <v>3256</v>
      </c>
      <c r="D38" s="539">
        <v>100</v>
      </c>
      <c r="E38" s="598" t="s">
        <v>3256</v>
      </c>
      <c r="F38" s="574">
        <f>SUMIF(114:114,E38,115:115)-SUMIF(114:114,C38,115:115)+100</f>
        <v>100</v>
      </c>
      <c r="G38" s="598" t="s">
        <v>3256</v>
      </c>
      <c r="H38" s="539">
        <f>SUMIF(114:114,G38,115:115)-SUMIF(114:114,C38,115:115)+100</f>
        <v>100</v>
      </c>
      <c r="I38" s="598" t="s">
        <v>3256</v>
      </c>
      <c r="J38" s="539">
        <f>SUMIF(114:114,I38,115:115)-SUMIF(114:114,C38,115:115)+100</f>
        <v>100</v>
      </c>
      <c r="K38" s="863"/>
      <c r="L38" s="2125"/>
      <c r="M38" s="2117"/>
      <c r="N38" s="2117"/>
      <c r="O38" s="2124"/>
      <c r="P38" s="3473" t="s">
        <v>550</v>
      </c>
      <c r="Q38" s="1557" t="str">
        <f t="shared" si="11"/>
        <v>物业管理</v>
      </c>
      <c r="R38" s="1558" t="s">
        <v>11</v>
      </c>
      <c r="S38" s="1559">
        <f t="shared" si="12"/>
        <v>100</v>
      </c>
      <c r="T38" s="1558" t="s">
        <v>11</v>
      </c>
      <c r="U38" s="1559">
        <f t="shared" si="13"/>
        <v>100</v>
      </c>
      <c r="V38" s="1558" t="s">
        <v>11</v>
      </c>
      <c r="W38" s="1559">
        <f t="shared" si="14"/>
        <v>100</v>
      </c>
      <c r="X38" s="1552"/>
      <c r="Y38" s="3473" t="s">
        <v>550</v>
      </c>
      <c r="Z38" s="1560" t="str">
        <f t="shared" si="15"/>
        <v>物业管理</v>
      </c>
      <c r="AA38" s="1561">
        <f t="shared" si="3"/>
        <v>1</v>
      </c>
      <c r="AB38" s="1561">
        <f t="shared" si="4"/>
        <v>1</v>
      </c>
      <c r="AC38" s="1561">
        <f t="shared" si="5"/>
        <v>1</v>
      </c>
    </row>
    <row r="39" spans="1:29" ht="15">
      <c r="A39" s="593"/>
      <c r="B39" s="1878" t="s">
        <v>2562</v>
      </c>
      <c r="C39" s="598" t="s">
        <v>3233</v>
      </c>
      <c r="D39" s="539">
        <v>100</v>
      </c>
      <c r="E39" s="598" t="s">
        <v>3233</v>
      </c>
      <c r="F39" s="574">
        <f>SUMIF(116:116,E39,117:117)-SUMIF(116:116,C39,117:117)+100</f>
        <v>100</v>
      </c>
      <c r="G39" s="598" t="s">
        <v>3233</v>
      </c>
      <c r="H39" s="539">
        <f>SUMIF(116:116,G39,117:117)-SUMIF(116:116,C39,117:117)+100</f>
        <v>100</v>
      </c>
      <c r="I39" s="598" t="s">
        <v>3233</v>
      </c>
      <c r="J39" s="539">
        <f>SUMIF(116:116,I39,117:117)-SUMIF(116:116,C39,117:117)+100</f>
        <v>100</v>
      </c>
      <c r="K39" s="863"/>
      <c r="L39" s="2125"/>
      <c r="M39" s="2117"/>
      <c r="N39" s="2117"/>
      <c r="O39" s="2124"/>
      <c r="P39" s="3473"/>
      <c r="Q39" s="1557" t="str">
        <f t="shared" si="11"/>
        <v>市政基础设施</v>
      </c>
      <c r="R39" s="1558" t="s">
        <v>11</v>
      </c>
      <c r="S39" s="1559">
        <f t="shared" si="12"/>
        <v>100</v>
      </c>
      <c r="T39" s="1558" t="s">
        <v>11</v>
      </c>
      <c r="U39" s="1559">
        <f t="shared" si="13"/>
        <v>100</v>
      </c>
      <c r="V39" s="1558" t="s">
        <v>11</v>
      </c>
      <c r="W39" s="1559">
        <f t="shared" si="14"/>
        <v>100</v>
      </c>
      <c r="X39" s="1552"/>
      <c r="Y39" s="3473"/>
      <c r="Z39" s="1560" t="str">
        <f t="shared" si="15"/>
        <v>市政基础设施</v>
      </c>
      <c r="AA39" s="1561">
        <f t="shared" si="3"/>
        <v>1</v>
      </c>
      <c r="AB39" s="1561">
        <f t="shared" si="4"/>
        <v>1</v>
      </c>
      <c r="AC39" s="1561">
        <f t="shared" si="5"/>
        <v>1</v>
      </c>
    </row>
    <row r="40" spans="1:29" ht="15">
      <c r="A40" s="593"/>
      <c r="B40" s="526" t="s">
        <v>732</v>
      </c>
      <c r="C40" s="598" t="s">
        <v>3253</v>
      </c>
      <c r="D40" s="539">
        <v>100</v>
      </c>
      <c r="E40" s="598" t="s">
        <v>3253</v>
      </c>
      <c r="F40" s="574">
        <f>SUMIF(118:118,E40,119:119)-SUMIF(118:118,C40,119:119)+100</f>
        <v>100</v>
      </c>
      <c r="G40" s="598" t="s">
        <v>3253</v>
      </c>
      <c r="H40" s="539">
        <f>SUMIF(118:118,G40,119:119)-SUMIF(118:118,C40,119:119)+100</f>
        <v>100</v>
      </c>
      <c r="I40" s="598" t="s">
        <v>3253</v>
      </c>
      <c r="J40" s="539">
        <f>SUMIF(118:118,I40,119:119)-SUMIF(118:118,C40,119:119)+100</f>
        <v>100</v>
      </c>
      <c r="K40" s="863"/>
      <c r="L40" s="2125"/>
      <c r="M40" s="2117"/>
      <c r="N40" s="2117"/>
      <c r="O40" s="2124"/>
      <c r="P40" s="3473"/>
      <c r="Q40" s="1557" t="str">
        <f t="shared" si="11"/>
        <v>房型</v>
      </c>
      <c r="R40" s="1558" t="s">
        <v>11</v>
      </c>
      <c r="S40" s="1559">
        <f t="shared" si="12"/>
        <v>100</v>
      </c>
      <c r="T40" s="1558" t="s">
        <v>11</v>
      </c>
      <c r="U40" s="1559">
        <f t="shared" si="13"/>
        <v>100</v>
      </c>
      <c r="V40" s="1558" t="s">
        <v>11</v>
      </c>
      <c r="W40" s="1559">
        <f t="shared" si="14"/>
        <v>100</v>
      </c>
      <c r="X40" s="1552"/>
      <c r="Y40" s="3473"/>
      <c r="Z40" s="1560" t="str">
        <f t="shared" si="15"/>
        <v>房型</v>
      </c>
      <c r="AA40" s="1561">
        <f t="shared" si="3"/>
        <v>1</v>
      </c>
      <c r="AB40" s="1561">
        <f t="shared" si="4"/>
        <v>1</v>
      </c>
      <c r="AC40" s="1561">
        <f t="shared" si="5"/>
        <v>1</v>
      </c>
    </row>
    <row r="41" spans="1:29" s="1333" customFormat="1" ht="28.5">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473"/>
      <c r="Q41" s="1589" t="str">
        <f t="shared" si="11"/>
        <v>单套/主力户型建筑面积</v>
      </c>
      <c r="R41" s="1562" t="s">
        <v>11</v>
      </c>
      <c r="S41" s="1563">
        <f t="shared" si="12"/>
        <v>100</v>
      </c>
      <c r="T41" s="1562" t="s">
        <v>11</v>
      </c>
      <c r="U41" s="1563">
        <f t="shared" si="13"/>
        <v>100</v>
      </c>
      <c r="V41" s="1562" t="s">
        <v>11</v>
      </c>
      <c r="W41" s="1563">
        <f t="shared" si="14"/>
        <v>100</v>
      </c>
      <c r="X41" s="1564"/>
      <c r="Y41" s="3473"/>
      <c r="Z41" s="1565" t="str">
        <f t="shared" si="15"/>
        <v>单套/主力户型建筑面积</v>
      </c>
      <c r="AA41" s="1561">
        <f t="shared" si="3"/>
        <v>1</v>
      </c>
      <c r="AB41" s="1561">
        <f t="shared" si="4"/>
        <v>1</v>
      </c>
      <c r="AC41" s="1561">
        <f t="shared" si="5"/>
        <v>1</v>
      </c>
    </row>
    <row r="42" spans="1:29" ht="15">
      <c r="A42" s="593"/>
      <c r="B42" s="526" t="s">
        <v>734</v>
      </c>
      <c r="C42" s="598" t="s">
        <v>3252</v>
      </c>
      <c r="D42" s="539">
        <v>100</v>
      </c>
      <c r="E42" s="598" t="s">
        <v>3252</v>
      </c>
      <c r="F42" s="574">
        <f>SUMIF(122:122,E42,123:123)-SUMIF(122:122,C42,123:123)+100</f>
        <v>100</v>
      </c>
      <c r="G42" s="598" t="s">
        <v>3252</v>
      </c>
      <c r="H42" s="539">
        <f>SUMIF(122:122,G42,123:123)-SUMIF(122:122,C42,123:123)+100</f>
        <v>100</v>
      </c>
      <c r="I42" s="598" t="s">
        <v>3252</v>
      </c>
      <c r="J42" s="539">
        <f>SUMIF(122:122,I42,123:123)-SUMIF(122:122,C42,123:123)+100</f>
        <v>100</v>
      </c>
      <c r="K42" s="863">
        <f>'[1]不动产比较法-住宅'!$K$42</f>
        <v>3</v>
      </c>
      <c r="L42" s="2125"/>
      <c r="M42" s="2117"/>
      <c r="N42" s="2117"/>
      <c r="O42" s="2124"/>
      <c r="P42" s="3473"/>
      <c r="Q42" s="1557" t="str">
        <f t="shared" si="11"/>
        <v>内部装修</v>
      </c>
      <c r="R42" s="1558" t="s">
        <v>11</v>
      </c>
      <c r="S42" s="1559">
        <f t="shared" si="12"/>
        <v>100</v>
      </c>
      <c r="T42" s="1558" t="s">
        <v>11</v>
      </c>
      <c r="U42" s="1559">
        <f t="shared" si="13"/>
        <v>100</v>
      </c>
      <c r="V42" s="1558" t="s">
        <v>11</v>
      </c>
      <c r="W42" s="1559">
        <f t="shared" si="14"/>
        <v>100</v>
      </c>
      <c r="X42" s="1552"/>
      <c r="Y42" s="3473"/>
      <c r="Z42" s="1560" t="str">
        <f t="shared" si="15"/>
        <v>内部装修</v>
      </c>
      <c r="AA42" s="1561">
        <f t="shared" si="3"/>
        <v>1</v>
      </c>
      <c r="AB42" s="1561">
        <f t="shared" si="4"/>
        <v>1</v>
      </c>
      <c r="AC42" s="1561">
        <f t="shared" si="5"/>
        <v>1</v>
      </c>
    </row>
    <row r="43" spans="1:29" ht="27">
      <c r="A43" s="593"/>
      <c r="B43" s="526" t="s">
        <v>735</v>
      </c>
      <c r="C43" s="598" t="s">
        <v>3215</v>
      </c>
      <c r="D43" s="539">
        <v>100</v>
      </c>
      <c r="E43" s="598" t="s">
        <v>3215</v>
      </c>
      <c r="F43" s="574">
        <f>SUMIF(124:124,E43,125:125)-SUMIF(124:124,C43,125:125)+100</f>
        <v>100</v>
      </c>
      <c r="G43" s="598" t="s">
        <v>3215</v>
      </c>
      <c r="H43" s="539">
        <f>SUMIF(124:124,G43,125:125)-SUMIF(124:124,C43,125:125)+100</f>
        <v>100</v>
      </c>
      <c r="I43" s="598" t="s">
        <v>3215</v>
      </c>
      <c r="J43" s="539">
        <f>SUMIF(124:124,I43,125:125)-SUMIF(124:124,C43,125:125)+100</f>
        <v>100</v>
      </c>
      <c r="K43" s="863"/>
      <c r="L43" s="2125"/>
      <c r="M43" s="2117"/>
      <c r="N43" s="2117"/>
      <c r="O43" s="2124"/>
      <c r="P43" s="3473"/>
      <c r="Q43" s="1557" t="str">
        <f t="shared" si="11"/>
        <v>内部装修维护情况</v>
      </c>
      <c r="R43" s="1558" t="s">
        <v>11</v>
      </c>
      <c r="S43" s="1559">
        <f t="shared" si="12"/>
        <v>100</v>
      </c>
      <c r="T43" s="1558" t="s">
        <v>11</v>
      </c>
      <c r="U43" s="1559">
        <f t="shared" si="13"/>
        <v>100</v>
      </c>
      <c r="V43" s="1558" t="s">
        <v>11</v>
      </c>
      <c r="W43" s="1559">
        <f t="shared" si="14"/>
        <v>100</v>
      </c>
      <c r="X43" s="1552"/>
      <c r="Y43" s="3473"/>
      <c r="Z43" s="1560" t="str">
        <f t="shared" si="15"/>
        <v>内部装修维护情况</v>
      </c>
      <c r="AA43" s="1561">
        <f t="shared" si="3"/>
        <v>1</v>
      </c>
      <c r="AB43" s="1561">
        <f t="shared" si="4"/>
        <v>1</v>
      </c>
      <c r="AC43" s="1561">
        <f t="shared" si="5"/>
        <v>1</v>
      </c>
    </row>
    <row r="44" spans="1:29" s="1214" customFormat="1" ht="15">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73"/>
      <c r="Q44" s="1145">
        <f t="shared" si="11"/>
        <v>0</v>
      </c>
      <c r="R44" s="1553" t="s">
        <v>11</v>
      </c>
      <c r="S44" s="1554">
        <f t="shared" si="12"/>
        <v>100</v>
      </c>
      <c r="T44" s="1553" t="s">
        <v>11</v>
      </c>
      <c r="U44" s="1554">
        <f t="shared" si="13"/>
        <v>100</v>
      </c>
      <c r="V44" s="1553" t="s">
        <v>11</v>
      </c>
      <c r="W44" s="1554">
        <f t="shared" si="14"/>
        <v>100</v>
      </c>
      <c r="X44" s="1555"/>
      <c r="Y44" s="3473"/>
      <c r="Z44" s="1144">
        <f t="shared" si="15"/>
        <v>0</v>
      </c>
      <c r="AA44" s="1556">
        <f t="shared" si="3"/>
        <v>1</v>
      </c>
      <c r="AB44" s="1556">
        <f t="shared" si="4"/>
        <v>1</v>
      </c>
      <c r="AC44" s="1556">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73"/>
      <c r="Q45" s="1557">
        <f t="shared" si="11"/>
        <v>0</v>
      </c>
      <c r="R45" s="1558" t="s">
        <v>11</v>
      </c>
      <c r="S45" s="1559">
        <f t="shared" si="12"/>
        <v>100</v>
      </c>
      <c r="T45" s="1558" t="s">
        <v>11</v>
      </c>
      <c r="U45" s="1559">
        <f t="shared" si="13"/>
        <v>100</v>
      </c>
      <c r="V45" s="1558" t="s">
        <v>11</v>
      </c>
      <c r="W45" s="1559">
        <f t="shared" si="14"/>
        <v>100</v>
      </c>
      <c r="X45" s="1552"/>
      <c r="Y45" s="3473"/>
      <c r="Z45" s="1560">
        <f t="shared" si="15"/>
        <v>0</v>
      </c>
      <c r="AA45" s="1561">
        <f t="shared" si="3"/>
        <v>1</v>
      </c>
      <c r="AB45" s="1561">
        <f t="shared" si="4"/>
        <v>1</v>
      </c>
      <c r="AC45" s="1561">
        <f t="shared" si="5"/>
        <v>1</v>
      </c>
    </row>
    <row r="46" spans="1:29" ht="15.75"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69"/>
      <c r="Q46" s="1557">
        <f t="shared" si="11"/>
        <v>0</v>
      </c>
      <c r="R46" s="1558" t="s">
        <v>10</v>
      </c>
      <c r="S46" s="1559">
        <f t="shared" si="12"/>
        <v>100</v>
      </c>
      <c r="T46" s="1558" t="s">
        <v>10</v>
      </c>
      <c r="U46" s="1559">
        <f t="shared" si="13"/>
        <v>100</v>
      </c>
      <c r="V46" s="1558" t="s">
        <v>10</v>
      </c>
      <c r="W46" s="1559">
        <f t="shared" si="14"/>
        <v>100</v>
      </c>
      <c r="X46" s="1552"/>
      <c r="Y46" s="3569"/>
      <c r="Z46" s="1560">
        <f t="shared" si="15"/>
        <v>0</v>
      </c>
      <c r="AA46" s="1561">
        <f t="shared" si="3"/>
        <v>1</v>
      </c>
      <c r="AB46" s="1561">
        <f t="shared" si="4"/>
        <v>1</v>
      </c>
      <c r="AC46" s="1561">
        <f t="shared" si="5"/>
        <v>1</v>
      </c>
    </row>
    <row r="47" spans="1:29" ht="15">
      <c r="A47" s="606" t="s">
        <v>736</v>
      </c>
      <c r="B47" s="885"/>
      <c r="C47" s="2589" t="s">
        <v>9</v>
      </c>
      <c r="D47" s="2590"/>
      <c r="E47" s="3592">
        <v>7700</v>
      </c>
      <c r="F47" s="2592"/>
      <c r="G47" s="2593">
        <v>7850</v>
      </c>
      <c r="H47" s="2594"/>
      <c r="I47" s="3592">
        <v>8500</v>
      </c>
      <c r="J47" s="2594"/>
      <c r="K47" s="1590"/>
      <c r="L47" s="2127"/>
      <c r="M47" s="2128"/>
      <c r="N47" s="2117"/>
      <c r="O47" s="2128"/>
      <c r="P47" s="3468" t="str">
        <f>A47</f>
        <v>成交单价（元/平方米）</v>
      </c>
      <c r="Q47" s="3468"/>
      <c r="R47" s="3570">
        <f>E47</f>
        <v>7700</v>
      </c>
      <c r="S47" s="3570"/>
      <c r="T47" s="3570">
        <f>G47</f>
        <v>7850</v>
      </c>
      <c r="U47" s="3570"/>
      <c r="V47" s="3570">
        <f>I47</f>
        <v>8500</v>
      </c>
      <c r="W47" s="3570"/>
      <c r="X47" s="1544"/>
      <c r="Y47" s="1566"/>
      <c r="Z47" s="1544"/>
      <c r="AA47" s="1544"/>
      <c r="AB47" s="1544"/>
      <c r="AC47" s="1544"/>
    </row>
    <row r="48" spans="1:29" ht="15.75" thickBot="1">
      <c r="A48" s="614" t="s">
        <v>2757</v>
      </c>
      <c r="B48" s="886"/>
      <c r="C48" s="2595">
        <f>R49</f>
        <v>7907</v>
      </c>
      <c r="D48" s="2596"/>
      <c r="E48" s="2597">
        <f>R48</f>
        <v>7700</v>
      </c>
      <c r="F48" s="2597"/>
      <c r="G48" s="2595">
        <f>T48</f>
        <v>7850</v>
      </c>
      <c r="H48" s="2596"/>
      <c r="I48" s="2597">
        <f>V48</f>
        <v>8170</v>
      </c>
      <c r="J48" s="2596"/>
      <c r="K48" s="1591"/>
      <c r="L48" s="2127"/>
      <c r="M48" s="2128"/>
      <c r="N48" s="2128"/>
      <c r="O48" s="2128"/>
      <c r="P48" s="3468" t="str">
        <f>A48</f>
        <v>比较价格（元/平方米）</v>
      </c>
      <c r="Q48" s="3468"/>
      <c r="R48" s="3570">
        <f>IF(F1="售价",ROUND(PRODUCT(R47,AA7:AA46),0),ROUND(PRODUCT(R47,AA7:AA46),1))</f>
        <v>7700</v>
      </c>
      <c r="S48" s="3570"/>
      <c r="T48" s="3570">
        <f>IF(F1="售价",ROUND(PRODUCT(T47,AB7:AB46),0),ROUND(PRODUCT(T47,AB7:AB46),1))</f>
        <v>7850</v>
      </c>
      <c r="U48" s="3570"/>
      <c r="V48" s="3570">
        <f>IF(F1="售价",ROUND(PRODUCT(V47,AC7:AC46),0),ROUND(PRODUCT(V47,AC7:AC46),1))</f>
        <v>8170</v>
      </c>
      <c r="W48" s="3570"/>
      <c r="X48" s="1544"/>
      <c r="Y48" s="1544"/>
      <c r="Z48" s="1544"/>
      <c r="AA48" s="1544"/>
      <c r="AB48" s="1544"/>
      <c r="AC48" s="1544"/>
    </row>
    <row r="49" spans="1:29" ht="15.75" thickBot="1">
      <c r="A49" s="620" t="s">
        <v>2932</v>
      </c>
      <c r="B49" s="621"/>
      <c r="C49" s="2598">
        <f>R49</f>
        <v>7907</v>
      </c>
      <c r="D49" s="2598"/>
      <c r="E49" s="2598"/>
      <c r="F49" s="2598"/>
      <c r="G49" s="2598"/>
      <c r="H49" s="2598"/>
      <c r="I49" s="2598"/>
      <c r="J49" s="2598"/>
      <c r="K49" s="1592"/>
      <c r="L49" s="2127"/>
      <c r="M49" s="2128"/>
      <c r="N49" s="2128"/>
      <c r="O49" s="2128"/>
      <c r="P49" s="3489" t="str">
        <f>A49</f>
        <v>估价对象XX用房的比较价格（楼面单价，元/平方米）</v>
      </c>
      <c r="Q49" s="3490"/>
      <c r="R49" s="3571">
        <f>IF(F1="售价",ROUND(AVERAGE(R48:V48),0),ROUND(AVERAGE(R48:V48),1))</f>
        <v>7907</v>
      </c>
      <c r="S49" s="3571"/>
      <c r="T49" s="3571"/>
      <c r="U49" s="3571"/>
      <c r="V49" s="3571"/>
      <c r="W49" s="3571"/>
      <c r="X49" s="1544"/>
      <c r="Y49" s="1544"/>
      <c r="Z49" s="1544"/>
      <c r="AA49" s="1544"/>
      <c r="AB49" s="1544"/>
      <c r="AC49" s="1544"/>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v>
      </c>
      <c r="F52" s="626" t="str">
        <f>IF(OR(E52&gt;=0.3,E52&lt;=-0.3),"超过30%","")</f>
        <v/>
      </c>
      <c r="G52" s="625">
        <f>IF(G47&lt;G48,G48/G47-1,G47/G48-1)</f>
        <v>0</v>
      </c>
      <c r="H52" s="626" t="str">
        <f>IF(OR(G52&gt;=0.3,G52&lt;=-0.3),"超过30%","")</f>
        <v/>
      </c>
      <c r="I52" s="625">
        <f>IF(I47&lt;I48,I48/I47-1,I47/I48-1)</f>
        <v>4.0391676866585069E-2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1.9480519480519431E-2</v>
      </c>
      <c r="F53" s="626" t="str">
        <f>IF(OR(E53&gt;=0.2,E53&lt;=-0.2),"超过20%","")</f>
        <v/>
      </c>
      <c r="G53" s="625">
        <f>IF(G48&lt;I48,I48/G48-1,G48/I48-1)</f>
        <v>4.0764331210191074E-2</v>
      </c>
      <c r="H53" s="626" t="str">
        <f>IF(OR(G53&gt;=0.2,G53&lt;=-0.2),"超过20%","")</f>
        <v/>
      </c>
      <c r="I53" s="625">
        <f>IF(I48&lt;E48,E48/I48-1,I48/E48-1)</f>
        <v>6.1038961038961004E-2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1.9480519480519431E-2</v>
      </c>
      <c r="F54" s="626" t="str">
        <f>IF(OR(E54&gt;=0.3,E54&lt;=-0.3),"超过30%","")</f>
        <v/>
      </c>
      <c r="G54" s="625">
        <f>IF(G47&lt;I47,I47/G47-1,G47/I47-1)</f>
        <v>8.2802547770700619E-2</v>
      </c>
      <c r="H54" s="626" t="str">
        <f>IF(OR(G54&gt;=0.3,G54&lt;=-0.3),"超过30%","")</f>
        <v/>
      </c>
      <c r="I54" s="625">
        <f>IF(I47&lt;E47,E47/I47-1,I47/E47-1)</f>
        <v>0.10389610389610393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9" t="s">
        <v>574</v>
      </c>
      <c r="B57" s="1544"/>
      <c r="C57" s="1568"/>
      <c r="D57" s="1568"/>
      <c r="E57" s="1568"/>
      <c r="F57" s="1570"/>
      <c r="G57" s="1570"/>
      <c r="H57" s="1568"/>
      <c r="I57" s="1568"/>
      <c r="J57" s="1568"/>
      <c r="K57" s="1571"/>
      <c r="L57" s="1567"/>
      <c r="M57" s="1568"/>
      <c r="N57" s="1568"/>
      <c r="O57" s="1568"/>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2019-10</v>
      </c>
      <c r="D58" s="2757">
        <f>EDATE(C58,-1)</f>
        <v>43709</v>
      </c>
      <c r="E58" s="2757">
        <f t="shared" ref="E58:O58" si="16">EDATE(D58,-1)</f>
        <v>43678</v>
      </c>
      <c r="F58" s="2757">
        <f t="shared" si="16"/>
        <v>43647</v>
      </c>
      <c r="G58" s="2757">
        <f t="shared" si="16"/>
        <v>43617</v>
      </c>
      <c r="H58" s="2757">
        <f t="shared" si="16"/>
        <v>43586</v>
      </c>
      <c r="I58" s="2757">
        <f t="shared" si="16"/>
        <v>43556</v>
      </c>
      <c r="J58" s="2757">
        <f t="shared" si="16"/>
        <v>43525</v>
      </c>
      <c r="K58" s="2757">
        <f t="shared" si="16"/>
        <v>43497</v>
      </c>
      <c r="L58" s="2757">
        <f t="shared" si="16"/>
        <v>43466</v>
      </c>
      <c r="M58" s="2757">
        <f t="shared" si="16"/>
        <v>43435</v>
      </c>
      <c r="N58" s="2757">
        <f t="shared" si="16"/>
        <v>43405</v>
      </c>
      <c r="O58" s="2757">
        <f t="shared" si="16"/>
        <v>43374</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v>100</v>
      </c>
      <c r="D64" s="670"/>
      <c r="E64" s="1593"/>
      <c r="F64" s="1593"/>
      <c r="G64" s="1593"/>
      <c r="H64" s="1593"/>
      <c r="I64" s="1593"/>
      <c r="J64" s="1593"/>
      <c r="K64" s="1593"/>
      <c r="L64" s="1593"/>
      <c r="M64" s="1594"/>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0</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0</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0</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2555</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2556</v>
      </c>
      <c r="C82" s="2560" t="s">
        <v>2557</v>
      </c>
      <c r="D82" s="2560" t="s">
        <v>2558</v>
      </c>
      <c r="E82" s="2560" t="s">
        <v>2559</v>
      </c>
      <c r="F82" s="2560" t="s">
        <v>2560</v>
      </c>
      <c r="G82" s="2560" t="s">
        <v>2561</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1879" t="s">
        <v>2256</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0</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0</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0</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0</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234" t="s">
        <v>3263</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29" t="s">
        <v>3262</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230" t="s">
        <v>3261</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29" t="s">
        <v>3259</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29" t="s">
        <v>3257</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2554</v>
      </c>
      <c r="C116" s="3229" t="s">
        <v>3255</v>
      </c>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230" t="s">
        <v>3254</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29" t="s">
        <v>3286</v>
      </c>
      <c r="D122" s="3229" t="s">
        <v>3287</v>
      </c>
      <c r="E122" s="3229" t="s">
        <v>3288</v>
      </c>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0</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0</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0</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27" priority="15" stopIfTrue="1" operator="containsText" text="超过">
      <formula>NOT(ISERROR(SEARCH("超过",F52)))</formula>
    </cfRule>
  </conditionalFormatting>
  <conditionalFormatting sqref="J54">
    <cfRule type="containsText" dxfId="26" priority="14" stopIfTrue="1" operator="containsText" text="超过">
      <formula>NOT(ISERROR(SEARCH("超过",J54)))</formula>
    </cfRule>
  </conditionalFormatting>
  <conditionalFormatting sqref="H54">
    <cfRule type="containsText" dxfId="25" priority="13" stopIfTrue="1" operator="containsText" text="超过">
      <formula>NOT(ISERROR(SEARCH("超过",H54)))</formula>
    </cfRule>
  </conditionalFormatting>
  <conditionalFormatting sqref="F54">
    <cfRule type="containsText" dxfId="24" priority="12" stopIfTrue="1" operator="containsText" text="超过">
      <formula>NOT(ISERROR(SEARCH("超过",F54)))</formula>
    </cfRule>
  </conditionalFormatting>
  <conditionalFormatting sqref="F53 H53 J53">
    <cfRule type="containsText" dxfId="23" priority="11" stopIfTrue="1" operator="containsText" text="超过">
      <formula>NOT(ISERROR(SEARCH("超过",F53)))</formula>
    </cfRule>
  </conditionalFormatting>
  <conditionalFormatting sqref="E52">
    <cfRule type="expression" dxfId="22" priority="10"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0" sqref="D20"/>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3145</v>
      </c>
      <c r="D1" s="3074" t="s">
        <v>3183</v>
      </c>
      <c r="E1" s="2349" t="s">
        <v>2372</v>
      </c>
      <c r="F1" s="2350">
        <f ca="1">J53</f>
        <v>37.74</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2287</v>
      </c>
      <c r="C2" s="2040"/>
      <c r="D2" s="2038"/>
      <c r="E2" s="2039"/>
      <c r="F2" s="2039"/>
      <c r="G2" s="1575"/>
      <c r="H2" s="2040"/>
      <c r="I2" s="2040"/>
      <c r="J2" s="2040"/>
      <c r="K2" s="2041"/>
      <c r="L2" s="2040"/>
      <c r="M2" s="2040"/>
    </row>
    <row r="3" spans="1:33" ht="18" customHeight="1" thickBot="1">
      <c r="A3" s="832" t="s">
        <v>1727</v>
      </c>
      <c r="B3" s="833">
        <f ca="1">IF(ISERROR(B2*10000/F43),0,ROUND(B2*10000/F43,0))</f>
        <v>8816</v>
      </c>
      <c r="C3" s="2040"/>
      <c r="D3" s="2038"/>
      <c r="E3" s="2039"/>
      <c r="F3" s="2039"/>
      <c r="G3" s="1575"/>
      <c r="H3" s="775" t="s">
        <v>695</v>
      </c>
      <c r="I3" s="1357"/>
      <c r="J3" s="1357"/>
      <c r="K3" s="1576"/>
      <c r="L3" s="1357"/>
      <c r="M3" s="1357"/>
    </row>
    <row r="4" spans="1:33" ht="18" customHeight="1">
      <c r="A4" s="776" t="s">
        <v>1728</v>
      </c>
      <c r="B4" s="777" t="s">
        <v>1729</v>
      </c>
      <c r="C4" s="777" t="s">
        <v>1730</v>
      </c>
      <c r="D4" s="777" t="s">
        <v>633</v>
      </c>
      <c r="E4" s="778" t="s">
        <v>1731</v>
      </c>
      <c r="F4" s="779"/>
      <c r="G4" s="1577"/>
      <c r="H4" s="776" t="s">
        <v>1732</v>
      </c>
      <c r="I4" s="777" t="s">
        <v>1733</v>
      </c>
      <c r="J4" s="777" t="s">
        <v>1734</v>
      </c>
      <c r="K4" s="777" t="s">
        <v>1735</v>
      </c>
      <c r="L4" s="778" t="s">
        <v>1736</v>
      </c>
      <c r="M4" s="779"/>
    </row>
    <row r="5" spans="1:33" ht="18" customHeight="1">
      <c r="A5" s="780">
        <v>1</v>
      </c>
      <c r="B5" s="781" t="s">
        <v>2456</v>
      </c>
      <c r="C5" s="55">
        <f ca="1">C6+C10+C12</f>
        <v>128</v>
      </c>
      <c r="D5" s="2458" t="s">
        <v>2459</v>
      </c>
      <c r="E5" s="2452"/>
      <c r="F5" s="2453"/>
      <c r="G5" s="1577"/>
      <c r="H5" s="780">
        <v>1</v>
      </c>
      <c r="I5" s="781" t="s">
        <v>2456</v>
      </c>
      <c r="J5" s="55">
        <f ca="1">J6+J10+J12</f>
        <v>0</v>
      </c>
      <c r="K5" s="2458" t="s">
        <v>2459</v>
      </c>
      <c r="L5" s="2452"/>
      <c r="M5" s="2453"/>
    </row>
    <row r="6" spans="1:33" ht="18" customHeight="1">
      <c r="A6" s="1813" t="s">
        <v>1824</v>
      </c>
      <c r="B6" s="3542" t="s">
        <v>2461</v>
      </c>
      <c r="C6" s="782">
        <f ca="1">ROUND(F6*F8*F7*(1-F9)/10000,0)</f>
        <v>128</v>
      </c>
      <c r="D6" s="2459" t="s">
        <v>2460</v>
      </c>
      <c r="E6" s="783" t="s">
        <v>1738</v>
      </c>
      <c r="F6" s="784">
        <f ca="1">INDIRECT("'数据-取费表'!u"&amp;$G$1)</f>
        <v>1.5</v>
      </c>
      <c r="G6" s="1577"/>
      <c r="H6" s="2466" t="s">
        <v>2466</v>
      </c>
      <c r="I6" s="3542" t="s">
        <v>2461</v>
      </c>
      <c r="J6" s="782">
        <f ca="1">ROUND(M6*M8*M7*(1-M9)/10000,0)</f>
        <v>0</v>
      </c>
      <c r="K6" s="340" t="s">
        <v>1737</v>
      </c>
      <c r="L6" s="783" t="s">
        <v>1738</v>
      </c>
      <c r="M6" s="784">
        <f ca="1">INDIRECT("'数据-取费表'!z"&amp;$G$1)</f>
        <v>0</v>
      </c>
    </row>
    <row r="7" spans="1:33" ht="18" customHeight="1">
      <c r="A7" s="2462"/>
      <c r="B7" s="3543"/>
      <c r="C7" s="787"/>
      <c r="D7" s="788"/>
      <c r="E7" s="783" t="s">
        <v>1739</v>
      </c>
      <c r="F7" s="784">
        <f ca="1">IF(INDIRECT("'数据-取费表'!ah"&amp;$G$1)="",INDIRECT("'数据-取费表'!k"&amp;$G$1),INDIRECT("'数据-取费表'!ah"&amp;$G$1))</f>
        <v>2594.0100000000002</v>
      </c>
      <c r="G7" s="1577"/>
      <c r="H7" s="2451"/>
      <c r="I7" s="3543"/>
      <c r="J7" s="787"/>
      <c r="K7" s="788"/>
      <c r="L7" s="783" t="s">
        <v>1739</v>
      </c>
      <c r="M7" s="784">
        <f ca="1">F7</f>
        <v>2594.0100000000002</v>
      </c>
    </row>
    <row r="8" spans="1:33" ht="18" customHeight="1">
      <c r="A8" s="2455"/>
      <c r="B8" s="3544"/>
      <c r="C8" s="787"/>
      <c r="D8" s="788"/>
      <c r="E8" s="783" t="s">
        <v>1740</v>
      </c>
      <c r="F8" s="784">
        <f ca="1">INDIRECT("'数据-取费表'!ai"&amp;$G$1)</f>
        <v>365</v>
      </c>
      <c r="G8" s="1577"/>
      <c r="H8" s="2451"/>
      <c r="I8" s="3544"/>
      <c r="J8" s="787"/>
      <c r="K8" s="788"/>
      <c r="L8" s="783" t="s">
        <v>1740</v>
      </c>
      <c r="M8" s="784">
        <f ca="1">INDIRECT("'数据-取费表'!ai"&amp;$G$1)</f>
        <v>365</v>
      </c>
    </row>
    <row r="9" spans="1:33" ht="18" customHeight="1">
      <c r="A9" s="785"/>
      <c r="B9" s="3545"/>
      <c r="C9" s="787"/>
      <c r="D9" s="788"/>
      <c r="E9" s="783" t="s">
        <v>1741</v>
      </c>
      <c r="F9" s="793">
        <f ca="1">INDIRECT("'数据-取费表'!w"&amp;$G$1)</f>
        <v>0.1</v>
      </c>
      <c r="G9" s="1577"/>
      <c r="H9" s="2467"/>
      <c r="I9" s="3544"/>
      <c r="J9" s="787"/>
      <c r="K9" s="788"/>
      <c r="L9" s="794" t="s">
        <v>1741</v>
      </c>
      <c r="M9" s="795">
        <f ca="1">INDIRECT("'数据-取费表'!ab"&amp;$G$1)</f>
        <v>0</v>
      </c>
    </row>
    <row r="10" spans="1:33" ht="18" customHeight="1">
      <c r="A10" s="1813" t="s">
        <v>2464</v>
      </c>
      <c r="B10" s="2456" t="s">
        <v>2457</v>
      </c>
      <c r="C10" s="798">
        <f ca="1">ROUND(IF(F10="押一",C6/12*F11,IF(F10="押二",C6/12*2*F11,IF(F10="押三",C6/12*3*F11,C11*F11))),0)</f>
        <v>0</v>
      </c>
      <c r="D10" s="2463" t="s">
        <v>2970</v>
      </c>
      <c r="E10" s="2460" t="s">
        <v>2462</v>
      </c>
      <c r="F10" s="2583"/>
      <c r="G10" s="1577"/>
      <c r="H10" s="2523" t="s">
        <v>2467</v>
      </c>
      <c r="I10" s="2528" t="s">
        <v>2457</v>
      </c>
      <c r="J10" s="782">
        <f ca="1">ROUND(IF(M10="押一",J6/12*M11,IF(M10="押二",J6/12*2*M11,IF(M10="押三",J6/12*3*M11,J11*M11))),0)</f>
        <v>0</v>
      </c>
      <c r="K10" s="2463" t="s">
        <v>2970</v>
      </c>
      <c r="L10" s="2460" t="s">
        <v>2462</v>
      </c>
      <c r="M10" s="2583"/>
    </row>
    <row r="11" spans="1:33" ht="18" customHeight="1">
      <c r="A11" s="789"/>
      <c r="B11" s="2457" t="s">
        <v>2571</v>
      </c>
      <c r="C11" s="2461"/>
      <c r="D11" s="788"/>
      <c r="E11" s="2460" t="s">
        <v>2463</v>
      </c>
      <c r="F11" s="795">
        <f ca="1">'数据-取费表'!B39</f>
        <v>1.4999999999999999E-2</v>
      </c>
      <c r="G11" s="1577"/>
      <c r="H11" s="2524"/>
      <c r="I11" s="2457" t="s">
        <v>2571</v>
      </c>
      <c r="J11" s="2461"/>
      <c r="K11" s="2525"/>
      <c r="L11" s="2460" t="s">
        <v>2463</v>
      </c>
      <c r="M11" s="2454">
        <f ca="1">'数据-取费表'!B39</f>
        <v>1.4999999999999999E-2</v>
      </c>
    </row>
    <row r="12" spans="1:33" ht="18" customHeight="1" thickBot="1">
      <c r="A12" s="2499" t="s">
        <v>2465</v>
      </c>
      <c r="B12" s="2500" t="s">
        <v>2458</v>
      </c>
      <c r="C12" s="2501"/>
      <c r="D12" s="2502"/>
      <c r="E12" s="2503"/>
      <c r="F12" s="2504"/>
      <c r="G12" s="1577"/>
      <c r="H12" s="2513" t="s">
        <v>2468</v>
      </c>
      <c r="I12" s="2526" t="s">
        <v>2458</v>
      </c>
      <c r="J12" s="2527"/>
      <c r="K12" s="2502"/>
      <c r="L12" s="2503"/>
      <c r="M12" s="2516"/>
    </row>
    <row r="13" spans="1:33" ht="18" customHeight="1" thickTop="1">
      <c r="A13" s="1812">
        <v>2</v>
      </c>
      <c r="B13" s="1810" t="s">
        <v>1742</v>
      </c>
      <c r="C13" s="791">
        <f ca="1">ROUND(C29*F13,0)</f>
        <v>834</v>
      </c>
      <c r="D13" s="1817" t="s">
        <v>2296</v>
      </c>
      <c r="E13" s="1817" t="s">
        <v>1744</v>
      </c>
      <c r="F13" s="2498">
        <f ca="1">INDIRECT("'数据-取费表'!y"&amp;$G$1)</f>
        <v>1</v>
      </c>
      <c r="G13" s="1577"/>
      <c r="H13" s="1812">
        <v>2</v>
      </c>
      <c r="I13" s="1810" t="s">
        <v>1742</v>
      </c>
      <c r="J13" s="1802">
        <f ca="1">ROUND(J14*J15,0)</f>
        <v>0</v>
      </c>
      <c r="K13" s="1804" t="s">
        <v>1743</v>
      </c>
      <c r="L13" s="2514"/>
      <c r="M13" s="2515"/>
    </row>
    <row r="14" spans="1:33" ht="18" customHeight="1">
      <c r="A14" s="1632" t="s">
        <v>1884</v>
      </c>
      <c r="B14" s="783" t="s">
        <v>645</v>
      </c>
      <c r="C14" s="803">
        <f ca="1">INDIRECT("'数据-取费表'!m"&amp;$G$1)+INDIRECT("'数据-取费表'!t"&amp;$G$1)</f>
        <v>583</v>
      </c>
      <c r="D14" s="1962" t="s">
        <v>1745</v>
      </c>
      <c r="E14" s="1963"/>
      <c r="F14" s="804"/>
      <c r="G14" s="1577"/>
      <c r="H14" s="1633" t="s">
        <v>1830</v>
      </c>
      <c r="I14" s="2214" t="s">
        <v>2823</v>
      </c>
      <c r="J14" s="53">
        <f ca="1">C29</f>
        <v>834</v>
      </c>
      <c r="K14" s="26"/>
      <c r="L14" s="800"/>
      <c r="M14" s="801"/>
    </row>
    <row r="15" spans="1:33" s="2047" customFormat="1" ht="18" customHeight="1" thickBot="1">
      <c r="A15" s="1632" t="s">
        <v>1885</v>
      </c>
      <c r="B15" s="783" t="s">
        <v>647</v>
      </c>
      <c r="C15" s="53">
        <f ca="1">ROUND(C14*F15,0)</f>
        <v>17</v>
      </c>
      <c r="D15" s="805" t="s">
        <v>1746</v>
      </c>
      <c r="E15" s="805" t="s">
        <v>1747</v>
      </c>
      <c r="F15" s="806">
        <f>'数据-取费表'!B33</f>
        <v>0.03</v>
      </c>
      <c r="G15" s="1578"/>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1886</v>
      </c>
      <c r="B16" s="783" t="s">
        <v>650</v>
      </c>
      <c r="C16" s="53">
        <f ca="1">ROUND(INDIRECT("'数据-取费表'!m"&amp;$G$1)*F16,0)</f>
        <v>0</v>
      </c>
      <c r="D16" s="783" t="s">
        <v>1746</v>
      </c>
      <c r="E16" s="783" t="s">
        <v>1747</v>
      </c>
      <c r="F16" s="808">
        <f ca="1">IF(INDIRECT("'数据-取费表'!c"&amp;$G$1)="住宅",'数据-取费表'!B34,0)</f>
        <v>0</v>
      </c>
      <c r="G16" s="1577"/>
      <c r="H16" s="1812" t="s">
        <v>1748</v>
      </c>
      <c r="I16" s="1810" t="s">
        <v>1749</v>
      </c>
      <c r="J16" s="791">
        <f ca="1">ROUND(J17+J22+J23+J24,0)</f>
        <v>78</v>
      </c>
      <c r="K16" s="1804" t="s">
        <v>1750</v>
      </c>
      <c r="L16" s="2448"/>
      <c r="M16" s="2453"/>
    </row>
    <row r="17" spans="1:33" s="2047" customFormat="1" ht="18" customHeight="1">
      <c r="A17" s="1632" t="s">
        <v>1887</v>
      </c>
      <c r="B17" s="783" t="s">
        <v>653</v>
      </c>
      <c r="C17" s="53">
        <f ca="1">ROUND(F17*(F43+INDIRECT("'数据-取费表'!S"&amp;$G$1))/10000,0)</f>
        <v>53</v>
      </c>
      <c r="D17" s="783" t="s">
        <v>1751</v>
      </c>
      <c r="E17" s="783" t="s">
        <v>1752</v>
      </c>
      <c r="F17" s="56">
        <f>'数据-取费表'!B35</f>
        <v>200</v>
      </c>
      <c r="G17" s="1578"/>
      <c r="H17" s="1633" t="s">
        <v>1830</v>
      </c>
      <c r="I17" s="783" t="s">
        <v>656</v>
      </c>
      <c r="J17" s="53">
        <f ca="1">ROUND(IF(项目基本情况!B11="自然人",J6*M17/(1+'数据-取费表'!C42),J18+J19+J20),0)</f>
        <v>70</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9</v>
      </c>
      <c r="D18" s="783" t="s">
        <v>1746</v>
      </c>
      <c r="E18" s="783" t="s">
        <v>1747</v>
      </c>
      <c r="F18" s="808">
        <f>'数据-取费表'!B36</f>
        <v>1.4999999999999999E-2</v>
      </c>
      <c r="G18" s="1578"/>
      <c r="H18" s="1632" t="s">
        <v>1884</v>
      </c>
      <c r="I18" s="783" t="s">
        <v>1755</v>
      </c>
      <c r="J18" s="53">
        <f ca="1">ROUND(J6*M18/(1+'数据-取费表'!C42),1)</f>
        <v>0</v>
      </c>
      <c r="K18" s="2446" t="s">
        <v>1756</v>
      </c>
      <c r="L18" s="783" t="s">
        <v>1747</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1830</v>
      </c>
      <c r="B19" s="783" t="s">
        <v>662</v>
      </c>
      <c r="C19" s="53">
        <f ca="1">SUM(C14:C18)</f>
        <v>662</v>
      </c>
      <c r="D19" s="260" t="s">
        <v>1757</v>
      </c>
      <c r="E19" s="1965"/>
      <c r="F19" s="56"/>
      <c r="G19" s="1577"/>
      <c r="H19" s="1632" t="s">
        <v>1885</v>
      </c>
      <c r="I19" s="783" t="s">
        <v>1758</v>
      </c>
      <c r="J19" s="53">
        <f ca="1">IF(K19="按租金收入计税",ROUND(J6*M19/(1+'数据-取费表'!C42),1),ROUND(C29*F33*0.7,1))</f>
        <v>70.099999999999994</v>
      </c>
      <c r="K19" s="810" t="s">
        <v>665</v>
      </c>
      <c r="L19" s="783" t="s">
        <v>1747</v>
      </c>
      <c r="M19" s="808">
        <f>IF(K19="按租金收入计税",'数据-取费表'!B51,'数据-取费表'!B50)</f>
        <v>1.2E-2</v>
      </c>
    </row>
    <row r="20" spans="1:33" s="2047" customFormat="1" ht="18" customHeight="1">
      <c r="A20" s="1633" t="s">
        <v>1889</v>
      </c>
      <c r="B20" s="783" t="s">
        <v>666</v>
      </c>
      <c r="C20" s="53">
        <f ca="1">ROUND(C19*F20,0)</f>
        <v>13</v>
      </c>
      <c r="D20" s="811" t="s">
        <v>1759</v>
      </c>
      <c r="E20" s="783" t="s">
        <v>1747</v>
      </c>
      <c r="F20" s="808">
        <f>'数据-取费表'!B37</f>
        <v>0.02</v>
      </c>
      <c r="G20" s="1578"/>
      <c r="H20" s="1635" t="s">
        <v>1880</v>
      </c>
      <c r="I20" s="340" t="s">
        <v>1760</v>
      </c>
      <c r="J20" s="54">
        <f ca="1">ROUND(M20*M21/10000,0)</f>
        <v>0</v>
      </c>
      <c r="K20" s="813" t="s">
        <v>1761</v>
      </c>
      <c r="L20" s="783" t="s">
        <v>1762</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1763</v>
      </c>
      <c r="C21" s="53" t="s">
        <v>1764</v>
      </c>
      <c r="D21" s="811" t="s">
        <v>2297</v>
      </c>
      <c r="E21" s="783" t="s">
        <v>1765</v>
      </c>
      <c r="F21" s="808">
        <f>'数据-取费表'!B38</f>
        <v>1.4999999999999999E-2</v>
      </c>
      <c r="G21" s="1578"/>
      <c r="H21" s="2468"/>
      <c r="I21" s="792"/>
      <c r="J21" s="69"/>
      <c r="K21" s="815"/>
      <c r="L21" s="783" t="s">
        <v>1766</v>
      </c>
      <c r="M21" s="784">
        <f ca="1">INDIRECT("'数据-取费表'!r"&amp;$G$1)</f>
        <v>694.51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1767</v>
      </c>
      <c r="C22" s="53"/>
      <c r="D22" s="2534" t="str">
        <f>IF(F23&lt;=1,"单利计息。","复利计息。")&amp;"建造成本、管理费用、销售费用产生的利息。"</f>
        <v>复利计息。建造成本、管理费用、销售费用产生的利息。</v>
      </c>
      <c r="E22" s="1965"/>
      <c r="F22" s="56"/>
      <c r="G22" s="1577"/>
      <c r="H22" s="1633" t="s">
        <v>1889</v>
      </c>
      <c r="I22" s="783" t="s">
        <v>1768</v>
      </c>
      <c r="J22" s="53">
        <f ca="1">ROUND(J14*M22,0)</f>
        <v>8</v>
      </c>
      <c r="K22" s="2446" t="s">
        <v>1769</v>
      </c>
      <c r="L22" s="783" t="s">
        <v>1747</v>
      </c>
      <c r="M22" s="816">
        <f ca="1">INDIRECT("'数据-取费表'!Ak"&amp;$G$1)</f>
        <v>0.01</v>
      </c>
    </row>
    <row r="23" spans="1:33" s="2047" customFormat="1" ht="18" customHeight="1">
      <c r="A23" s="1632" t="s">
        <v>1831</v>
      </c>
      <c r="B23" s="783" t="s">
        <v>2533</v>
      </c>
      <c r="C23" s="53">
        <f ca="1">ROUND(IF('数据-取费表'!B22&lt;=1,(C19+C20)*F24*F23/2,(C19+C20)*(POWER((1+F24),F23/2)-1)),0)</f>
        <v>32</v>
      </c>
      <c r="D23" s="2533" t="str">
        <f>IF(F23&lt;=1,"(建造成本+管理费用)×利率×(建设周期÷2)","(建造成本+管理费用)×((1+利率)^(建设周期÷2)-1)")</f>
        <v>(建造成本+管理费用)×((1+利率)^(建设周期÷2)-1)</v>
      </c>
      <c r="E23" s="783" t="s">
        <v>1770</v>
      </c>
      <c r="F23" s="639">
        <f>'数据-取费表'!B20</f>
        <v>2</v>
      </c>
      <c r="G23" s="1578"/>
      <c r="H23" s="1633" t="s">
        <v>1890</v>
      </c>
      <c r="I23" s="783" t="s">
        <v>679</v>
      </c>
      <c r="J23" s="53">
        <f ca="1">ROUND(J13*M23,0)</f>
        <v>0</v>
      </c>
      <c r="K23" s="2446" t="s">
        <v>1771</v>
      </c>
      <c r="L23" s="783" t="s">
        <v>1747</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1772</v>
      </c>
      <c r="C24" s="53">
        <f ca="1">ROUND(IF('数据-取费表'!B22&lt;=1,F21*F24*F23/2,F21*(POWER((1+F24),F23/2)-1)),4)</f>
        <v>6.9999999999999999E-4</v>
      </c>
      <c r="D24" s="2533" t="str">
        <f>IF(F23&lt;=1,"销售费用×利率×(建设周期÷2)","销售费用×((1+利率)^(建设周期÷2)-1)")</f>
        <v>销售费用×((1+利率)^(建设周期÷2)-1)</v>
      </c>
      <c r="E24" s="783" t="s">
        <v>1773</v>
      </c>
      <c r="F24" s="818">
        <f ca="1">'数据-取费表'!B40</f>
        <v>4.7500000000000001E-2</v>
      </c>
      <c r="G24" s="1578"/>
      <c r="H24" s="2513" t="s">
        <v>1891</v>
      </c>
      <c r="I24" s="2508" t="s">
        <v>666</v>
      </c>
      <c r="J24" s="2506">
        <f ca="1">ROUND(J5*M24,0)</f>
        <v>0</v>
      </c>
      <c r="K24" s="2507" t="s">
        <v>1774</v>
      </c>
      <c r="L24" s="2508" t="s">
        <v>1747</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1775</v>
      </c>
      <c r="E25" s="1965"/>
      <c r="F25" s="56"/>
      <c r="G25" s="1577"/>
      <c r="H25" s="1812" t="s">
        <v>1776</v>
      </c>
      <c r="I25" s="2960" t="s">
        <v>2819</v>
      </c>
      <c r="J25" s="791">
        <f ca="1">J5-J16</f>
        <v>-78</v>
      </c>
      <c r="K25" s="2510" t="s">
        <v>1777</v>
      </c>
      <c r="L25" s="2511"/>
      <c r="M25" s="2512"/>
    </row>
    <row r="26" spans="1:33" ht="18" customHeight="1">
      <c r="A26" s="1632" t="s">
        <v>1831</v>
      </c>
      <c r="B26" s="783" t="s">
        <v>2436</v>
      </c>
      <c r="C26" s="53">
        <f ca="1">ROUND((C19+C20)*F26,0)</f>
        <v>68</v>
      </c>
      <c r="D26" s="811" t="s">
        <v>1778</v>
      </c>
      <c r="E26" s="794" t="s">
        <v>1779</v>
      </c>
      <c r="F26" s="793">
        <f ca="1">INDIRECT("'数据-取费表'!q"&amp;$G$1)</f>
        <v>0.1</v>
      </c>
      <c r="G26" s="1577"/>
      <c r="H26" s="2464" t="s">
        <v>1780</v>
      </c>
      <c r="I26" s="2215" t="s">
        <v>2824</v>
      </c>
      <c r="J26" s="782">
        <f ca="1">IF(J5&lt;&gt;0,ROUND(J25*(1-((1+M28)/(1+M26))^M27)/(M26-M28),0),0)</f>
        <v>0</v>
      </c>
      <c r="K26" s="813" t="s">
        <v>1781</v>
      </c>
      <c r="L26" s="783" t="s">
        <v>2417</v>
      </c>
      <c r="M26" s="793">
        <f ca="1">INDIRECT("'数据-取费表'!I"&amp;$G$1)</f>
        <v>5.5E-2</v>
      </c>
    </row>
    <row r="27" spans="1:33" ht="18" customHeight="1">
      <c r="A27" s="1632" t="s">
        <v>1832</v>
      </c>
      <c r="B27" s="783" t="s">
        <v>686</v>
      </c>
      <c r="C27" s="53">
        <f ca="1">ROUND(F21*F26,4)</f>
        <v>1.5E-3</v>
      </c>
      <c r="D27" s="811" t="s">
        <v>1782</v>
      </c>
      <c r="E27" s="805"/>
      <c r="F27" s="806"/>
      <c r="G27" s="1577"/>
      <c r="H27" s="2465"/>
      <c r="I27" s="786"/>
      <c r="J27" s="787"/>
      <c r="K27" s="820" t="s">
        <v>1783</v>
      </c>
      <c r="L27" s="783" t="s">
        <v>1784</v>
      </c>
      <c r="M27" s="821">
        <f ca="1">INDIRECT("'数据-取费表'!ag"&amp;$G$1)</f>
        <v>0</v>
      </c>
    </row>
    <row r="28" spans="1:33" s="2047" customFormat="1" ht="18" customHeight="1">
      <c r="A28" s="1634" t="s">
        <v>1841</v>
      </c>
      <c r="B28" s="783" t="s">
        <v>687</v>
      </c>
      <c r="C28" s="53">
        <f>ROUND(F28/(1+'数据-取费表'!C42),4)</f>
        <v>5.33E-2</v>
      </c>
      <c r="D28" s="811" t="s">
        <v>2298</v>
      </c>
      <c r="E28" s="783" t="s">
        <v>1785</v>
      </c>
      <c r="F28" s="808">
        <f>'数据-取费表'!B41</f>
        <v>5.6000000000000001E-2</v>
      </c>
      <c r="G28" s="1578"/>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834</v>
      </c>
      <c r="D29" s="2507"/>
      <c r="E29" s="2508"/>
      <c r="F29" s="2509"/>
      <c r="G29" s="1578"/>
      <c r="H29" s="822" t="s">
        <v>1787</v>
      </c>
      <c r="I29" s="823" t="s">
        <v>1788</v>
      </c>
      <c r="J29" s="824">
        <f ca="1">ROUND(J26/(1+F40)^F41,0)</f>
        <v>0</v>
      </c>
      <c r="K29" s="825" t="s">
        <v>1789</v>
      </c>
      <c r="L29" s="826"/>
      <c r="M29" s="827">
        <f ca="1">INDIRECT("'数据-取费表'!k"&amp;$G$1)</f>
        <v>2594.0100000000002</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32</v>
      </c>
      <c r="D30" s="1804" t="s">
        <v>1791</v>
      </c>
      <c r="E30" s="2448"/>
      <c r="F30" s="2453"/>
      <c r="G30" s="2045"/>
      <c r="H30" s="2048"/>
      <c r="I30" s="2049"/>
      <c r="J30" s="2050"/>
      <c r="K30" s="2051"/>
      <c r="L30" s="2052"/>
      <c r="M30" s="2053"/>
    </row>
    <row r="31" spans="1:33" ht="18" customHeight="1">
      <c r="A31" s="1633" t="s">
        <v>1830</v>
      </c>
      <c r="B31" s="783" t="s">
        <v>656</v>
      </c>
      <c r="C31" s="53">
        <f ca="1">ROUND(IF(项目基本情况!B11="自然人",C6*F31/(1+'数据-取费表'!C42),C32+C33+C34),1)</f>
        <v>21.8</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1794</v>
      </c>
      <c r="C32" s="53">
        <f ca="1">ROUND(C6*F32/(1+'数据-取费表'!C42),1)</f>
        <v>6.8</v>
      </c>
      <c r="D32" s="1960" t="s">
        <v>1795</v>
      </c>
      <c r="E32" s="783" t="s">
        <v>1796</v>
      </c>
      <c r="F32" s="808">
        <f>'数据-取费表'!B41</f>
        <v>5.6000000000000001E-2</v>
      </c>
      <c r="G32" s="2045"/>
      <c r="H32" s="2054"/>
      <c r="I32" s="2055"/>
      <c r="J32" s="2056"/>
      <c r="K32" s="2057"/>
      <c r="L32" s="2058"/>
      <c r="M32" s="2059"/>
    </row>
    <row r="33" spans="1:18" ht="18" customHeight="1">
      <c r="A33" s="1632" t="s">
        <v>1832</v>
      </c>
      <c r="B33" s="783" t="s">
        <v>1797</v>
      </c>
      <c r="C33" s="53">
        <f ca="1">IF(D33="按租金收入计税",ROUND(C6*F33/(1+'数据-取费表'!C42),1),IF(D33="按房产原值计税",ROUND(C29*F33*0.7,1),INDIRECT("'数据-取费表'!Aj"&amp;$G$1)))</f>
        <v>14.6</v>
      </c>
      <c r="D33" s="810" t="s">
        <v>3184</v>
      </c>
      <c r="E33" s="783" t="s">
        <v>1796</v>
      </c>
      <c r="F33" s="808">
        <f>IF(D33="按租金收入计税",'数据-取费表'!B51,'数据-取费表'!B50)</f>
        <v>0.12</v>
      </c>
      <c r="G33" s="2045"/>
      <c r="H33" s="2060"/>
      <c r="I33" s="2060"/>
      <c r="J33" s="2060"/>
      <c r="K33" s="2061"/>
      <c r="L33" s="2060"/>
      <c r="M33" s="2060"/>
    </row>
    <row r="34" spans="1:18" ht="18" customHeight="1">
      <c r="A34" s="1635" t="s">
        <v>1833</v>
      </c>
      <c r="B34" s="340" t="s">
        <v>1798</v>
      </c>
      <c r="C34" s="54">
        <f ca="1">ROUND(F34*F35/10000,1)</f>
        <v>0.4</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694.51</v>
      </c>
      <c r="G35" s="2045"/>
      <c r="H35" s="2048"/>
      <c r="I35" s="836" t="s">
        <v>1814</v>
      </c>
      <c r="J35" s="837">
        <f ca="1">ROUND(C13*J36,0)</f>
        <v>0</v>
      </c>
      <c r="K35" s="2061"/>
      <c r="L35" s="2060"/>
      <c r="M35" s="2060"/>
    </row>
    <row r="36" spans="1:18" ht="18" customHeight="1">
      <c r="A36" s="1633" t="s">
        <v>1889</v>
      </c>
      <c r="B36" s="783" t="s">
        <v>1802</v>
      </c>
      <c r="C36" s="53">
        <f ca="1">ROUND(C29*F36,1)</f>
        <v>8.3000000000000007</v>
      </c>
      <c r="D36" s="1960" t="s">
        <v>1803</v>
      </c>
      <c r="E36" s="783" t="s">
        <v>1796</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0.8</v>
      </c>
      <c r="D37" s="1960" t="s">
        <v>1804</v>
      </c>
      <c r="E37" s="783" t="s">
        <v>1796</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1.3</v>
      </c>
      <c r="D38" s="2507" t="s">
        <v>1805</v>
      </c>
      <c r="E38" s="2508" t="s">
        <v>1796</v>
      </c>
      <c r="F38" s="2504">
        <f ca="1">INDIRECT("'数据-取费表'!Am"&amp;$G$1)</f>
        <v>0.01</v>
      </c>
      <c r="G38" s="2045"/>
      <c r="H38" s="2060"/>
      <c r="I38" s="842" t="s">
        <v>1817</v>
      </c>
      <c r="J38" s="843"/>
      <c r="K38" s="2066"/>
      <c r="L38" s="2060"/>
      <c r="M38" s="2060"/>
    </row>
    <row r="39" spans="1:18" ht="24.6" customHeight="1" thickTop="1">
      <c r="A39" s="1812" t="s">
        <v>1894</v>
      </c>
      <c r="B39" s="2960" t="s">
        <v>2819</v>
      </c>
      <c r="C39" s="791">
        <f ca="1">C5-C30</f>
        <v>96</v>
      </c>
      <c r="D39" s="2510" t="s">
        <v>1806</v>
      </c>
      <c r="E39" s="2511"/>
      <c r="F39" s="2512"/>
      <c r="G39" s="2045"/>
      <c r="H39" s="2060"/>
      <c r="I39" s="836" t="s">
        <v>1818</v>
      </c>
      <c r="J39" s="844">
        <f ca="1">ROUND(J35/C39,3)</f>
        <v>0</v>
      </c>
      <c r="K39" s="2066"/>
      <c r="L39" s="2060"/>
      <c r="M39" s="2060"/>
    </row>
    <row r="40" spans="1:18" ht="18" customHeight="1">
      <c r="A40" s="780" t="s">
        <v>1895</v>
      </c>
      <c r="B40" s="2215" t="s">
        <v>2300</v>
      </c>
      <c r="C40" s="782">
        <f ca="1">ROUND(C39*(1-((1+F42)/(1+F40))^F41)/(F40-F42),0)</f>
        <v>2287</v>
      </c>
      <c r="D40" s="813" t="s">
        <v>1807</v>
      </c>
      <c r="E40" s="783" t="s">
        <v>2417</v>
      </c>
      <c r="F40" s="793">
        <f ca="1">INDIRECT("'数据-取费表'!I"&amp;$G$1)</f>
        <v>5.5E-2</v>
      </c>
      <c r="G40" s="2045"/>
      <c r="H40" s="2045"/>
      <c r="I40" s="836" t="s">
        <v>1819</v>
      </c>
      <c r="J40" s="844">
        <f ca="1">1-J39</f>
        <v>1</v>
      </c>
      <c r="K40" s="2066"/>
      <c r="L40" s="2045"/>
      <c r="M40" s="2045"/>
    </row>
    <row r="41" spans="1:18" ht="18" customHeight="1">
      <c r="A41" s="785"/>
      <c r="B41" s="786"/>
      <c r="C41" s="787"/>
      <c r="D41" s="820" t="s">
        <v>1808</v>
      </c>
      <c r="E41" s="783" t="s">
        <v>2960</v>
      </c>
      <c r="F41" s="821">
        <f ca="1">IF(INDIRECT("'数据-取费表'!af"&amp;$G$1)=0,INDIRECT("'数据-取费表'!ae"&amp;$G$1),INDIRECT("'数据-取费表'!af"&amp;$G$1))</f>
        <v>37.74</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0.36499999999999999</v>
      </c>
      <c r="K42" s="2065"/>
      <c r="L42" s="1971"/>
      <c r="M42" s="1971"/>
    </row>
    <row r="43" spans="1:18" ht="18" customHeight="1" thickBot="1">
      <c r="A43" s="822" t="s">
        <v>1787</v>
      </c>
      <c r="B43" s="823" t="s">
        <v>1810</v>
      </c>
      <c r="C43" s="824">
        <f ca="1">ROUND(C40*10000/F43,0)</f>
        <v>8816</v>
      </c>
      <c r="D43" s="825" t="s">
        <v>1811</v>
      </c>
      <c r="E43" s="826" t="s">
        <v>1812</v>
      </c>
      <c r="F43" s="827">
        <f ca="1">INDIRECT("'数据-取费表'!k"&amp;$G$1)</f>
        <v>2594.0100000000002</v>
      </c>
      <c r="G43" s="2045"/>
      <c r="H43" s="1971"/>
      <c r="I43" s="846" t="s">
        <v>1822</v>
      </c>
      <c r="J43" s="847">
        <f ca="1">1-J42</f>
        <v>0.63500000000000001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-2445</v>
      </c>
      <c r="D46" s="2068"/>
      <c r="E46" s="2068"/>
      <c r="F46" s="2068"/>
      <c r="I46" s="2340" t="s">
        <v>2341</v>
      </c>
      <c r="J46" s="2341"/>
      <c r="K46" s="2342"/>
      <c r="L46" s="3105">
        <f>IF(OR(M47="住宅",D1="土地（套用方法）"),0,IF(L48&gt;J51,L60,J60))</f>
        <v>0</v>
      </c>
      <c r="O46" s="2356" t="s">
        <v>2408</v>
      </c>
      <c r="P46" s="1577"/>
      <c r="Q46" s="1588"/>
      <c r="R46" s="1577"/>
    </row>
    <row r="47" spans="1:18" s="2042" customFormat="1" ht="18" customHeight="1" thickBot="1">
      <c r="A47" s="2334">
        <v>1</v>
      </c>
      <c r="B47" s="2335" t="s">
        <v>635</v>
      </c>
      <c r="C47" s="2536">
        <f ca="1">C48+C52+C54</f>
        <v>0</v>
      </c>
      <c r="D47" s="2068"/>
      <c r="E47" s="2068"/>
      <c r="F47" s="2068"/>
      <c r="I47" s="3096" t="s">
        <v>2342</v>
      </c>
      <c r="J47" s="2343" t="s">
        <v>3185</v>
      </c>
      <c r="K47" s="3102" t="s">
        <v>2347</v>
      </c>
      <c r="L47" s="3106">
        <f ca="1">INDIRECT("'数据-取费表'!d"&amp;$G$1)</f>
        <v>40</v>
      </c>
      <c r="M47" s="1588" t="str">
        <f>IF(ISNUMBER(FIND("住宅",C1)),"住宅","非住宅")</f>
        <v>非住宅</v>
      </c>
      <c r="O47" s="2357" t="s">
        <v>2373</v>
      </c>
      <c r="P47" s="2358" t="s">
        <v>2374</v>
      </c>
      <c r="Q47" s="2359" t="s">
        <v>2375</v>
      </c>
      <c r="R47" s="2358" t="s">
        <v>2376</v>
      </c>
    </row>
    <row r="48" spans="1:18" s="2042" customFormat="1" ht="18" customHeight="1" thickBot="1">
      <c r="A48" s="2604" t="s">
        <v>2535</v>
      </c>
      <c r="B48" s="2605" t="s">
        <v>2536</v>
      </c>
      <c r="C48" s="2336">
        <f ca="1">ROUND(F48*F50*F49*(1-F51)/10000,0)</f>
        <v>0</v>
      </c>
      <c r="D48" s="2337" t="s">
        <v>636</v>
      </c>
      <c r="E48" s="2338" t="s">
        <v>2295</v>
      </c>
      <c r="F48" s="2339"/>
      <c r="G48" s="2073"/>
      <c r="I48" s="3075" t="s">
        <v>2343</v>
      </c>
      <c r="J48" s="2344" t="s">
        <v>2348</v>
      </c>
      <c r="K48" s="3103" t="s">
        <v>2349</v>
      </c>
      <c r="L48" s="1891">
        <f ca="1">INDIRECT("'数据-取费表'!f"&amp;$G$1)</f>
        <v>39.74</v>
      </c>
      <c r="O48" s="2360" t="s">
        <v>2377</v>
      </c>
      <c r="P48" s="2361" t="s">
        <v>2403</v>
      </c>
      <c r="Q48" s="2362">
        <f ca="1">C40+J29</f>
        <v>2287</v>
      </c>
      <c r="R48" s="2361" t="s">
        <v>2378</v>
      </c>
    </row>
    <row r="49" spans="1:18" s="2042" customFormat="1" ht="18" customHeight="1" thickBot="1">
      <c r="A49" s="785"/>
      <c r="B49" s="786"/>
      <c r="C49" s="787"/>
      <c r="D49" s="788"/>
      <c r="E49" s="783" t="s">
        <v>1739</v>
      </c>
      <c r="F49" s="784">
        <f ca="1">F7</f>
        <v>2594.0100000000002</v>
      </c>
      <c r="G49" s="2073"/>
      <c r="H49" s="2076"/>
      <c r="I49" s="3075" t="s">
        <v>2344</v>
      </c>
      <c r="J49" s="2345"/>
      <c r="K49" s="3104" t="s">
        <v>2350</v>
      </c>
      <c r="L49" s="2346"/>
      <c r="O49" s="2360" t="s">
        <v>2379</v>
      </c>
      <c r="P49" s="2361" t="s">
        <v>2404</v>
      </c>
      <c r="Q49" s="2362" t="str">
        <f ca="1">J60</f>
        <v>0</v>
      </c>
      <c r="R49" s="2361" t="s">
        <v>2380</v>
      </c>
    </row>
    <row r="50" spans="1:18" s="2042" customFormat="1" ht="18" customHeight="1" thickBot="1">
      <c r="A50" s="785"/>
      <c r="B50" s="786"/>
      <c r="C50" s="787"/>
      <c r="D50" s="788"/>
      <c r="E50" s="783" t="s">
        <v>1740</v>
      </c>
      <c r="F50" s="784">
        <f ca="1">F8</f>
        <v>365</v>
      </c>
      <c r="G50" s="2078"/>
      <c r="H50" s="2076"/>
      <c r="I50" s="3075" t="s">
        <v>2345</v>
      </c>
      <c r="J50" s="3100">
        <f>SUMPRODUCT((I63:I65=J47)*(J62:L62=J48)*(J63:L65))</f>
        <v>60</v>
      </c>
      <c r="K50" s="3104" t="s">
        <v>2351</v>
      </c>
      <c r="L50" s="2346"/>
      <c r="O50" s="2363" t="s">
        <v>2381</v>
      </c>
      <c r="P50" s="2361" t="s">
        <v>2405</v>
      </c>
      <c r="Q50" s="2362">
        <f ca="1">C29</f>
        <v>834</v>
      </c>
      <c r="R50" s="2361" t="s">
        <v>2378</v>
      </c>
    </row>
    <row r="51" spans="1:18" s="2042" customFormat="1" ht="18" customHeight="1" thickBot="1">
      <c r="A51" s="785"/>
      <c r="B51" s="786"/>
      <c r="C51" s="787"/>
      <c r="D51" s="788"/>
      <c r="E51" s="783" t="s">
        <v>640</v>
      </c>
      <c r="F51" s="2333"/>
      <c r="H51" s="2076"/>
      <c r="I51" s="3097" t="s">
        <v>2346</v>
      </c>
      <c r="J51" s="3101">
        <f>IF(J49="",J50,J49+J50-YEAR('数据-取费表'!B2))</f>
        <v>60</v>
      </c>
      <c r="K51" s="3075" t="s">
        <v>2352</v>
      </c>
      <c r="L51" s="3107">
        <f ca="1">ROUND(-PV(INDIRECT("'数据-取费表'!h"&amp;$G$1),L48,(C39-C13*J36),0),0)</f>
        <v>1644</v>
      </c>
      <c r="O51" s="2363" t="s">
        <v>2382</v>
      </c>
      <c r="P51" s="2361" t="s">
        <v>2383</v>
      </c>
      <c r="Q51" s="2364" t="e">
        <f ca="1">J58</f>
        <v>#VALUE!</v>
      </c>
      <c r="R51" s="2365"/>
    </row>
    <row r="52" spans="1:18" s="2042" customFormat="1" ht="18" customHeight="1" thickBot="1">
      <c r="A52" s="780" t="s">
        <v>2534</v>
      </c>
      <c r="B52" s="2456" t="s">
        <v>2457</v>
      </c>
      <c r="C52" s="798">
        <f ca="1">ROUND(IF(F52="押一",C48/12*F11,IF(F52="押二",C48/12*2*F11,IF(F52="押三",C48/12*3*F11,C53*F11))),0)</f>
        <v>0</v>
      </c>
      <c r="D52" s="2463" t="s">
        <v>2971</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099" t="s">
        <v>2974</v>
      </c>
      <c r="J53" s="3178">
        <f ca="1">IF(M47="住宅",IF(D1="——",MAX(J51,L48),MAX(J51,L48-'数据-取费表'!B20)),IF(D1="——",MIN(J51,L48),MIN(J51,L48-'数据-取费表'!B20)))</f>
        <v>37.74</v>
      </c>
      <c r="K53" s="3586" t="s">
        <v>2962</v>
      </c>
      <c r="L53" s="3587"/>
      <c r="O53" s="2363" t="s">
        <v>2386</v>
      </c>
      <c r="P53" s="2361" t="s">
        <v>2387</v>
      </c>
      <c r="Q53" s="2362">
        <f ca="1">J53</f>
        <v>37.74</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2287</v>
      </c>
      <c r="R54" s="2365" t="s">
        <v>2390</v>
      </c>
    </row>
    <row r="55" spans="1:18" s="2042" customFormat="1" ht="18" customHeight="1" thickTop="1" thickBot="1">
      <c r="A55" s="796">
        <v>2</v>
      </c>
      <c r="B55" s="797" t="s">
        <v>644</v>
      </c>
      <c r="C55" s="798">
        <f ca="1">C13</f>
        <v>834</v>
      </c>
      <c r="D55" s="794"/>
      <c r="E55" s="794"/>
      <c r="F55" s="799"/>
      <c r="I55" s="3110" t="s">
        <v>2353</v>
      </c>
      <c r="J55" s="3050" t="e">
        <f ca="1">ROUND(IF(J47="钢混",J57/J50,1-(1-2%)*(J50-J57)/J50),3)</f>
        <v>#VALUE!</v>
      </c>
      <c r="K55" s="3111" t="s">
        <v>2354</v>
      </c>
      <c r="L55" s="2348"/>
      <c r="O55" s="2366" t="s">
        <v>2409</v>
      </c>
      <c r="P55" s="1577"/>
      <c r="Q55" s="1588"/>
      <c r="R55" s="1577"/>
    </row>
    <row r="56" spans="1:18" s="2042" customFormat="1" ht="42.75" customHeight="1" thickBot="1">
      <c r="A56" s="1634"/>
      <c r="B56" s="2214" t="s">
        <v>2301</v>
      </c>
      <c r="C56" s="53">
        <f ca="1">C29</f>
        <v>834</v>
      </c>
      <c r="D56" s="2601"/>
      <c r="E56" s="783"/>
      <c r="F56" s="808"/>
      <c r="I56" s="3112" t="s">
        <v>2355</v>
      </c>
      <c r="J56" s="3122" t="s">
        <v>1678</v>
      </c>
      <c r="K56" s="3075" t="s">
        <v>2360</v>
      </c>
      <c r="L56" s="1891" t="str">
        <f ca="1">IF(L48&lt;J51,"——",L48-J51)</f>
        <v>——</v>
      </c>
      <c r="O56" s="2357" t="s">
        <v>2373</v>
      </c>
      <c r="P56" s="2358" t="s">
        <v>2374</v>
      </c>
      <c r="Q56" s="2359" t="s">
        <v>2375</v>
      </c>
      <c r="R56" s="2358" t="s">
        <v>2376</v>
      </c>
    </row>
    <row r="57" spans="1:18" s="2042" customFormat="1" ht="28.5" customHeight="1" thickBot="1">
      <c r="A57" s="796" t="s">
        <v>1748</v>
      </c>
      <c r="B57" s="797" t="s">
        <v>651</v>
      </c>
      <c r="C57" s="798">
        <f ca="1">ROUND(C58+C63+C64+C65,0)</f>
        <v>10</v>
      </c>
      <c r="D57" s="26" t="s">
        <v>1750</v>
      </c>
      <c r="E57" s="2602"/>
      <c r="F57" s="56"/>
      <c r="I57" s="3113" t="s">
        <v>2356</v>
      </c>
      <c r="J57" s="3114" t="str">
        <f ca="1">IF(OR(M47="住宅",J51&lt;L48,J56="是"),"——",J51-L48)</f>
        <v>——</v>
      </c>
      <c r="K57" s="3075" t="s">
        <v>2361</v>
      </c>
      <c r="L57" s="1891" t="str">
        <f ca="1">IF(L48&lt;J51,"——",IF(L55="比较法",L49,IF(L55="基准地价",L50,L51)))</f>
        <v>——</v>
      </c>
      <c r="O57" s="2360" t="s">
        <v>2377</v>
      </c>
      <c r="P57" s="2361" t="s">
        <v>2407</v>
      </c>
      <c r="Q57" s="2362">
        <f ca="1">C40+J29</f>
        <v>2287</v>
      </c>
      <c r="R57" s="2361" t="s">
        <v>2378</v>
      </c>
    </row>
    <row r="58" spans="1:18" s="2042" customFormat="1" ht="28.5" customHeight="1" thickBot="1">
      <c r="A58" s="1633" t="s">
        <v>1824</v>
      </c>
      <c r="B58" s="783" t="s">
        <v>656</v>
      </c>
      <c r="C58" s="53">
        <f ca="1">ROUND(IF(项目基本情况!B11="自然人",C47*F58,C59+C60+C61),1)</f>
        <v>0.4</v>
      </c>
      <c r="D58" s="2600" t="s">
        <v>657</v>
      </c>
      <c r="E58" s="2601" t="s">
        <v>690</v>
      </c>
      <c r="F58" s="809" t="str">
        <f ca="1">IF(项目基本情况!B11="企业","",IF(INDIRECT("'数据-取费表'!c"&amp;$G$1)="住宅",5%,IF(F48*F49*F50/12/(1+'数据-取费表'!C42)&gt;20000,12%,7%)))</f>
        <v/>
      </c>
      <c r="I58" s="3113" t="s">
        <v>2357</v>
      </c>
      <c r="J58" s="3051" t="e">
        <f ca="1">IF(J55&lt;0.4,0.4,J55)</f>
        <v>#VALUE!</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2" t="s">
        <v>1831</v>
      </c>
      <c r="B59" s="783" t="s">
        <v>660</v>
      </c>
      <c r="C59" s="53">
        <f ca="1">ROUND(C47*F59/1.05,1)</f>
        <v>0</v>
      </c>
      <c r="D59" s="2601" t="s">
        <v>1756</v>
      </c>
      <c r="E59" s="783" t="s">
        <v>1747</v>
      </c>
      <c r="F59" s="808">
        <f t="shared" ref="F59:F65" si="0">F32</f>
        <v>5.6000000000000001E-2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2"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5" t="s">
        <v>2359</v>
      </c>
      <c r="J60" s="3116" t="str">
        <f ca="1">IF(OR(M47="住宅",J51&lt;L48,J56="是"),"0",ROUND(J59/(1+J52)^J53,0))</f>
        <v>0</v>
      </c>
      <c r="K60" s="3117" t="s">
        <v>2364</v>
      </c>
      <c r="L60" s="3116">
        <f ca="1">IF(OR(M47="住宅",L48&lt;J51),0,ROUND(L57*(L58/L59-1),0))</f>
        <v>0</v>
      </c>
      <c r="O60" s="2363" t="s">
        <v>2382</v>
      </c>
      <c r="P60" s="2361" t="s">
        <v>2391</v>
      </c>
      <c r="Q60" s="2364">
        <f>L52</f>
        <v>0</v>
      </c>
      <c r="R60" s="2365"/>
    </row>
    <row r="61" spans="1:18" s="2042" customFormat="1" ht="18" customHeight="1" thickBot="1">
      <c r="A61" s="1635" t="s">
        <v>1833</v>
      </c>
      <c r="B61" s="340" t="s">
        <v>668</v>
      </c>
      <c r="C61" s="54">
        <f ca="1">ROUND(F61*F62/10000,1)</f>
        <v>0.4</v>
      </c>
      <c r="D61" s="813" t="s">
        <v>669</v>
      </c>
      <c r="E61" s="783" t="s">
        <v>670</v>
      </c>
      <c r="F61" s="639">
        <f t="shared" si="0"/>
        <v>6</v>
      </c>
      <c r="K61" s="2069"/>
      <c r="O61" s="2363" t="s">
        <v>2384</v>
      </c>
      <c r="P61" s="2361" t="s">
        <v>2392</v>
      </c>
      <c r="Q61" s="2362" t="e">
        <f ca="1">L58</f>
        <v>#DIV/0!</v>
      </c>
      <c r="R61" s="2365" t="s">
        <v>2393</v>
      </c>
    </row>
    <row r="62" spans="1:18" s="2042" customFormat="1" ht="15.75" thickBot="1">
      <c r="A62" s="814"/>
      <c r="B62" s="792"/>
      <c r="C62" s="69"/>
      <c r="D62" s="815"/>
      <c r="E62" s="783" t="s">
        <v>674</v>
      </c>
      <c r="F62" s="784">
        <f t="shared" ca="1" si="0"/>
        <v>694.51</v>
      </c>
      <c r="I62" s="3118" t="s">
        <v>2365</v>
      </c>
      <c r="J62" s="3119" t="s">
        <v>2366</v>
      </c>
      <c r="K62" s="3119" t="s">
        <v>2367</v>
      </c>
      <c r="L62" s="3119" t="s">
        <v>2348</v>
      </c>
      <c r="M62" s="3120" t="s">
        <v>2939</v>
      </c>
      <c r="O62" s="2363" t="s">
        <v>2386</v>
      </c>
      <c r="P62" s="2361" t="str">
        <f>K59</f>
        <v>建设期及建筑物耐用年限下的土地年期修正系数Kn</v>
      </c>
      <c r="Q62" s="2362" t="e">
        <f ca="1">L59</f>
        <v>#DIV/0!</v>
      </c>
      <c r="R62" s="2365" t="s">
        <v>2395</v>
      </c>
    </row>
    <row r="63" spans="1:18" s="2042" customFormat="1" ht="15.75" thickBot="1">
      <c r="A63" s="1633" t="s">
        <v>1889</v>
      </c>
      <c r="B63" s="783" t="s">
        <v>676</v>
      </c>
      <c r="C63" s="53">
        <f ca="1">ROUND(C56*F63,1)</f>
        <v>8.3000000000000007</v>
      </c>
      <c r="D63" s="2601" t="s">
        <v>1803</v>
      </c>
      <c r="E63" s="783" t="s">
        <v>1747</v>
      </c>
      <c r="F63" s="816">
        <f t="shared" ca="1" si="0"/>
        <v>0.01</v>
      </c>
      <c r="I63" s="3118" t="s">
        <v>2368</v>
      </c>
      <c r="J63" s="3119">
        <v>70</v>
      </c>
      <c r="K63" s="3119">
        <v>50</v>
      </c>
      <c r="L63" s="3119">
        <v>80</v>
      </c>
      <c r="M63" s="3121">
        <v>0.02</v>
      </c>
      <c r="O63" s="2360" t="s">
        <v>2389</v>
      </c>
      <c r="P63" s="2361" t="s">
        <v>2406</v>
      </c>
      <c r="Q63" s="2362">
        <f ca="1">Q57+Q58</f>
        <v>2287</v>
      </c>
      <c r="R63" s="2365" t="s">
        <v>2390</v>
      </c>
    </row>
    <row r="64" spans="1:18" s="2042" customFormat="1" ht="16.5" thickBot="1">
      <c r="A64" s="1633" t="s">
        <v>1890</v>
      </c>
      <c r="B64" s="783" t="s">
        <v>679</v>
      </c>
      <c r="C64" s="53">
        <f ca="1">ROUND(C55*F64,1)</f>
        <v>0.8</v>
      </c>
      <c r="D64" s="2601" t="s">
        <v>680</v>
      </c>
      <c r="E64" s="783" t="s">
        <v>1747</v>
      </c>
      <c r="F64" s="817">
        <f t="shared" ca="1" si="0"/>
        <v>1E-3</v>
      </c>
      <c r="I64" s="3118" t="s">
        <v>2369</v>
      </c>
      <c r="J64" s="3119">
        <v>50</v>
      </c>
      <c r="K64" s="3119">
        <v>35</v>
      </c>
      <c r="L64" s="3119">
        <v>60</v>
      </c>
      <c r="M64" s="845">
        <v>0</v>
      </c>
      <c r="O64" s="2366" t="s">
        <v>2413</v>
      </c>
      <c r="P64" s="1577"/>
      <c r="Q64" s="1588"/>
      <c r="R64" s="1577"/>
    </row>
    <row r="65" spans="1:18" s="2042" customFormat="1" ht="15.75" thickBot="1">
      <c r="A65" s="1633" t="s">
        <v>1891</v>
      </c>
      <c r="B65" s="783" t="s">
        <v>666</v>
      </c>
      <c r="C65" s="53">
        <f ca="1">ROUND(C47*F65,1)</f>
        <v>0</v>
      </c>
      <c r="D65" s="2601" t="s">
        <v>683</v>
      </c>
      <c r="E65" s="783" t="s">
        <v>1747</v>
      </c>
      <c r="F65" s="793">
        <f t="shared" ca="1" si="0"/>
        <v>0.01</v>
      </c>
      <c r="I65" s="3118" t="s">
        <v>2370</v>
      </c>
      <c r="J65" s="3119">
        <v>40</v>
      </c>
      <c r="K65" s="3119">
        <v>30</v>
      </c>
      <c r="L65" s="3119">
        <v>50</v>
      </c>
      <c r="M65" s="3121">
        <v>0.02</v>
      </c>
      <c r="O65" s="2357" t="s">
        <v>2373</v>
      </c>
      <c r="P65" s="2358" t="s">
        <v>2374</v>
      </c>
      <c r="Q65" s="2359" t="s">
        <v>2375</v>
      </c>
      <c r="R65" s="2358" t="s">
        <v>2376</v>
      </c>
    </row>
    <row r="66" spans="1:18" s="2042" customFormat="1" ht="24.75" thickBot="1">
      <c r="A66" s="796" t="s">
        <v>1776</v>
      </c>
      <c r="B66" s="2961" t="s">
        <v>2819</v>
      </c>
      <c r="C66" s="798">
        <f ca="1">C47-C57</f>
        <v>-10</v>
      </c>
      <c r="D66" s="2600" t="s">
        <v>700</v>
      </c>
      <c r="E66" s="2599"/>
      <c r="F66" s="819"/>
      <c r="K66" s="2069"/>
      <c r="O66" s="2360" t="s">
        <v>2377</v>
      </c>
      <c r="P66" s="2361" t="s">
        <v>2407</v>
      </c>
      <c r="Q66" s="2362">
        <f ca="1">C40+J29</f>
        <v>2287</v>
      </c>
      <c r="R66" s="2361" t="s">
        <v>2378</v>
      </c>
    </row>
    <row r="67" spans="1:18" s="2042" customFormat="1" ht="20.25" thickBot="1">
      <c r="A67" s="780" t="s">
        <v>1780</v>
      </c>
      <c r="B67" s="2215" t="s">
        <v>2300</v>
      </c>
      <c r="C67" s="782">
        <f ca="1">ROUND(C66*(1-((1+F69)/(1+F67))^F68)/(F67-F69),0)</f>
        <v>-158</v>
      </c>
      <c r="D67" s="813" t="s">
        <v>704</v>
      </c>
      <c r="E67" s="783" t="s">
        <v>705</v>
      </c>
      <c r="F67" s="793">
        <f ca="1">F40</f>
        <v>5.5E-2</v>
      </c>
      <c r="K67" s="2069"/>
      <c r="O67" s="2360" t="s">
        <v>2379</v>
      </c>
      <c r="P67" s="2361" t="s">
        <v>2410</v>
      </c>
      <c r="Q67" s="2362">
        <f ca="1">L60</f>
        <v>0</v>
      </c>
      <c r="R67" s="2365" t="s">
        <v>2412</v>
      </c>
    </row>
    <row r="68" spans="1:18" ht="21.75" thickBot="1">
      <c r="A68" s="785"/>
      <c r="B68" s="786"/>
      <c r="C68" s="787"/>
      <c r="D68" s="820" t="s">
        <v>1808</v>
      </c>
      <c r="E68" s="783" t="s">
        <v>1784</v>
      </c>
      <c r="F68" s="821">
        <f ca="1">F41</f>
        <v>37.74</v>
      </c>
      <c r="O68" s="2363" t="s">
        <v>2381</v>
      </c>
      <c r="P68" s="2361" t="s">
        <v>2411</v>
      </c>
      <c r="Q68" s="2367">
        <f ca="1">L51</f>
        <v>1644</v>
      </c>
      <c r="R68" s="2368" t="s">
        <v>2414</v>
      </c>
    </row>
    <row r="69" spans="1:18" ht="20.25" thickBot="1">
      <c r="A69" s="789"/>
      <c r="B69" s="790"/>
      <c r="C69" s="791"/>
      <c r="D69" s="815"/>
      <c r="E69" s="783" t="s">
        <v>710</v>
      </c>
      <c r="F69" s="2333"/>
      <c r="O69" s="2363" t="s">
        <v>2382</v>
      </c>
      <c r="P69" s="2369" t="s">
        <v>2396</v>
      </c>
      <c r="Q69" s="2362">
        <f ca="1">ROUND(Q70-Q71*Q72,0)</f>
        <v>96</v>
      </c>
      <c r="R69" s="2365"/>
    </row>
    <row r="70" spans="1:18" ht="15.75" thickBot="1">
      <c r="A70" s="822" t="s">
        <v>1787</v>
      </c>
      <c r="B70" s="823" t="s">
        <v>1810</v>
      </c>
      <c r="C70" s="824">
        <f ca="1">ROUND(C67*10000/F70,0)</f>
        <v>-609</v>
      </c>
      <c r="D70" s="825" t="s">
        <v>1811</v>
      </c>
      <c r="E70" s="826" t="s">
        <v>1812</v>
      </c>
      <c r="F70" s="827">
        <f ca="1">F43</f>
        <v>2594.0100000000002</v>
      </c>
      <c r="O70" s="2363" t="s">
        <v>2397</v>
      </c>
      <c r="P70" s="2369" t="s">
        <v>2398</v>
      </c>
      <c r="Q70" s="2362">
        <f ca="1">C39</f>
        <v>96</v>
      </c>
      <c r="R70" s="2361" t="s">
        <v>2378</v>
      </c>
    </row>
    <row r="71" spans="1:18" ht="15.75" thickBot="1">
      <c r="O71" s="2363" t="s">
        <v>2399</v>
      </c>
      <c r="P71" s="2369" t="s">
        <v>2400</v>
      </c>
      <c r="Q71" s="2362">
        <f ca="1">C13</f>
        <v>834</v>
      </c>
      <c r="R71" s="2361" t="s">
        <v>2378</v>
      </c>
    </row>
    <row r="72" spans="1:18" ht="15.75" thickBot="1">
      <c r="O72" s="2363" t="s">
        <v>2401</v>
      </c>
      <c r="P72" s="2369" t="s">
        <v>2402</v>
      </c>
      <c r="Q72" s="2364">
        <f ca="1">J36</f>
        <v>0</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2287</v>
      </c>
      <c r="R76" s="2365"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6"/>
  <sheetViews>
    <sheetView workbookViewId="0">
      <selection activeCell="C3" sqref="C3"/>
    </sheetView>
  </sheetViews>
  <sheetFormatPr defaultRowHeight="13.5"/>
  <cols>
    <col min="1" max="1" width="2.25" customWidth="1"/>
    <col min="2" max="2" width="12.5" customWidth="1"/>
    <col min="3" max="3" width="10" customWidth="1"/>
    <col min="4" max="4" width="10" style="3236" customWidth="1"/>
    <col min="5" max="6" width="10" customWidth="1"/>
    <col min="7" max="7" width="3.5" customWidth="1"/>
    <col min="8" max="8" width="12.75" style="3237" bestFit="1" customWidth="1"/>
  </cols>
  <sheetData>
    <row r="2" spans="2:8">
      <c r="B2" s="3186" t="s">
        <v>3264</v>
      </c>
      <c r="C2" s="3186" t="s">
        <v>3266</v>
      </c>
      <c r="D2" s="3235" t="s">
        <v>3267</v>
      </c>
      <c r="E2" s="3186" t="s">
        <v>3268</v>
      </c>
      <c r="F2" s="3186" t="s">
        <v>3269</v>
      </c>
      <c r="G2" s="3186"/>
    </row>
    <row r="3" spans="2:8">
      <c r="B3" s="3186" t="s">
        <v>3265</v>
      </c>
      <c r="C3">
        <v>55</v>
      </c>
      <c r="D3" s="3235" t="s">
        <v>3270</v>
      </c>
      <c r="E3" s="3186" t="s">
        <v>3271</v>
      </c>
      <c r="F3">
        <v>1.52</v>
      </c>
      <c r="H3" s="3238" t="s">
        <v>3273</v>
      </c>
    </row>
    <row r="4" spans="2:8">
      <c r="C4">
        <v>89</v>
      </c>
      <c r="D4" s="3236">
        <v>1</v>
      </c>
      <c r="E4" s="3186" t="s">
        <v>3272</v>
      </c>
      <c r="F4">
        <v>1.1200000000000001</v>
      </c>
      <c r="H4" s="3238" t="s">
        <v>3274</v>
      </c>
    </row>
    <row r="5" spans="2:8">
      <c r="B5" s="3186" t="s">
        <v>3276</v>
      </c>
      <c r="C5">
        <v>60</v>
      </c>
      <c r="D5" s="3235" t="s">
        <v>3275</v>
      </c>
      <c r="E5" s="3186" t="s">
        <v>3272</v>
      </c>
      <c r="F5">
        <v>1.06</v>
      </c>
      <c r="H5" s="3238" t="s">
        <v>3277</v>
      </c>
    </row>
    <row r="6" spans="2:8">
      <c r="B6" s="3186" t="s">
        <v>3278</v>
      </c>
      <c r="C6">
        <v>160</v>
      </c>
      <c r="D6" s="3239" t="s">
        <v>3279</v>
      </c>
      <c r="E6" s="3186" t="s">
        <v>3272</v>
      </c>
      <c r="F6">
        <v>1.22</v>
      </c>
      <c r="H6" s="3238" t="s">
        <v>3280</v>
      </c>
    </row>
  </sheetData>
  <phoneticPr fontId="22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6" sqref="D6"/>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3292</v>
      </c>
      <c r="D1" s="3074" t="s">
        <v>3183</v>
      </c>
      <c r="E1" s="2349" t="s">
        <v>870</v>
      </c>
      <c r="F1" s="2350">
        <f ca="1">J53</f>
        <v>47.75</v>
      </c>
      <c r="G1" s="773">
        <f>MATCH(C1,'数据-取费表'!A6:A16,0)+5</f>
        <v>8</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467</v>
      </c>
      <c r="B2" s="774">
        <f ca="1">C40+J29+L46</f>
        <v>6429</v>
      </c>
      <c r="C2" s="2040"/>
      <c r="D2" s="2038"/>
      <c r="E2" s="2039"/>
      <c r="F2" s="2039"/>
      <c r="G2" s="1575"/>
      <c r="H2" s="2040"/>
      <c r="I2" s="2040"/>
      <c r="J2" s="2040"/>
      <c r="K2" s="2041"/>
      <c r="L2" s="2040"/>
      <c r="M2" s="2040"/>
    </row>
    <row r="3" spans="1:33" ht="18" customHeight="1" thickBot="1">
      <c r="A3" s="832" t="s">
        <v>519</v>
      </c>
      <c r="B3" s="833">
        <f ca="1">IF(ISERROR(B2*10000/F43),0,ROUND(B2*10000/F43,0))</f>
        <v>2441</v>
      </c>
      <c r="C3" s="2040"/>
      <c r="D3" s="2038"/>
      <c r="E3" s="2039"/>
      <c r="F3" s="2039"/>
      <c r="G3" s="1575"/>
      <c r="H3" s="775" t="s">
        <v>695</v>
      </c>
      <c r="I3" s="1357"/>
      <c r="J3" s="1357"/>
      <c r="K3" s="1576"/>
      <c r="L3" s="1357"/>
      <c r="M3" s="1357"/>
    </row>
    <row r="4" spans="1:33" ht="18" customHeight="1">
      <c r="A4" s="776" t="s">
        <v>630</v>
      </c>
      <c r="B4" s="777" t="s">
        <v>631</v>
      </c>
      <c r="C4" s="777" t="s">
        <v>632</v>
      </c>
      <c r="D4" s="777" t="s">
        <v>633</v>
      </c>
      <c r="E4" s="778" t="s">
        <v>634</v>
      </c>
      <c r="F4" s="779"/>
      <c r="G4" s="1577"/>
      <c r="H4" s="776" t="s">
        <v>630</v>
      </c>
      <c r="I4" s="777" t="s">
        <v>631</v>
      </c>
      <c r="J4" s="777" t="s">
        <v>632</v>
      </c>
      <c r="K4" s="777" t="s">
        <v>633</v>
      </c>
      <c r="L4" s="778" t="s">
        <v>634</v>
      </c>
      <c r="M4" s="779"/>
    </row>
    <row r="5" spans="1:33" ht="18" customHeight="1">
      <c r="A5" s="780">
        <v>1</v>
      </c>
      <c r="B5" s="781" t="s">
        <v>2456</v>
      </c>
      <c r="C5" s="55">
        <f ca="1">C6+C10+C12</f>
        <v>374</v>
      </c>
      <c r="D5" s="2458" t="s">
        <v>2459</v>
      </c>
      <c r="E5" s="2452"/>
      <c r="F5" s="2453"/>
      <c r="G5" s="1577"/>
      <c r="H5" s="780">
        <v>1</v>
      </c>
      <c r="I5" s="781" t="s">
        <v>2456</v>
      </c>
      <c r="J5" s="55">
        <f ca="1">J6+J10+J12</f>
        <v>0</v>
      </c>
      <c r="K5" s="2458" t="s">
        <v>2459</v>
      </c>
      <c r="L5" s="2452"/>
      <c r="M5" s="2453"/>
    </row>
    <row r="6" spans="1:33" ht="18" customHeight="1">
      <c r="A6" s="1813" t="s">
        <v>1824</v>
      </c>
      <c r="B6" s="3542" t="s">
        <v>2461</v>
      </c>
      <c r="C6" s="782">
        <f ca="1">ROUND(F6*F8*F7*(1-F9)/10000,0)</f>
        <v>374</v>
      </c>
      <c r="D6" s="2459" t="s">
        <v>2460</v>
      </c>
      <c r="E6" s="783" t="s">
        <v>637</v>
      </c>
      <c r="F6" s="784">
        <f ca="1">INDIRECT("'数据-取费表'!u"&amp;$G$1)</f>
        <v>400</v>
      </c>
      <c r="G6" s="1577"/>
      <c r="H6" s="2466" t="s">
        <v>1824</v>
      </c>
      <c r="I6" s="3542" t="s">
        <v>2461</v>
      </c>
      <c r="J6" s="782">
        <f ca="1">ROUND(M6*M8*M7*(1-M9)/10000,0)</f>
        <v>0</v>
      </c>
      <c r="K6" s="340" t="s">
        <v>636</v>
      </c>
      <c r="L6" s="783" t="s">
        <v>637</v>
      </c>
      <c r="M6" s="784">
        <f ca="1">INDIRECT("'数据-取费表'!z"&amp;$G$1)</f>
        <v>0</v>
      </c>
    </row>
    <row r="7" spans="1:33" ht="18" customHeight="1">
      <c r="A7" s="2462"/>
      <c r="B7" s="3543"/>
      <c r="C7" s="787"/>
      <c r="D7" s="788"/>
      <c r="E7" s="783" t="s">
        <v>638</v>
      </c>
      <c r="F7" s="784">
        <f ca="1">IF(INDIRECT("'数据-取费表'!ah"&amp;$G$1)="",INDIRECT("'数据-取费表'!k"&amp;$G$1),INDIRECT("'数据-取费表'!ah"&amp;$G$1))</f>
        <v>866</v>
      </c>
      <c r="G7" s="1577"/>
      <c r="H7" s="2451"/>
      <c r="I7" s="3543"/>
      <c r="J7" s="787"/>
      <c r="K7" s="788"/>
      <c r="L7" s="783" t="s">
        <v>638</v>
      </c>
      <c r="M7" s="784">
        <f ca="1">F7</f>
        <v>866</v>
      </c>
    </row>
    <row r="8" spans="1:33" ht="18" customHeight="1">
      <c r="A8" s="2455"/>
      <c r="B8" s="3544"/>
      <c r="C8" s="787"/>
      <c r="D8" s="788"/>
      <c r="E8" s="783" t="s">
        <v>639</v>
      </c>
      <c r="F8" s="784">
        <f ca="1">INDIRECT("'数据-取费表'!ai"&amp;$G$1)</f>
        <v>12</v>
      </c>
      <c r="G8" s="1577"/>
      <c r="H8" s="2451"/>
      <c r="I8" s="3544"/>
      <c r="J8" s="787"/>
      <c r="K8" s="788"/>
      <c r="L8" s="783" t="s">
        <v>639</v>
      </c>
      <c r="M8" s="784">
        <f ca="1">INDIRECT("'数据-取费表'!ai"&amp;$G$1)</f>
        <v>12</v>
      </c>
    </row>
    <row r="9" spans="1:33" ht="18" customHeight="1">
      <c r="A9" s="785"/>
      <c r="B9" s="3545"/>
      <c r="C9" s="787"/>
      <c r="D9" s="788"/>
      <c r="E9" s="783" t="s">
        <v>640</v>
      </c>
      <c r="F9" s="793">
        <f ca="1">INDIRECT("'数据-取费表'!w"&amp;$G$1)</f>
        <v>0.1</v>
      </c>
      <c r="G9" s="1577"/>
      <c r="H9" s="2467"/>
      <c r="I9" s="3544"/>
      <c r="J9" s="787"/>
      <c r="K9" s="788"/>
      <c r="L9" s="794" t="s">
        <v>640</v>
      </c>
      <c r="M9" s="795">
        <f ca="1">INDIRECT("'数据-取费表'!ab"&amp;$G$1)</f>
        <v>0</v>
      </c>
    </row>
    <row r="10" spans="1:33" ht="18" customHeight="1">
      <c r="A10" s="1813" t="s">
        <v>1825</v>
      </c>
      <c r="B10" s="2456" t="s">
        <v>2457</v>
      </c>
      <c r="C10" s="798">
        <f ca="1">ROUND(IF(F10="押一",C6/12*F11,IF(F10="押二",C6/12*2*F11,IF(F10="押三",C6/12*3*F11,C11*F11))),0)</f>
        <v>0</v>
      </c>
      <c r="D10" s="2463" t="s">
        <v>2970</v>
      </c>
      <c r="E10" s="2460" t="s">
        <v>2462</v>
      </c>
      <c r="F10" s="2583"/>
      <c r="G10" s="1577"/>
      <c r="H10" s="2523" t="s">
        <v>1825</v>
      </c>
      <c r="I10" s="2528" t="s">
        <v>2457</v>
      </c>
      <c r="J10" s="782">
        <f ca="1">ROUND(IF(M10="押一",J6/12*M11,IF(M10="押二",J6/12*2*M11,IF(M10="押三",J6/12*3*M11,J11*M11))),0)</f>
        <v>0</v>
      </c>
      <c r="K10" s="2463" t="s">
        <v>2970</v>
      </c>
      <c r="L10" s="2460" t="s">
        <v>2462</v>
      </c>
      <c r="M10" s="2583"/>
    </row>
    <row r="11" spans="1:33" ht="18" customHeight="1">
      <c r="A11" s="789"/>
      <c r="B11" s="2457" t="s">
        <v>2571</v>
      </c>
      <c r="C11" s="2461"/>
      <c r="D11" s="788"/>
      <c r="E11" s="2460" t="s">
        <v>2454</v>
      </c>
      <c r="F11" s="795">
        <f ca="1">'数据-取费表'!B39</f>
        <v>1.4999999999999999E-2</v>
      </c>
      <c r="G11" s="1577"/>
      <c r="H11" s="2524"/>
      <c r="I11" s="2457" t="s">
        <v>2571</v>
      </c>
      <c r="J11" s="2461"/>
      <c r="K11" s="2525"/>
      <c r="L11" s="2460" t="s">
        <v>2454</v>
      </c>
      <c r="M11" s="2454">
        <f ca="1">'数据-取费表'!B39</f>
        <v>1.4999999999999999E-2</v>
      </c>
    </row>
    <row r="12" spans="1:33" ht="18" customHeight="1" thickBot="1">
      <c r="A12" s="2499" t="s">
        <v>2465</v>
      </c>
      <c r="B12" s="2500" t="s">
        <v>2458</v>
      </c>
      <c r="C12" s="2501"/>
      <c r="D12" s="2502"/>
      <c r="E12" s="2503"/>
      <c r="F12" s="2504"/>
      <c r="G12" s="1577"/>
      <c r="H12" s="2513" t="s">
        <v>2465</v>
      </c>
      <c r="I12" s="2526" t="s">
        <v>2458</v>
      </c>
      <c r="J12" s="2527"/>
      <c r="K12" s="2502"/>
      <c r="L12" s="2503"/>
      <c r="M12" s="2516"/>
    </row>
    <row r="13" spans="1:33" ht="18" customHeight="1" thickTop="1">
      <c r="A13" s="1812">
        <v>2</v>
      </c>
      <c r="B13" s="1810" t="s">
        <v>644</v>
      </c>
      <c r="C13" s="791">
        <f ca="1">ROUND(C29*F13,0)</f>
        <v>8086</v>
      </c>
      <c r="D13" s="1817" t="s">
        <v>2296</v>
      </c>
      <c r="E13" s="1817" t="s">
        <v>643</v>
      </c>
      <c r="F13" s="2498">
        <f ca="1">INDIRECT("'数据-取费表'!y"&amp;$G$1)</f>
        <v>1</v>
      </c>
      <c r="G13" s="1577"/>
      <c r="H13" s="1812">
        <v>2</v>
      </c>
      <c r="I13" s="1810" t="s">
        <v>644</v>
      </c>
      <c r="J13" s="1802">
        <f ca="1">ROUND(J14*J15,0)</f>
        <v>0</v>
      </c>
      <c r="K13" s="1804" t="s">
        <v>642</v>
      </c>
      <c r="L13" s="2514"/>
      <c r="M13" s="2515"/>
    </row>
    <row r="14" spans="1:33" ht="18" customHeight="1">
      <c r="A14" s="1632" t="s">
        <v>1831</v>
      </c>
      <c r="B14" s="783" t="s">
        <v>645</v>
      </c>
      <c r="C14" s="803">
        <f ca="1">INDIRECT("'数据-取费表'!m"&amp;$G$1)+INDIRECT("'数据-取费表'!t"&amp;$G$1)</f>
        <v>5915</v>
      </c>
      <c r="D14" s="3180" t="s">
        <v>646</v>
      </c>
      <c r="E14" s="3181"/>
      <c r="F14" s="804"/>
      <c r="G14" s="1577"/>
      <c r="H14" s="1633" t="s">
        <v>1824</v>
      </c>
      <c r="I14" s="2214" t="s">
        <v>2822</v>
      </c>
      <c r="J14" s="53">
        <f ca="1">C29</f>
        <v>8086</v>
      </c>
      <c r="K14" s="26"/>
      <c r="L14" s="800"/>
      <c r="M14" s="801"/>
    </row>
    <row r="15" spans="1:33" s="2047" customFormat="1" ht="18" customHeight="1" thickBot="1">
      <c r="A15" s="1632" t="s">
        <v>1832</v>
      </c>
      <c r="B15" s="783" t="s">
        <v>647</v>
      </c>
      <c r="C15" s="53">
        <f ca="1">ROUND(C14*F15,0)</f>
        <v>177</v>
      </c>
      <c r="D15" s="805" t="s">
        <v>648</v>
      </c>
      <c r="E15" s="805" t="s">
        <v>649</v>
      </c>
      <c r="F15" s="806">
        <f>'数据-取费表'!B33</f>
        <v>0.03</v>
      </c>
      <c r="G15" s="1578"/>
      <c r="H15" s="2513" t="s">
        <v>1889</v>
      </c>
      <c r="I15" s="2508" t="s">
        <v>643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2" t="s">
        <v>1833</v>
      </c>
      <c r="B16" s="783" t="s">
        <v>650</v>
      </c>
      <c r="C16" s="53">
        <f ca="1">ROUND(INDIRECT("'数据-取费表'!m"&amp;$G$1)*F16,0)</f>
        <v>0</v>
      </c>
      <c r="D16" s="783" t="s">
        <v>648</v>
      </c>
      <c r="E16" s="783" t="s">
        <v>649</v>
      </c>
      <c r="F16" s="808">
        <f ca="1">IF(INDIRECT("'数据-取费表'!c"&amp;$G$1)="住宅",'数据-取费表'!B34,0)</f>
        <v>0</v>
      </c>
      <c r="G16" s="1577"/>
      <c r="H16" s="1812" t="s">
        <v>7</v>
      </c>
      <c r="I16" s="1810" t="s">
        <v>651</v>
      </c>
      <c r="J16" s="791">
        <f ca="1">ROUND(J17+J22+J23+J24,0)</f>
        <v>764</v>
      </c>
      <c r="K16" s="1804" t="s">
        <v>652</v>
      </c>
      <c r="L16" s="3182"/>
      <c r="M16" s="2453"/>
    </row>
    <row r="17" spans="1:33" s="2047" customFormat="1" ht="18" customHeight="1">
      <c r="A17" s="1632" t="s">
        <v>1887</v>
      </c>
      <c r="B17" s="783" t="s">
        <v>653</v>
      </c>
      <c r="C17" s="53">
        <f ca="1">ROUND(F17*(F43+INDIRECT("'数据-取费表'!S"&amp;$G$1))/10000,0)</f>
        <v>538</v>
      </c>
      <c r="D17" s="783" t="s">
        <v>654</v>
      </c>
      <c r="E17" s="783" t="s">
        <v>655</v>
      </c>
      <c r="F17" s="56">
        <f>'数据-取费表'!B35</f>
        <v>200</v>
      </c>
      <c r="G17" s="1578"/>
      <c r="H17" s="1633" t="s">
        <v>1824</v>
      </c>
      <c r="I17" s="783" t="s">
        <v>656</v>
      </c>
      <c r="J17" s="53">
        <f ca="1">ROUND(IF(项目基本情况!B11="自然人",J6*M17/(1+'数据-取费表'!C42),J18+J19+J20),0)</f>
        <v>683</v>
      </c>
      <c r="K17" s="3180" t="s">
        <v>657</v>
      </c>
      <c r="L17" s="3179" t="s">
        <v>658</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2" t="s">
        <v>1888</v>
      </c>
      <c r="B18" s="783" t="s">
        <v>659</v>
      </c>
      <c r="C18" s="53">
        <f ca="1">ROUND(C14*F18,0)</f>
        <v>89</v>
      </c>
      <c r="D18" s="783" t="s">
        <v>648</v>
      </c>
      <c r="E18" s="783" t="s">
        <v>649</v>
      </c>
      <c r="F18" s="808">
        <f>'数据-取费表'!B36</f>
        <v>1.4999999999999999E-2</v>
      </c>
      <c r="G18" s="1578"/>
      <c r="H18" s="1632" t="s">
        <v>1831</v>
      </c>
      <c r="I18" s="783" t="s">
        <v>660</v>
      </c>
      <c r="J18" s="53">
        <f ca="1">ROUND(J6*M18/(1+'数据-取费表'!C42),1)</f>
        <v>0</v>
      </c>
      <c r="K18" s="3179" t="s">
        <v>661</v>
      </c>
      <c r="L18" s="783" t="s">
        <v>649</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3" t="s">
        <v>1824</v>
      </c>
      <c r="B19" s="783" t="s">
        <v>662</v>
      </c>
      <c r="C19" s="53">
        <f ca="1">SUM(C14:C18)</f>
        <v>6719</v>
      </c>
      <c r="D19" s="260" t="s">
        <v>663</v>
      </c>
      <c r="E19" s="3184"/>
      <c r="F19" s="56"/>
      <c r="G19" s="1577"/>
      <c r="H19" s="1632" t="s">
        <v>1832</v>
      </c>
      <c r="I19" s="783" t="s">
        <v>664</v>
      </c>
      <c r="J19" s="53">
        <f ca="1">IF(K19="按租金收入计税",ROUND(J6*M19/(1+'数据-取费表'!C42),1),ROUND(C29*F33*0.7,1))</f>
        <v>679.2</v>
      </c>
      <c r="K19" s="810" t="s">
        <v>665</v>
      </c>
      <c r="L19" s="783" t="s">
        <v>649</v>
      </c>
      <c r="M19" s="808">
        <f>IF(K19="按租金收入计税",'数据-取费表'!B51,'数据-取费表'!B50)</f>
        <v>1.2E-2</v>
      </c>
    </row>
    <row r="20" spans="1:33" s="2047" customFormat="1" ht="18" customHeight="1">
      <c r="A20" s="1633" t="s">
        <v>1889</v>
      </c>
      <c r="B20" s="783" t="s">
        <v>666</v>
      </c>
      <c r="C20" s="53">
        <f ca="1">ROUND(C19*F20,0)</f>
        <v>134</v>
      </c>
      <c r="D20" s="811" t="s">
        <v>667</v>
      </c>
      <c r="E20" s="783" t="s">
        <v>649</v>
      </c>
      <c r="F20" s="808">
        <f>'数据-取费表'!B37</f>
        <v>0.02</v>
      </c>
      <c r="G20" s="1578"/>
      <c r="H20" s="1635" t="s">
        <v>1833</v>
      </c>
      <c r="I20" s="340" t="s">
        <v>668</v>
      </c>
      <c r="J20" s="54">
        <f ca="1">ROUND(M20*M21/10000,0)</f>
        <v>4</v>
      </c>
      <c r="K20" s="813" t="s">
        <v>669</v>
      </c>
      <c r="L20" s="783" t="s">
        <v>670</v>
      </c>
      <c r="M20" s="639">
        <f>'数据-取费表'!B52</f>
        <v>6</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3" t="s">
        <v>1890</v>
      </c>
      <c r="B21" s="783" t="s">
        <v>671</v>
      </c>
      <c r="C21" s="53" t="s">
        <v>1764</v>
      </c>
      <c r="D21" s="811" t="s">
        <v>2297</v>
      </c>
      <c r="E21" s="783" t="s">
        <v>673</v>
      </c>
      <c r="F21" s="808">
        <f>'数据-取费表'!B38</f>
        <v>1.4999999999999999E-2</v>
      </c>
      <c r="G21" s="1578"/>
      <c r="H21" s="2468"/>
      <c r="I21" s="792"/>
      <c r="J21" s="69"/>
      <c r="K21" s="815"/>
      <c r="L21" s="783" t="s">
        <v>674</v>
      </c>
      <c r="M21" s="784">
        <f ca="1">INDIRECT("'数据-取费表'!r"&amp;$G$1)</f>
        <v>7052.6500000000005</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3" t="s">
        <v>1891</v>
      </c>
      <c r="B22" s="783" t="s">
        <v>675</v>
      </c>
      <c r="C22" s="53"/>
      <c r="D22" s="2534" t="str">
        <f>IF(F23&lt;=1,"单利计息。","复利计息。")&amp;"建造成本、管理费用、销售费用产生的利息。"</f>
        <v>复利计息。建造成本、管理费用、销售费用产生的利息。</v>
      </c>
      <c r="E22" s="3184"/>
      <c r="F22" s="56"/>
      <c r="G22" s="1577"/>
      <c r="H22" s="1633" t="s">
        <v>1889</v>
      </c>
      <c r="I22" s="783" t="s">
        <v>676</v>
      </c>
      <c r="J22" s="53">
        <f ca="1">ROUND(J14*M22,0)</f>
        <v>81</v>
      </c>
      <c r="K22" s="3179" t="s">
        <v>677</v>
      </c>
      <c r="L22" s="783" t="s">
        <v>649</v>
      </c>
      <c r="M22" s="816">
        <f ca="1">INDIRECT("'数据-取费表'!Ak"&amp;$G$1)</f>
        <v>0.01</v>
      </c>
    </row>
    <row r="23" spans="1:33" s="2047" customFormat="1" ht="18" customHeight="1">
      <c r="A23" s="1632" t="s">
        <v>1831</v>
      </c>
      <c r="B23" s="783" t="s">
        <v>2435</v>
      </c>
      <c r="C23" s="53">
        <f ca="1">ROUND(IF('数据-取费表'!B22&lt;=1,(C19+C20)*F24*F23/2,(C19+C20)*(POWER((1+F24),F23/2)-1)),0)</f>
        <v>326</v>
      </c>
      <c r="D23" s="2533" t="str">
        <f>IF(F23&lt;=1,"(建造成本+管理费用)×利率×(建设周期÷2)","(建造成本+管理费用)×((1+利率)^(建设周期÷2)-1)")</f>
        <v>(建造成本+管理费用)×((1+利率)^(建设周期÷2)-1)</v>
      </c>
      <c r="E23" s="783" t="s">
        <v>678</v>
      </c>
      <c r="F23" s="639">
        <f>'数据-取费表'!B20</f>
        <v>2</v>
      </c>
      <c r="G23" s="1578"/>
      <c r="H23" s="1633" t="s">
        <v>1890</v>
      </c>
      <c r="I23" s="783" t="s">
        <v>679</v>
      </c>
      <c r="J23" s="53">
        <f ca="1">ROUND(J13*M23,0)</f>
        <v>0</v>
      </c>
      <c r="K23" s="3179" t="s">
        <v>680</v>
      </c>
      <c r="L23" s="783" t="s">
        <v>649</v>
      </c>
      <c r="M23" s="817">
        <f ca="1">INDIRECT("'数据-取费表'!Al"&amp;$G$1)</f>
        <v>1E-3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2" t="s">
        <v>1832</v>
      </c>
      <c r="B24" s="783" t="s">
        <v>681</v>
      </c>
      <c r="C24" s="53">
        <f ca="1">ROUND(IF('数据-取费表'!B22&lt;=1,F21*F24*F23/2,F21*(POWER((1+F24),F23/2)-1)),4)</f>
        <v>6.9999999999999999E-4</v>
      </c>
      <c r="D24" s="2533" t="str">
        <f>IF(F23&lt;=1,"销售费用×利率×(建设周期÷2)","销售费用×((1+利率)^(建设周期÷2)-1)")</f>
        <v>销售费用×((1+利率)^(建设周期÷2)-1)</v>
      </c>
      <c r="E24" s="783" t="s">
        <v>682</v>
      </c>
      <c r="F24" s="818">
        <f ca="1">'数据-取费表'!B40</f>
        <v>4.7500000000000001E-2</v>
      </c>
      <c r="G24" s="1578"/>
      <c r="H24" s="2513" t="s">
        <v>1891</v>
      </c>
      <c r="I24" s="2508" t="s">
        <v>666</v>
      </c>
      <c r="J24" s="2506">
        <f ca="1">ROUND(J5*M24,0)</f>
        <v>0</v>
      </c>
      <c r="K24" s="2507" t="s">
        <v>683</v>
      </c>
      <c r="L24" s="2508" t="s">
        <v>649</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4" t="s">
        <v>1840</v>
      </c>
      <c r="B25" s="783" t="s">
        <v>684</v>
      </c>
      <c r="C25" s="53"/>
      <c r="D25" s="260" t="s">
        <v>685</v>
      </c>
      <c r="E25" s="3184"/>
      <c r="F25" s="56"/>
      <c r="G25" s="1577"/>
      <c r="H25" s="1812" t="s">
        <v>1776</v>
      </c>
      <c r="I25" s="2960" t="s">
        <v>2819</v>
      </c>
      <c r="J25" s="791">
        <f ca="1">J5-J16</f>
        <v>-764</v>
      </c>
      <c r="K25" s="2510" t="s">
        <v>700</v>
      </c>
      <c r="L25" s="2511"/>
      <c r="M25" s="2512"/>
    </row>
    <row r="26" spans="1:33" ht="18" customHeight="1">
      <c r="A26" s="1632" t="s">
        <v>1831</v>
      </c>
      <c r="B26" s="783" t="s">
        <v>2436</v>
      </c>
      <c r="C26" s="53">
        <f ca="1">ROUND((C19+C20)*F26,0)</f>
        <v>343</v>
      </c>
      <c r="D26" s="811" t="s">
        <v>701</v>
      </c>
      <c r="E26" s="794" t="s">
        <v>702</v>
      </c>
      <c r="F26" s="793">
        <f ca="1">INDIRECT("'数据-取费表'!q"&amp;$G$1)</f>
        <v>0.05</v>
      </c>
      <c r="G26" s="1577"/>
      <c r="H26" s="2464" t="s">
        <v>1780</v>
      </c>
      <c r="I26" s="2215" t="s">
        <v>2824</v>
      </c>
      <c r="J26" s="782">
        <f ca="1">IF(J5&lt;&gt;0,ROUND(J25*(1-((1+M28)/(1+M26))^M27)/(M26-M28),0),0)</f>
        <v>0</v>
      </c>
      <c r="K26" s="813" t="s">
        <v>704</v>
      </c>
      <c r="L26" s="783" t="s">
        <v>2417</v>
      </c>
      <c r="M26" s="793">
        <f ca="1">INDIRECT("'数据-取费表'!I"&amp;$G$1)</f>
        <v>0.05</v>
      </c>
    </row>
    <row r="27" spans="1:33" ht="18" customHeight="1">
      <c r="A27" s="1632" t="s">
        <v>1832</v>
      </c>
      <c r="B27" s="783" t="s">
        <v>686</v>
      </c>
      <c r="C27" s="53">
        <f ca="1">ROUND(F21*F26,4)</f>
        <v>8.0000000000000004E-4</v>
      </c>
      <c r="D27" s="811" t="s">
        <v>706</v>
      </c>
      <c r="E27" s="805"/>
      <c r="F27" s="806"/>
      <c r="G27" s="1577"/>
      <c r="H27" s="2465"/>
      <c r="I27" s="786"/>
      <c r="J27" s="787"/>
      <c r="K27" s="820" t="s">
        <v>707</v>
      </c>
      <c r="L27" s="783" t="s">
        <v>708</v>
      </c>
      <c r="M27" s="821">
        <f ca="1">INDIRECT("'数据-取费表'!ag"&amp;$G$1)</f>
        <v>0</v>
      </c>
    </row>
    <row r="28" spans="1:33" s="2047" customFormat="1" ht="18" customHeight="1">
      <c r="A28" s="1634" t="s">
        <v>1841</v>
      </c>
      <c r="B28" s="783" t="s">
        <v>687</v>
      </c>
      <c r="C28" s="53">
        <f>ROUND(F28/(1+'数据-取费表'!C42),4)</f>
        <v>5.33E-2</v>
      </c>
      <c r="D28" s="811" t="s">
        <v>2298</v>
      </c>
      <c r="E28" s="783" t="s">
        <v>649</v>
      </c>
      <c r="F28" s="808">
        <f>'数据-取费表'!B41</f>
        <v>5.6000000000000001E-2</v>
      </c>
      <c r="G28" s="1578"/>
      <c r="H28" s="1812"/>
      <c r="I28" s="790"/>
      <c r="J28" s="791"/>
      <c r="K28" s="815"/>
      <c r="L28" s="783" t="s">
        <v>710</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8086</v>
      </c>
      <c r="D29" s="2507"/>
      <c r="E29" s="2508"/>
      <c r="F29" s="2509"/>
      <c r="G29" s="1578"/>
      <c r="H29" s="822" t="s">
        <v>1787</v>
      </c>
      <c r="I29" s="823" t="s">
        <v>1788</v>
      </c>
      <c r="J29" s="824">
        <f ca="1">ROUND(J26/(1+F40)^F41,0)</f>
        <v>0</v>
      </c>
      <c r="K29" s="825" t="s">
        <v>688</v>
      </c>
      <c r="L29" s="826"/>
      <c r="M29" s="827">
        <f ca="1">INDIRECT("'数据-取费表'!k"&amp;$G$1)</f>
        <v>26341.64</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7</v>
      </c>
      <c r="B30" s="1810" t="s">
        <v>651</v>
      </c>
      <c r="C30" s="791">
        <f ca="1">ROUND(C31+C36+C37+C38,0)</f>
        <v>160</v>
      </c>
      <c r="D30" s="1804" t="s">
        <v>652</v>
      </c>
      <c r="E30" s="3182"/>
      <c r="F30" s="2453"/>
      <c r="G30" s="2045"/>
      <c r="H30" s="2048"/>
      <c r="I30" s="2049"/>
      <c r="J30" s="2050"/>
      <c r="K30" s="2051"/>
      <c r="L30" s="2052"/>
      <c r="M30" s="2053"/>
    </row>
    <row r="31" spans="1:33" ht="18" customHeight="1">
      <c r="A31" s="1633" t="s">
        <v>1824</v>
      </c>
      <c r="B31" s="783" t="s">
        <v>656</v>
      </c>
      <c r="C31" s="53">
        <f ca="1">ROUND(IF(项目基本情况!B11="自然人",C6*F31/(1+'数据-取费表'!C42),C32+C33+C34),1)</f>
        <v>66.8</v>
      </c>
      <c r="D31" s="3180" t="s">
        <v>657</v>
      </c>
      <c r="E31" s="3179"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2" t="s">
        <v>1831</v>
      </c>
      <c r="B32" s="783" t="s">
        <v>660</v>
      </c>
      <c r="C32" s="53">
        <f ca="1">ROUND(C6*F32/(1+'数据-取费表'!C42),1)</f>
        <v>19.899999999999999</v>
      </c>
      <c r="D32" s="3179" t="s">
        <v>661</v>
      </c>
      <c r="E32" s="783" t="s">
        <v>649</v>
      </c>
      <c r="F32" s="808">
        <f>'数据-取费表'!B41</f>
        <v>5.6000000000000001E-2</v>
      </c>
      <c r="G32" s="2045"/>
      <c r="H32" s="2054"/>
      <c r="I32" s="2055"/>
      <c r="J32" s="2056"/>
      <c r="K32" s="2057"/>
      <c r="L32" s="2058"/>
      <c r="M32" s="2059"/>
    </row>
    <row r="33" spans="1:18" ht="18" customHeight="1">
      <c r="A33" s="1632" t="s">
        <v>1832</v>
      </c>
      <c r="B33" s="783" t="s">
        <v>664</v>
      </c>
      <c r="C33" s="53">
        <f ca="1">IF(D33="按租金收入计税",ROUND(C6*F33/(1+'数据-取费表'!C42),1),IF(D33="按房产原值计税",ROUND(C29*F33*0.7,1),INDIRECT("'数据-取费表'!Aj"&amp;$G$1)))</f>
        <v>42.7</v>
      </c>
      <c r="D33" s="810" t="s">
        <v>3184</v>
      </c>
      <c r="E33" s="783" t="s">
        <v>649</v>
      </c>
      <c r="F33" s="808">
        <f>IF(D33="按租金收入计税",'数据-取费表'!B51,'数据-取费表'!B50)</f>
        <v>0.12</v>
      </c>
      <c r="G33" s="2045"/>
      <c r="H33" s="2060"/>
      <c r="I33" s="2060"/>
      <c r="J33" s="2060"/>
      <c r="K33" s="2061"/>
      <c r="L33" s="2060"/>
      <c r="M33" s="2060"/>
    </row>
    <row r="34" spans="1:18" ht="18" customHeight="1">
      <c r="A34" s="1635" t="s">
        <v>1833</v>
      </c>
      <c r="B34" s="340" t="s">
        <v>668</v>
      </c>
      <c r="C34" s="54">
        <f ca="1">ROUND(F34*F35/10000,1)</f>
        <v>4.2</v>
      </c>
      <c r="D34" s="813" t="s">
        <v>669</v>
      </c>
      <c r="E34" s="783" t="s">
        <v>670</v>
      </c>
      <c r="F34" s="639">
        <f>'数据-取费表'!B52</f>
        <v>6</v>
      </c>
      <c r="G34" s="2045"/>
      <c r="H34" s="2048"/>
      <c r="I34" s="834" t="s">
        <v>1813</v>
      </c>
      <c r="J34" s="835"/>
      <c r="K34" s="2063"/>
      <c r="L34" s="2062"/>
      <c r="M34" s="2062"/>
    </row>
    <row r="35" spans="1:18" ht="18" customHeight="1">
      <c r="A35" s="814"/>
      <c r="B35" s="792"/>
      <c r="C35" s="69"/>
      <c r="D35" s="815"/>
      <c r="E35" s="783" t="s">
        <v>674</v>
      </c>
      <c r="F35" s="784">
        <f ca="1">INDIRECT("'数据-取费表'!r"&amp;$G$1)</f>
        <v>7052.6500000000005</v>
      </c>
      <c r="G35" s="2045"/>
      <c r="H35" s="2048"/>
      <c r="I35" s="836" t="s">
        <v>1814</v>
      </c>
      <c r="J35" s="837">
        <f ca="1">ROUND(C13*J36,0)</f>
        <v>0</v>
      </c>
      <c r="K35" s="2061"/>
      <c r="L35" s="2060"/>
      <c r="M35" s="2060"/>
    </row>
    <row r="36" spans="1:18" ht="18" customHeight="1">
      <c r="A36" s="1633" t="s">
        <v>1889</v>
      </c>
      <c r="B36" s="783" t="s">
        <v>676</v>
      </c>
      <c r="C36" s="53">
        <f ca="1">ROUND(C29*F36,1)</f>
        <v>80.900000000000006</v>
      </c>
      <c r="D36" s="3179" t="s">
        <v>691</v>
      </c>
      <c r="E36" s="783" t="s">
        <v>649</v>
      </c>
      <c r="F36" s="816">
        <f ca="1">INDIRECT("'数据-取费表'!Ak"&amp;$G$1)</f>
        <v>0.01</v>
      </c>
      <c r="G36" s="2045"/>
      <c r="H36" s="2060"/>
      <c r="I36" s="838" t="s">
        <v>1815</v>
      </c>
      <c r="J36" s="839">
        <f ca="1">INDIRECT("'数据-取费表'!j"&amp;$G$1)</f>
        <v>0</v>
      </c>
      <c r="K36" s="2065"/>
      <c r="L36" s="2060"/>
      <c r="M36" s="2060"/>
    </row>
    <row r="37" spans="1:18" ht="18" customHeight="1">
      <c r="A37" s="1633" t="s">
        <v>1890</v>
      </c>
      <c r="B37" s="783" t="s">
        <v>679</v>
      </c>
      <c r="C37" s="53">
        <f ca="1">ROUND(C13*F37,1)</f>
        <v>8.1</v>
      </c>
      <c r="D37" s="3179" t="s">
        <v>680</v>
      </c>
      <c r="E37" s="783" t="s">
        <v>649</v>
      </c>
      <c r="F37" s="817">
        <f ca="1">INDIRECT("'数据-取费表'!Al"&amp;$G$1)</f>
        <v>1E-3</v>
      </c>
      <c r="G37" s="2045"/>
      <c r="H37" s="2060"/>
      <c r="I37" s="840" t="s">
        <v>1816</v>
      </c>
      <c r="J37" s="841"/>
      <c r="K37" s="2065"/>
      <c r="L37" s="2060"/>
      <c r="M37" s="2060"/>
    </row>
    <row r="38" spans="1:18" ht="18" customHeight="1" thickBot="1">
      <c r="A38" s="2513" t="s">
        <v>1891</v>
      </c>
      <c r="B38" s="2508" t="s">
        <v>666</v>
      </c>
      <c r="C38" s="2506">
        <f ca="1">ROUND(C5*F38,1)</f>
        <v>3.7</v>
      </c>
      <c r="D38" s="2507" t="s">
        <v>683</v>
      </c>
      <c r="E38" s="2508" t="s">
        <v>649</v>
      </c>
      <c r="F38" s="2504">
        <f ca="1">INDIRECT("'数据-取费表'!Am"&amp;$G$1)</f>
        <v>0.01</v>
      </c>
      <c r="G38" s="2045"/>
      <c r="H38" s="2060"/>
      <c r="I38" s="842" t="s">
        <v>1817</v>
      </c>
      <c r="J38" s="843"/>
      <c r="K38" s="2066"/>
      <c r="L38" s="2060"/>
      <c r="M38" s="2060"/>
    </row>
    <row r="39" spans="1:18" ht="24.6" customHeight="1" thickTop="1">
      <c r="A39" s="1812" t="s">
        <v>1776</v>
      </c>
      <c r="B39" s="2960" t="s">
        <v>2819</v>
      </c>
      <c r="C39" s="791">
        <f ca="1">C5-C30</f>
        <v>214</v>
      </c>
      <c r="D39" s="2510" t="s">
        <v>700</v>
      </c>
      <c r="E39" s="2511"/>
      <c r="F39" s="2512"/>
      <c r="G39" s="2045"/>
      <c r="H39" s="2060"/>
      <c r="I39" s="836" t="s">
        <v>1818</v>
      </c>
      <c r="J39" s="844">
        <f ca="1">ROUND(J35/C39,3)</f>
        <v>0</v>
      </c>
      <c r="K39" s="2066"/>
      <c r="L39" s="2060"/>
      <c r="M39" s="2060"/>
    </row>
    <row r="40" spans="1:18" ht="18" customHeight="1">
      <c r="A40" s="780" t="s">
        <v>1780</v>
      </c>
      <c r="B40" s="2215" t="s">
        <v>2300</v>
      </c>
      <c r="C40" s="782">
        <f ca="1">ROUND(C39*(1-((1+F42)/(1+F40))^F41)/(F40-F42),0)</f>
        <v>6429</v>
      </c>
      <c r="D40" s="813" t="s">
        <v>704</v>
      </c>
      <c r="E40" s="783" t="s">
        <v>2417</v>
      </c>
      <c r="F40" s="793">
        <f ca="1">INDIRECT("'数据-取费表'!I"&amp;$G$1)</f>
        <v>0.05</v>
      </c>
      <c r="G40" s="2045"/>
      <c r="H40" s="2045"/>
      <c r="I40" s="836" t="s">
        <v>1819</v>
      </c>
      <c r="J40" s="844">
        <f ca="1">1-J39</f>
        <v>1</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47.75</v>
      </c>
      <c r="G41" s="2045"/>
      <c r="H41" s="1971"/>
      <c r="I41" s="842" t="s">
        <v>1820</v>
      </c>
      <c r="J41" s="845"/>
      <c r="K41" s="2065"/>
      <c r="L41" s="1971"/>
      <c r="M41" s="1971"/>
    </row>
    <row r="42" spans="1:18" ht="18" customHeight="1">
      <c r="A42" s="789"/>
      <c r="B42" s="790"/>
      <c r="C42" s="791"/>
      <c r="D42" s="815"/>
      <c r="E42" s="783" t="s">
        <v>710</v>
      </c>
      <c r="F42" s="793">
        <f ca="1">INDIRECT("'数据-取费表'!v"&amp;$G$1)</f>
        <v>0.03</v>
      </c>
      <c r="G42" s="2045"/>
      <c r="H42" s="1971"/>
      <c r="I42" s="846" t="s">
        <v>1821</v>
      </c>
      <c r="J42" s="844">
        <f ca="1">ROUND(C13/C40,3)</f>
        <v>1.258</v>
      </c>
      <c r="K42" s="2065"/>
      <c r="L42" s="1971"/>
      <c r="M42" s="1971"/>
    </row>
    <row r="43" spans="1:18" ht="18" customHeight="1" thickBot="1">
      <c r="A43" s="822" t="s">
        <v>1787</v>
      </c>
      <c r="B43" s="823" t="s">
        <v>1810</v>
      </c>
      <c r="C43" s="824">
        <f ca="1">ROUND(C40*10000/F43,0)</f>
        <v>2441</v>
      </c>
      <c r="D43" s="825" t="s">
        <v>1811</v>
      </c>
      <c r="E43" s="826" t="s">
        <v>1812</v>
      </c>
      <c r="F43" s="827">
        <f ca="1">INDIRECT("'数据-取费表'!k"&amp;$G$1)</f>
        <v>26341.64</v>
      </c>
      <c r="G43" s="2045"/>
      <c r="H43" s="1971"/>
      <c r="I43" s="846" t="s">
        <v>1822</v>
      </c>
      <c r="J43" s="847">
        <f ca="1">1-J42</f>
        <v>-0.25800000000000001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-8108</v>
      </c>
      <c r="D46" s="2068"/>
      <c r="E46" s="2068"/>
      <c r="F46" s="2068"/>
      <c r="I46" s="2340" t="s">
        <v>2341</v>
      </c>
      <c r="J46" s="2341"/>
      <c r="K46" s="2342"/>
      <c r="L46" s="3105">
        <f>IF(OR(M47="住宅",D1="土地（套用方法）"),0,IF(L48&gt;J51,L60,J60))</f>
        <v>0</v>
      </c>
      <c r="O46" s="2356" t="s">
        <v>2408</v>
      </c>
      <c r="P46" s="1577"/>
      <c r="Q46" s="1588"/>
      <c r="R46" s="1577"/>
    </row>
    <row r="47" spans="1:18" s="2042" customFormat="1" ht="18" customHeight="1" thickBot="1">
      <c r="A47" s="2334">
        <v>1</v>
      </c>
      <c r="B47" s="2335" t="s">
        <v>635</v>
      </c>
      <c r="C47" s="2536">
        <f ca="1">C48+C52+C54</f>
        <v>0</v>
      </c>
      <c r="D47" s="2068"/>
      <c r="E47" s="2068"/>
      <c r="F47" s="2068"/>
      <c r="I47" s="3096" t="s">
        <v>2342</v>
      </c>
      <c r="J47" s="2343" t="s">
        <v>3185</v>
      </c>
      <c r="K47" s="3102" t="s">
        <v>2347</v>
      </c>
      <c r="L47" s="3106">
        <f ca="1">INDIRECT("'数据-取费表'!d"&amp;$G$1)</f>
        <v>50</v>
      </c>
      <c r="M47" s="1588" t="str">
        <f>IF(ISNUMBER(FIND("住宅",C1)),"住宅","非住宅")</f>
        <v>非住宅</v>
      </c>
      <c r="O47" s="2357" t="s">
        <v>2373</v>
      </c>
      <c r="P47" s="2358" t="s">
        <v>2374</v>
      </c>
      <c r="Q47" s="2359" t="s">
        <v>2375</v>
      </c>
      <c r="R47" s="2358" t="s">
        <v>2376</v>
      </c>
    </row>
    <row r="48" spans="1:18" s="2042" customFormat="1" ht="18" customHeight="1" thickBot="1">
      <c r="A48" s="2604" t="s">
        <v>1870</v>
      </c>
      <c r="B48" s="2605" t="s">
        <v>2536</v>
      </c>
      <c r="C48" s="2336">
        <f ca="1">ROUND(F48*F50*F49*(1-F51)/10000,0)</f>
        <v>0</v>
      </c>
      <c r="D48" s="2337" t="s">
        <v>636</v>
      </c>
      <c r="E48" s="2338" t="s">
        <v>2295</v>
      </c>
      <c r="F48" s="2339"/>
      <c r="G48" s="2073"/>
      <c r="I48" s="3075" t="s">
        <v>2343</v>
      </c>
      <c r="J48" s="2344" t="s">
        <v>2348</v>
      </c>
      <c r="K48" s="3103" t="s">
        <v>2349</v>
      </c>
      <c r="L48" s="1891">
        <f ca="1">INDIRECT("'数据-取费表'!f"&amp;$G$1)</f>
        <v>49.75</v>
      </c>
      <c r="O48" s="2360" t="s">
        <v>2377</v>
      </c>
      <c r="P48" s="2361" t="s">
        <v>2403</v>
      </c>
      <c r="Q48" s="2362">
        <f ca="1">C40+J29</f>
        <v>6429</v>
      </c>
      <c r="R48" s="2361" t="s">
        <v>2378</v>
      </c>
    </row>
    <row r="49" spans="1:18" s="2042" customFormat="1" ht="18" customHeight="1" thickBot="1">
      <c r="A49" s="785"/>
      <c r="B49" s="786"/>
      <c r="C49" s="787"/>
      <c r="D49" s="788"/>
      <c r="E49" s="783" t="s">
        <v>638</v>
      </c>
      <c r="F49" s="784">
        <f ca="1">F7</f>
        <v>866</v>
      </c>
      <c r="G49" s="2073"/>
      <c r="H49" s="2076"/>
      <c r="I49" s="3075" t="s">
        <v>2344</v>
      </c>
      <c r="J49" s="2345"/>
      <c r="K49" s="3104" t="s">
        <v>2350</v>
      </c>
      <c r="L49" s="2346"/>
      <c r="O49" s="2360" t="s">
        <v>2379</v>
      </c>
      <c r="P49" s="2361" t="s">
        <v>2404</v>
      </c>
      <c r="Q49" s="2362" t="str">
        <f ca="1">J60</f>
        <v>0</v>
      </c>
      <c r="R49" s="2361" t="s">
        <v>2380</v>
      </c>
    </row>
    <row r="50" spans="1:18" s="2042" customFormat="1" ht="18" customHeight="1" thickBot="1">
      <c r="A50" s="785"/>
      <c r="B50" s="786"/>
      <c r="C50" s="787"/>
      <c r="D50" s="788"/>
      <c r="E50" s="783" t="s">
        <v>639</v>
      </c>
      <c r="F50" s="784">
        <f ca="1">F8</f>
        <v>12</v>
      </c>
      <c r="G50" s="2078"/>
      <c r="H50" s="2076"/>
      <c r="I50" s="3075" t="s">
        <v>2345</v>
      </c>
      <c r="J50" s="3100">
        <f>SUMPRODUCT((I63:I65=J47)*(J62:L62=J48)*(J63:L65))</f>
        <v>60</v>
      </c>
      <c r="K50" s="3104" t="s">
        <v>2351</v>
      </c>
      <c r="L50" s="2346"/>
      <c r="O50" s="2363" t="s">
        <v>2381</v>
      </c>
      <c r="P50" s="2361" t="s">
        <v>2405</v>
      </c>
      <c r="Q50" s="2362">
        <f ca="1">C29</f>
        <v>8086</v>
      </c>
      <c r="R50" s="2361" t="s">
        <v>2378</v>
      </c>
    </row>
    <row r="51" spans="1:18" s="2042" customFormat="1" ht="18" customHeight="1" thickBot="1">
      <c r="A51" s="785"/>
      <c r="B51" s="786"/>
      <c r="C51" s="787"/>
      <c r="D51" s="788"/>
      <c r="E51" s="783" t="s">
        <v>640</v>
      </c>
      <c r="F51" s="2333"/>
      <c r="H51" s="2076"/>
      <c r="I51" s="3097" t="s">
        <v>2346</v>
      </c>
      <c r="J51" s="3101">
        <f>IF(J49="",J50,J49+J50-YEAR('数据-取费表'!B2))</f>
        <v>60</v>
      </c>
      <c r="K51" s="3075" t="s">
        <v>2352</v>
      </c>
      <c r="L51" s="3107">
        <f ca="1">ROUND(-PV(INDIRECT("'数据-取费表'!h"&amp;$G$1),L48,(C39-C13*J36),0),0)</f>
        <v>4223</v>
      </c>
      <c r="O51" s="2363" t="s">
        <v>2382</v>
      </c>
      <c r="P51" s="2361" t="s">
        <v>2383</v>
      </c>
      <c r="Q51" s="2364" t="e">
        <f ca="1">J58</f>
        <v>#VALUE!</v>
      </c>
      <c r="R51" s="2365"/>
    </row>
    <row r="52" spans="1:18" s="2042" customFormat="1" ht="18" customHeight="1" thickBot="1">
      <c r="A52" s="780" t="s">
        <v>2534</v>
      </c>
      <c r="B52" s="2456" t="s">
        <v>2457</v>
      </c>
      <c r="C52" s="798">
        <f ca="1">ROUND(IF(F52="押一",C48/12*F11,IF(F52="押二",C48/12*2*F11,IF(F52="押三",C48/12*3*F11,C53*F11))),0)</f>
        <v>0</v>
      </c>
      <c r="D52" s="2463" t="s">
        <v>2970</v>
      </c>
      <c r="E52" s="2460" t="s">
        <v>2462</v>
      </c>
      <c r="F52" s="2583"/>
      <c r="I52" s="3098" t="s">
        <v>2419</v>
      </c>
      <c r="J52" s="2347"/>
      <c r="K52" s="3098" t="s">
        <v>2418</v>
      </c>
      <c r="L52" s="2347"/>
      <c r="O52" s="2363" t="s">
        <v>2384</v>
      </c>
      <c r="P52" s="2361" t="s">
        <v>2385</v>
      </c>
      <c r="Q52" s="2364">
        <f>J52</f>
        <v>0</v>
      </c>
      <c r="R52" s="2365"/>
    </row>
    <row r="53" spans="1:18" s="2042" customFormat="1" ht="39.75" customHeight="1" thickBot="1">
      <c r="A53" s="785"/>
      <c r="B53" s="2457" t="s">
        <v>2571</v>
      </c>
      <c r="C53" s="2461"/>
      <c r="D53" s="2463"/>
      <c r="E53" s="2460"/>
      <c r="F53" s="799"/>
      <c r="I53" s="3099" t="s">
        <v>2974</v>
      </c>
      <c r="J53" s="3178">
        <f ca="1">IF(M47="住宅",IF(D1="——",MAX(J51,L48),MAX(J51,L48-'数据-取费表'!B20)),IF(D1="——",MIN(J51,L48),MIN(J51,L48-'数据-取费表'!B20)))</f>
        <v>47.75</v>
      </c>
      <c r="K53" s="3586" t="s">
        <v>2962</v>
      </c>
      <c r="L53" s="3587"/>
      <c r="O53" s="2363" t="s">
        <v>2386</v>
      </c>
      <c r="P53" s="2361" t="s">
        <v>2387</v>
      </c>
      <c r="Q53" s="2362">
        <f ca="1">J53</f>
        <v>47.75</v>
      </c>
      <c r="R53" s="2361" t="s">
        <v>2388</v>
      </c>
    </row>
    <row r="54" spans="1:18" s="2042" customFormat="1" ht="18" customHeight="1" thickBot="1">
      <c r="A54" s="2499" t="s">
        <v>2465</v>
      </c>
      <c r="B54" s="2500" t="s">
        <v>2458</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2389</v>
      </c>
      <c r="P54" s="2361" t="s">
        <v>2406</v>
      </c>
      <c r="Q54" s="2362">
        <f ca="1">Q48+Q49</f>
        <v>6429</v>
      </c>
      <c r="R54" s="2365" t="s">
        <v>2390</v>
      </c>
    </row>
    <row r="55" spans="1:18" s="2042" customFormat="1" ht="18" customHeight="1" thickTop="1" thickBot="1">
      <c r="A55" s="796">
        <v>2</v>
      </c>
      <c r="B55" s="797" t="s">
        <v>644</v>
      </c>
      <c r="C55" s="798">
        <f ca="1">C13</f>
        <v>8086</v>
      </c>
      <c r="D55" s="794"/>
      <c r="E55" s="794"/>
      <c r="F55" s="799"/>
      <c r="I55" s="3110" t="s">
        <v>2353</v>
      </c>
      <c r="J55" s="3050" t="e">
        <f ca="1">ROUND(IF(J47="钢混",J57/J50,1-(1-2%)*(J50-J57)/J50),3)</f>
        <v>#VALUE!</v>
      </c>
      <c r="K55" s="3111" t="s">
        <v>2354</v>
      </c>
      <c r="L55" s="2348"/>
      <c r="O55" s="2366" t="s">
        <v>2409</v>
      </c>
      <c r="P55" s="1577"/>
      <c r="Q55" s="1588"/>
      <c r="R55" s="1577"/>
    </row>
    <row r="56" spans="1:18" s="2042" customFormat="1" ht="42.75" customHeight="1" thickBot="1">
      <c r="A56" s="1634"/>
      <c r="B56" s="2214" t="s">
        <v>2299</v>
      </c>
      <c r="C56" s="53">
        <f ca="1">C29</f>
        <v>8086</v>
      </c>
      <c r="D56" s="3179"/>
      <c r="E56" s="783"/>
      <c r="F56" s="808"/>
      <c r="I56" s="3112" t="s">
        <v>2355</v>
      </c>
      <c r="J56" s="3122" t="s">
        <v>1678</v>
      </c>
      <c r="K56" s="3075" t="s">
        <v>2360</v>
      </c>
      <c r="L56" s="1891" t="str">
        <f ca="1">IF(L48&lt;J51,"——",L48-J51)</f>
        <v>——</v>
      </c>
      <c r="O56" s="2357" t="s">
        <v>2373</v>
      </c>
      <c r="P56" s="2358" t="s">
        <v>2374</v>
      </c>
      <c r="Q56" s="2359" t="s">
        <v>2375</v>
      </c>
      <c r="R56" s="2358" t="s">
        <v>2376</v>
      </c>
    </row>
    <row r="57" spans="1:18" s="2042" customFormat="1" ht="28.5" customHeight="1" thickBot="1">
      <c r="A57" s="796" t="s">
        <v>7</v>
      </c>
      <c r="B57" s="797" t="s">
        <v>651</v>
      </c>
      <c r="C57" s="798">
        <f ca="1">ROUND(C58+C63+C64+C65,0)</f>
        <v>93</v>
      </c>
      <c r="D57" s="26" t="s">
        <v>652</v>
      </c>
      <c r="E57" s="3184"/>
      <c r="F57" s="56"/>
      <c r="I57" s="3113" t="s">
        <v>2356</v>
      </c>
      <c r="J57" s="3114" t="str">
        <f ca="1">IF(OR(M47="住宅",J51&lt;L48,J56="是"),"——",J51-L48)</f>
        <v>——</v>
      </c>
      <c r="K57" s="3075" t="s">
        <v>2361</v>
      </c>
      <c r="L57" s="1891" t="str">
        <f ca="1">IF(L48&lt;J51,"——",IF(L55="比较法",L49,IF(L55="基准地价",L50,L51)))</f>
        <v>——</v>
      </c>
      <c r="O57" s="2360" t="s">
        <v>2377</v>
      </c>
      <c r="P57" s="2361" t="s">
        <v>2403</v>
      </c>
      <c r="Q57" s="2362">
        <f ca="1">C40+J29</f>
        <v>6429</v>
      </c>
      <c r="R57" s="2361" t="s">
        <v>2378</v>
      </c>
    </row>
    <row r="58" spans="1:18" s="2042" customFormat="1" ht="28.5" customHeight="1" thickBot="1">
      <c r="A58" s="1633" t="s">
        <v>1824</v>
      </c>
      <c r="B58" s="783" t="s">
        <v>656</v>
      </c>
      <c r="C58" s="53">
        <f ca="1">ROUND(IF(项目基本情况!B11="自然人",C47*F58,C59+C60+C61),1)</f>
        <v>4.2</v>
      </c>
      <c r="D58" s="3180" t="s">
        <v>657</v>
      </c>
      <c r="E58" s="3179" t="s">
        <v>690</v>
      </c>
      <c r="F58" s="809" t="str">
        <f ca="1">IF(项目基本情况!B11="企业","",IF(INDIRECT("'数据-取费表'!c"&amp;$G$1)="住宅",5%,IF(F48*F49*F50/12/(1+'数据-取费表'!C42)&gt;20000,12%,7%)))</f>
        <v/>
      </c>
      <c r="I58" s="3113" t="s">
        <v>2357</v>
      </c>
      <c r="J58" s="3051" t="e">
        <f ca="1">IF(J55&lt;0.4,0.4,J55)</f>
        <v>#VALUE!</v>
      </c>
      <c r="K58" s="3075" t="s">
        <v>2362</v>
      </c>
      <c r="L58" s="1891" t="e">
        <f ca="1">ROUND(POWER(1+L52,L47-L48)*(POWER(1+L52,L48)-1)/(POWER(1+L52,L47)-1),4)</f>
        <v>#DIV/0!</v>
      </c>
      <c r="O58" s="2360" t="s">
        <v>2379</v>
      </c>
      <c r="P58" s="2361" t="s">
        <v>2410</v>
      </c>
      <c r="Q58" s="2362">
        <f ca="1">L60</f>
        <v>0</v>
      </c>
      <c r="R58" s="2365" t="s">
        <v>2412</v>
      </c>
    </row>
    <row r="59" spans="1:18" s="2042" customFormat="1" ht="28.5" customHeight="1" thickBot="1">
      <c r="A59" s="1632" t="s">
        <v>1831</v>
      </c>
      <c r="B59" s="783" t="s">
        <v>660</v>
      </c>
      <c r="C59" s="53">
        <f ca="1">ROUND(C47*F59/1.05,1)</f>
        <v>0</v>
      </c>
      <c r="D59" s="3179" t="s">
        <v>661</v>
      </c>
      <c r="E59" s="783" t="s">
        <v>649</v>
      </c>
      <c r="F59" s="808">
        <f t="shared" ref="F59:F65" si="0">F32</f>
        <v>5.6000000000000001E-2</v>
      </c>
      <c r="I59" s="3113" t="s">
        <v>2358</v>
      </c>
      <c r="J59" s="3114"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2381</v>
      </c>
      <c r="P59" s="2361" t="s">
        <v>2411</v>
      </c>
      <c r="Q59" s="2362">
        <f>IF(L55="比较法",L49,IF(L55="基准地价",L50,0))</f>
        <v>0</v>
      </c>
      <c r="R59" s="2361" t="s">
        <v>2378</v>
      </c>
    </row>
    <row r="60" spans="1:18" s="2042" customFormat="1" ht="18" customHeight="1" thickBot="1">
      <c r="A60" s="1632" t="s">
        <v>1832</v>
      </c>
      <c r="B60" s="783" t="s">
        <v>664</v>
      </c>
      <c r="C60" s="53">
        <f ca="1">IF(D60="按租金收入计税",ROUND(C47*F60,1),IF(D60="按房产原值计税",ROUND(C56*F60*0.7,1),INDIRECT("'数据-取费表'!Aj"&amp;$G$1)))</f>
        <v>0</v>
      </c>
      <c r="D60" s="3179" t="str">
        <f>D33</f>
        <v>按租金收入计税</v>
      </c>
      <c r="E60" s="783" t="s">
        <v>649</v>
      </c>
      <c r="F60" s="808">
        <f t="shared" si="0"/>
        <v>0.12</v>
      </c>
      <c r="I60" s="3115" t="s">
        <v>2359</v>
      </c>
      <c r="J60" s="3116" t="str">
        <f ca="1">IF(OR(M47="住宅",J51&lt;L48,J56="是"),"0",ROUND(J59/(1+J52)^J53,0))</f>
        <v>0</v>
      </c>
      <c r="K60" s="3117" t="s">
        <v>2364</v>
      </c>
      <c r="L60" s="3116">
        <f ca="1">IF(OR(M47="住宅",L48&lt;J51),0,ROUND(L57*(L58/L59-1),0))</f>
        <v>0</v>
      </c>
      <c r="O60" s="2363" t="s">
        <v>2382</v>
      </c>
      <c r="P60" s="2361" t="s">
        <v>2391</v>
      </c>
      <c r="Q60" s="2364">
        <f>L52</f>
        <v>0</v>
      </c>
      <c r="R60" s="2365"/>
    </row>
    <row r="61" spans="1:18" s="2042" customFormat="1" ht="18" customHeight="1" thickBot="1">
      <c r="A61" s="1635" t="s">
        <v>1833</v>
      </c>
      <c r="B61" s="340" t="s">
        <v>668</v>
      </c>
      <c r="C61" s="54">
        <f ca="1">ROUND(F61*F62/10000,1)</f>
        <v>4.2</v>
      </c>
      <c r="D61" s="813" t="s">
        <v>669</v>
      </c>
      <c r="E61" s="783" t="s">
        <v>670</v>
      </c>
      <c r="F61" s="639">
        <f t="shared" si="0"/>
        <v>6</v>
      </c>
      <c r="K61" s="2069"/>
      <c r="O61" s="2363" t="s">
        <v>2384</v>
      </c>
      <c r="P61" s="2361" t="s">
        <v>2392</v>
      </c>
      <c r="Q61" s="2362" t="e">
        <f ca="1">L58</f>
        <v>#DIV/0!</v>
      </c>
      <c r="R61" s="2365" t="s">
        <v>2393</v>
      </c>
    </row>
    <row r="62" spans="1:18" s="2042" customFormat="1" ht="15.75" thickBot="1">
      <c r="A62" s="814"/>
      <c r="B62" s="792"/>
      <c r="C62" s="69"/>
      <c r="D62" s="815"/>
      <c r="E62" s="783" t="s">
        <v>674</v>
      </c>
      <c r="F62" s="784">
        <f t="shared" ca="1" si="0"/>
        <v>7052.6500000000005</v>
      </c>
      <c r="I62" s="3118" t="s">
        <v>2365</v>
      </c>
      <c r="J62" s="3119" t="s">
        <v>2366</v>
      </c>
      <c r="K62" s="3119" t="s">
        <v>2367</v>
      </c>
      <c r="L62" s="3119" t="s">
        <v>2348</v>
      </c>
      <c r="M62" s="3120" t="s">
        <v>2939</v>
      </c>
      <c r="O62" s="2363" t="s">
        <v>2386</v>
      </c>
      <c r="P62" s="2361" t="str">
        <f>K59</f>
        <v>建设期及建筑物耐用年限下的土地年期修正系数Kn</v>
      </c>
      <c r="Q62" s="2362" t="e">
        <f ca="1">L59</f>
        <v>#DIV/0!</v>
      </c>
      <c r="R62" s="2365" t="s">
        <v>2395</v>
      </c>
    </row>
    <row r="63" spans="1:18" s="2042" customFormat="1" ht="15.75" thickBot="1">
      <c r="A63" s="1633" t="s">
        <v>1889</v>
      </c>
      <c r="B63" s="783" t="s">
        <v>676</v>
      </c>
      <c r="C63" s="53">
        <f ca="1">ROUND(C56*F63,1)</f>
        <v>80.900000000000006</v>
      </c>
      <c r="D63" s="3179" t="s">
        <v>691</v>
      </c>
      <c r="E63" s="783" t="s">
        <v>649</v>
      </c>
      <c r="F63" s="816">
        <f t="shared" ca="1" si="0"/>
        <v>0.01</v>
      </c>
      <c r="I63" s="3118" t="s">
        <v>2368</v>
      </c>
      <c r="J63" s="3119">
        <v>70</v>
      </c>
      <c r="K63" s="3119">
        <v>50</v>
      </c>
      <c r="L63" s="3119">
        <v>80</v>
      </c>
      <c r="M63" s="3121">
        <v>0.02</v>
      </c>
      <c r="O63" s="2360" t="s">
        <v>2389</v>
      </c>
      <c r="P63" s="2361" t="s">
        <v>2406</v>
      </c>
      <c r="Q63" s="2362">
        <f ca="1">Q57+Q58</f>
        <v>6429</v>
      </c>
      <c r="R63" s="2365" t="s">
        <v>2390</v>
      </c>
    </row>
    <row r="64" spans="1:18" s="2042" customFormat="1" ht="16.5" thickBot="1">
      <c r="A64" s="1633" t="s">
        <v>1890</v>
      </c>
      <c r="B64" s="783" t="s">
        <v>679</v>
      </c>
      <c r="C64" s="53">
        <f ca="1">ROUND(C55*F64,1)</f>
        <v>8.1</v>
      </c>
      <c r="D64" s="3179" t="s">
        <v>680</v>
      </c>
      <c r="E64" s="783" t="s">
        <v>649</v>
      </c>
      <c r="F64" s="817">
        <f t="shared" ca="1" si="0"/>
        <v>1E-3</v>
      </c>
      <c r="I64" s="3118" t="s">
        <v>2369</v>
      </c>
      <c r="J64" s="3119">
        <v>50</v>
      </c>
      <c r="K64" s="3119">
        <v>35</v>
      </c>
      <c r="L64" s="3119">
        <v>60</v>
      </c>
      <c r="M64" s="845">
        <v>0</v>
      </c>
      <c r="O64" s="2366" t="s">
        <v>2413</v>
      </c>
      <c r="P64" s="1577"/>
      <c r="Q64" s="1588"/>
      <c r="R64" s="1577"/>
    </row>
    <row r="65" spans="1:18" s="2042" customFormat="1" ht="15.75" thickBot="1">
      <c r="A65" s="1633" t="s">
        <v>1891</v>
      </c>
      <c r="B65" s="783" t="s">
        <v>666</v>
      </c>
      <c r="C65" s="53">
        <f ca="1">ROUND(C47*F65,1)</f>
        <v>0</v>
      </c>
      <c r="D65" s="3179" t="s">
        <v>683</v>
      </c>
      <c r="E65" s="783" t="s">
        <v>649</v>
      </c>
      <c r="F65" s="793">
        <f t="shared" ca="1" si="0"/>
        <v>0.01</v>
      </c>
      <c r="I65" s="3118" t="s">
        <v>2370</v>
      </c>
      <c r="J65" s="3119">
        <v>40</v>
      </c>
      <c r="K65" s="3119">
        <v>30</v>
      </c>
      <c r="L65" s="3119">
        <v>50</v>
      </c>
      <c r="M65" s="3121">
        <v>0.02</v>
      </c>
      <c r="O65" s="2357" t="s">
        <v>2373</v>
      </c>
      <c r="P65" s="2358" t="s">
        <v>2374</v>
      </c>
      <c r="Q65" s="2359" t="s">
        <v>2375</v>
      </c>
      <c r="R65" s="2358" t="s">
        <v>2376</v>
      </c>
    </row>
    <row r="66" spans="1:18" s="2042" customFormat="1" ht="24.75" thickBot="1">
      <c r="A66" s="796" t="s">
        <v>1776</v>
      </c>
      <c r="B66" s="2961" t="s">
        <v>2819</v>
      </c>
      <c r="C66" s="798">
        <f ca="1">C47-C57</f>
        <v>-93</v>
      </c>
      <c r="D66" s="3180" t="s">
        <v>700</v>
      </c>
      <c r="E66" s="3183"/>
      <c r="F66" s="819"/>
      <c r="K66" s="2069"/>
      <c r="O66" s="2360" t="s">
        <v>2377</v>
      </c>
      <c r="P66" s="2361" t="s">
        <v>2403</v>
      </c>
      <c r="Q66" s="2362">
        <f ca="1">C40+J29</f>
        <v>6429</v>
      </c>
      <c r="R66" s="2361" t="s">
        <v>2378</v>
      </c>
    </row>
    <row r="67" spans="1:18" s="2042" customFormat="1" ht="20.25" thickBot="1">
      <c r="A67" s="780" t="s">
        <v>1780</v>
      </c>
      <c r="B67" s="2215" t="s">
        <v>2300</v>
      </c>
      <c r="C67" s="782">
        <f ca="1">ROUND(C66*(1-((1+F69)/(1+F67))^F68)/(F67-F69),0)</f>
        <v>-1679</v>
      </c>
      <c r="D67" s="813" t="s">
        <v>704</v>
      </c>
      <c r="E67" s="783" t="s">
        <v>705</v>
      </c>
      <c r="F67" s="793">
        <f ca="1">F40</f>
        <v>0.05</v>
      </c>
      <c r="K67" s="2069"/>
      <c r="O67" s="2360" t="s">
        <v>2379</v>
      </c>
      <c r="P67" s="2361" t="s">
        <v>2410</v>
      </c>
      <c r="Q67" s="2362">
        <f ca="1">L60</f>
        <v>0</v>
      </c>
      <c r="R67" s="2365" t="s">
        <v>2412</v>
      </c>
    </row>
    <row r="68" spans="1:18" ht="21.75" thickBot="1">
      <c r="A68" s="785"/>
      <c r="B68" s="786"/>
      <c r="C68" s="787"/>
      <c r="D68" s="820" t="s">
        <v>1808</v>
      </c>
      <c r="E68" s="783" t="s">
        <v>708</v>
      </c>
      <c r="F68" s="821">
        <f ca="1">F41</f>
        <v>47.75</v>
      </c>
      <c r="O68" s="2363" t="s">
        <v>2381</v>
      </c>
      <c r="P68" s="2361" t="s">
        <v>2411</v>
      </c>
      <c r="Q68" s="2367">
        <f ca="1">L51</f>
        <v>4223</v>
      </c>
      <c r="R68" s="2368" t="s">
        <v>2414</v>
      </c>
    </row>
    <row r="69" spans="1:18" ht="20.25" thickBot="1">
      <c r="A69" s="789"/>
      <c r="B69" s="790"/>
      <c r="C69" s="791"/>
      <c r="D69" s="815"/>
      <c r="E69" s="783" t="s">
        <v>710</v>
      </c>
      <c r="F69" s="2333"/>
      <c r="O69" s="2363" t="s">
        <v>2382</v>
      </c>
      <c r="P69" s="2369" t="s">
        <v>2396</v>
      </c>
      <c r="Q69" s="2362">
        <f ca="1">ROUND(Q70-Q71*Q72,0)</f>
        <v>214</v>
      </c>
      <c r="R69" s="2365"/>
    </row>
    <row r="70" spans="1:18" ht="15.75" thickBot="1">
      <c r="A70" s="822" t="s">
        <v>1787</v>
      </c>
      <c r="B70" s="823" t="s">
        <v>1810</v>
      </c>
      <c r="C70" s="824">
        <f ca="1">ROUND(C67*10000/F70,0)</f>
        <v>-637</v>
      </c>
      <c r="D70" s="825" t="s">
        <v>1811</v>
      </c>
      <c r="E70" s="826" t="s">
        <v>1812</v>
      </c>
      <c r="F70" s="827">
        <f ca="1">F43</f>
        <v>26341.64</v>
      </c>
      <c r="O70" s="2363" t="s">
        <v>2397</v>
      </c>
      <c r="P70" s="2369" t="s">
        <v>2398</v>
      </c>
      <c r="Q70" s="2362">
        <f ca="1">C39</f>
        <v>214</v>
      </c>
      <c r="R70" s="2361" t="s">
        <v>2378</v>
      </c>
    </row>
    <row r="71" spans="1:18" ht="15.75" thickBot="1">
      <c r="O71" s="2363" t="s">
        <v>2399</v>
      </c>
      <c r="P71" s="2369" t="s">
        <v>2400</v>
      </c>
      <c r="Q71" s="2362">
        <f ca="1">C13</f>
        <v>8086</v>
      </c>
      <c r="R71" s="2361" t="s">
        <v>2378</v>
      </c>
    </row>
    <row r="72" spans="1:18" ht="15.75" thickBot="1">
      <c r="O72" s="2363" t="s">
        <v>2401</v>
      </c>
      <c r="P72" s="2369" t="s">
        <v>2402</v>
      </c>
      <c r="Q72" s="2364">
        <f ca="1">J36</f>
        <v>0</v>
      </c>
      <c r="R72" s="2365"/>
    </row>
    <row r="73" spans="1:18" ht="15.75" thickBot="1">
      <c r="O73" s="2363" t="s">
        <v>2384</v>
      </c>
      <c r="P73" s="2361" t="s">
        <v>2391</v>
      </c>
      <c r="Q73" s="2364">
        <f>L52</f>
        <v>0</v>
      </c>
      <c r="R73" s="2365"/>
    </row>
    <row r="74" spans="1:18" ht="20.25" thickBot="1">
      <c r="O74" s="2363" t="s">
        <v>2386</v>
      </c>
      <c r="P74" s="2361" t="s">
        <v>2392</v>
      </c>
      <c r="Q74" s="2362" t="e">
        <f ca="1">L58</f>
        <v>#DIV/0!</v>
      </c>
      <c r="R74" s="2365" t="s">
        <v>2393</v>
      </c>
    </row>
    <row r="75" spans="1:18" ht="15.75" thickBot="1">
      <c r="O75" s="2363" t="s">
        <v>2415</v>
      </c>
      <c r="P75" s="2361" t="str">
        <f>K59</f>
        <v>建设期及建筑物耐用年限下的土地年期修正系数Kn</v>
      </c>
      <c r="Q75" s="2362" t="e">
        <f ca="1">L59</f>
        <v>#DIV/0!</v>
      </c>
      <c r="R75" s="2365" t="s">
        <v>2395</v>
      </c>
    </row>
    <row r="76" spans="1:18" ht="15.75" thickBot="1">
      <c r="O76" s="2360" t="s">
        <v>2389</v>
      </c>
      <c r="P76" s="2361" t="s">
        <v>2406</v>
      </c>
      <c r="Q76" s="2362">
        <f ca="1">Q66+Q67</f>
        <v>6429</v>
      </c>
      <c r="R76" s="2365"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4"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2649</v>
      </c>
      <c r="B6" s="432"/>
      <c r="C6" s="1607">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5"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5"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6" t="s">
        <v>1847</v>
      </c>
      <c r="B10" s="1608" t="s">
        <v>474</v>
      </c>
      <c r="C10" s="1609"/>
      <c r="D10" s="1609"/>
      <c r="E10" s="1609"/>
      <c r="F10" s="1610"/>
      <c r="G10" s="1610"/>
      <c r="H10" s="1610"/>
      <c r="I10" s="1610"/>
      <c r="J10" s="1610"/>
      <c r="K10" s="1611"/>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4" t="s">
        <v>1864</v>
      </c>
      <c r="B11" s="1605"/>
      <c r="C11" s="1605"/>
      <c r="D11" s="1605"/>
      <c r="E11" s="1605"/>
      <c r="F11" s="1605"/>
      <c r="G11" s="1605"/>
      <c r="H11" s="1605"/>
      <c r="I11" s="1605"/>
      <c r="J11" s="1605"/>
      <c r="K11" s="1606"/>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7" t="s">
        <v>1848</v>
      </c>
      <c r="B13" s="448" t="s">
        <v>479</v>
      </c>
      <c r="C13" s="449">
        <f ca="1">IF(B1="",'数据-取费表'!M16,INDIRECT("'数据-取费表'!M"&amp;$K$1)+INDIRECT("'数据-取费表'!t"&amp;$K$1))</f>
        <v>29564</v>
      </c>
      <c r="D13" s="450"/>
      <c r="E13" s="364"/>
      <c r="F13" s="451"/>
      <c r="G13" s="443"/>
      <c r="H13" s="446"/>
      <c r="I13" s="446"/>
      <c r="J13" s="446"/>
      <c r="K13" s="447"/>
    </row>
    <row r="14" spans="1:41" s="2099" customFormat="1" ht="13.5" customHeight="1">
      <c r="A14" s="1617" t="s">
        <v>1849</v>
      </c>
      <c r="B14" s="448" t="s">
        <v>480</v>
      </c>
      <c r="C14" s="53">
        <f ca="1">ROUND(C13*F14,0)</f>
        <v>887</v>
      </c>
      <c r="D14" s="450"/>
      <c r="E14" s="364"/>
      <c r="F14" s="452">
        <f>'数据-取费表'!B33</f>
        <v>0.03</v>
      </c>
      <c r="G14" s="443" t="s">
        <v>502</v>
      </c>
      <c r="H14" s="446"/>
      <c r="I14" s="446"/>
      <c r="J14" s="446"/>
      <c r="K14" s="447"/>
    </row>
    <row r="15" spans="1:41" s="2099" customFormat="1" ht="13.5" customHeight="1">
      <c r="A15" s="1617" t="s">
        <v>1850</v>
      </c>
      <c r="B15" s="448" t="s">
        <v>482</v>
      </c>
      <c r="C15" s="53">
        <f ca="1">ROUND(IF(B1="",SUMIF('数据-取费表'!C:C,"住宅",'数据-取费表'!M:M)*F15,IF(INDIRECT("'数据-取费表'!c"&amp;$K$1)="住宅",INDIRECT("'数据-取费表'!M"&amp;$K$1)*F15,0)),0)</f>
        <v>1130</v>
      </c>
      <c r="D15" s="450"/>
      <c r="E15" s="364"/>
      <c r="F15" s="452">
        <f>'数据-取费表'!B34</f>
        <v>0.05</v>
      </c>
      <c r="G15" s="443" t="s">
        <v>502</v>
      </c>
      <c r="H15" s="446"/>
      <c r="I15" s="446"/>
      <c r="J15" s="446"/>
      <c r="K15" s="447"/>
    </row>
    <row r="16" spans="1:41" s="2100" customFormat="1" ht="13.5" customHeight="1">
      <c r="A16" s="1617" t="s">
        <v>1851</v>
      </c>
      <c r="B16" s="448" t="s">
        <v>484</v>
      </c>
      <c r="C16" s="53">
        <f ca="1">ROUND(D16*E16/10000,0)</f>
        <v>2814</v>
      </c>
      <c r="D16" s="450">
        <f ca="1">IF(B1="",'数据-汇总表'!E3,INDIRECT("'数据-取费表'!K"&amp;$K$1)+INDIRECT("'数据-取费表'!S"&amp;$K$1))</f>
        <v>140701.99</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7" t="s">
        <v>1852</v>
      </c>
      <c r="B17" s="448" t="s">
        <v>485</v>
      </c>
      <c r="C17" s="453">
        <f ca="1">ROUND(C13*F17,0)</f>
        <v>443</v>
      </c>
      <c r="D17" s="454"/>
      <c r="E17" s="453"/>
      <c r="F17" s="455">
        <f>'数据-取费表'!B36</f>
        <v>1.4999999999999999E-2</v>
      </c>
      <c r="G17" s="443" t="s">
        <v>502</v>
      </c>
      <c r="H17" s="456"/>
      <c r="I17" s="456"/>
      <c r="J17" s="456"/>
      <c r="K17" s="457"/>
    </row>
    <row r="18" spans="1:14" s="2102" customFormat="1" ht="13.5" customHeight="1">
      <c r="A18" s="1618" t="s">
        <v>1853</v>
      </c>
      <c r="B18" s="458" t="s">
        <v>487</v>
      </c>
      <c r="C18" s="459">
        <f ca="1">SUM(C13:C17)</f>
        <v>34838</v>
      </c>
      <c r="D18" s="460"/>
      <c r="E18" s="461"/>
      <c r="F18" s="461"/>
      <c r="G18" s="1321" t="s">
        <v>2430</v>
      </c>
      <c r="H18" s="446"/>
      <c r="I18" s="446"/>
      <c r="J18" s="446"/>
      <c r="K18" s="447"/>
    </row>
    <row r="19" spans="1:14" s="2102" customFormat="1" ht="13.5" customHeight="1">
      <c r="A19" s="1618" t="s">
        <v>1854</v>
      </c>
      <c r="B19" s="458" t="s">
        <v>493</v>
      </c>
      <c r="C19" s="459">
        <f ca="1">ROUND(C18*F19,0)</f>
        <v>697</v>
      </c>
      <c r="D19" s="461"/>
      <c r="E19" s="461"/>
      <c r="F19" s="465">
        <f>'数据-取费表'!B37</f>
        <v>0.02</v>
      </c>
      <c r="G19" s="443" t="s">
        <v>503</v>
      </c>
      <c r="H19" s="446"/>
      <c r="I19" s="446"/>
      <c r="J19" s="446"/>
      <c r="K19" s="447"/>
      <c r="L19" s="2104"/>
      <c r="M19" s="2104"/>
      <c r="N19" s="2104"/>
    </row>
    <row r="20" spans="1:14" s="2102" customFormat="1" ht="13.5" customHeight="1">
      <c r="A20" s="1618" t="s">
        <v>1855</v>
      </c>
      <c r="B20" s="458" t="s">
        <v>504</v>
      </c>
      <c r="C20" s="2979">
        <f>F20</f>
        <v>1.4999999999999999E-2</v>
      </c>
      <c r="D20" s="468" t="s">
        <v>505</v>
      </c>
      <c r="E20" s="468"/>
      <c r="F20" s="485">
        <f>'数据-取费表'!B38</f>
        <v>1.4999999999999999E-2</v>
      </c>
      <c r="G20" s="1321" t="s">
        <v>506</v>
      </c>
      <c r="H20" s="446"/>
      <c r="I20" s="446"/>
      <c r="J20" s="446"/>
      <c r="K20" s="447"/>
      <c r="L20" s="2104"/>
      <c r="M20" s="2104"/>
      <c r="N20" s="2104"/>
    </row>
    <row r="21" spans="1:14" s="2104" customFormat="1" ht="13.5" customHeight="1">
      <c r="A21" s="1618" t="s">
        <v>1858</v>
      </c>
      <c r="B21" s="460" t="s">
        <v>494</v>
      </c>
      <c r="C21" s="469">
        <f ca="1">C22</f>
        <v>1688</v>
      </c>
      <c r="D21" s="466">
        <f ca="1">C23</f>
        <v>6.9999999999999999E-4</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2452</v>
      </c>
    </row>
    <row r="22" spans="1:14" s="2103" customFormat="1" ht="13.5" customHeight="1">
      <c r="A22" s="1617" t="s">
        <v>1848</v>
      </c>
      <c r="B22" s="1322" t="s">
        <v>2433</v>
      </c>
      <c r="C22" s="486">
        <f ca="1">ROUND(IF('数据-取费表'!B22&lt;=1,(C18+C19)*F21*'数据-取费表'!B20/2,(C18+C19)*(POWER((1+F21),'数据-取费表'!B20/2)-1)),0)</f>
        <v>1688</v>
      </c>
      <c r="D22" s="471"/>
      <c r="E22" s="472"/>
      <c r="F22" s="473"/>
      <c r="G22" s="2529" t="str">
        <f>IF('数据-取费表'!B22&lt;=1,"((1)+(2))×年利率×建设期÷2","((1)+(2))×((1+年利率)^(建设期÷2)-1)")</f>
        <v>((1)+(2))×((1+年利率)^(建设期÷2)-1)</v>
      </c>
      <c r="H22" s="456"/>
      <c r="I22" s="456"/>
      <c r="J22" s="456"/>
      <c r="K22" s="457"/>
    </row>
    <row r="23" spans="1:14" s="2103" customFormat="1" ht="13.5" customHeight="1">
      <c r="A23" s="1617" t="s">
        <v>1849</v>
      </c>
      <c r="B23" s="1322" t="s">
        <v>508</v>
      </c>
      <c r="C23" s="487">
        <f ca="1">ROUND(IF('数据-取费表'!B22&lt;=1,F20*F21*'数据-取费表'!B20/2,F20*(POWER((1+F21),'数据-取费表'!B20/2)-1)),4)</f>
        <v>6.9999999999999999E-4</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8" t="s">
        <v>1859</v>
      </c>
      <c r="B24" s="2981" t="s">
        <v>2829</v>
      </c>
      <c r="C24" s="477">
        <f ca="1">C25</f>
        <v>3198</v>
      </c>
      <c r="D24" s="488">
        <f ca="1">C26</f>
        <v>1.4E-3</v>
      </c>
      <c r="E24" s="468" t="s">
        <v>507</v>
      </c>
      <c r="F24" s="478">
        <f ca="1">IF(B1="",'数据-取费表'!Q16,INDIRECT("'数据-取费表'!q"&amp;$K$1))</f>
        <v>0.09</v>
      </c>
      <c r="G24" s="443"/>
      <c r="H24" s="446"/>
      <c r="I24" s="446"/>
      <c r="J24" s="446"/>
      <c r="K24" s="447"/>
    </row>
    <row r="25" spans="1:14" s="2103" customFormat="1" ht="13.5" customHeight="1">
      <c r="A25" s="1617" t="s">
        <v>1848</v>
      </c>
      <c r="B25" s="1322" t="s">
        <v>2434</v>
      </c>
      <c r="C25" s="489">
        <f ca="1">ROUND((C18+C19)*F24,0)</f>
        <v>3198</v>
      </c>
      <c r="D25" s="471"/>
      <c r="E25" s="472"/>
      <c r="F25" s="479"/>
      <c r="G25" s="1320" t="s">
        <v>2431</v>
      </c>
      <c r="H25" s="456"/>
      <c r="I25" s="456"/>
      <c r="J25" s="456"/>
      <c r="K25" s="457"/>
    </row>
    <row r="26" spans="1:14" s="2103" customFormat="1" ht="13.5" customHeight="1">
      <c r="A26" s="1617" t="s">
        <v>1849</v>
      </c>
      <c r="B26" s="1322" t="s">
        <v>509</v>
      </c>
      <c r="C26" s="490">
        <f ca="1">ROUND(F20*F24,4)</f>
        <v>1.4E-3</v>
      </c>
      <c r="D26" s="471"/>
      <c r="E26" s="480"/>
      <c r="F26" s="479"/>
      <c r="G26" s="1320" t="s">
        <v>510</v>
      </c>
      <c r="H26" s="456"/>
      <c r="I26" s="456"/>
      <c r="J26" s="456"/>
      <c r="K26" s="457"/>
    </row>
    <row r="27" spans="1:14" s="2103" customFormat="1" ht="13.5" customHeight="1">
      <c r="A27" s="1621" t="s">
        <v>1867</v>
      </c>
      <c r="B27" s="458" t="s">
        <v>511</v>
      </c>
      <c r="C27" s="2980">
        <f>ROUND(F27/(1+'数据-取费表'!C42),4)</f>
        <v>5.33E-2</v>
      </c>
      <c r="D27" s="461" t="s">
        <v>2827</v>
      </c>
      <c r="E27" s="461"/>
      <c r="F27" s="465">
        <f>'数据-取费表'!B41</f>
        <v>5.6000000000000001E-2</v>
      </c>
      <c r="G27" s="1943" t="s">
        <v>2290</v>
      </c>
      <c r="H27" s="446"/>
      <c r="I27" s="446"/>
      <c r="J27" s="446"/>
      <c r="K27" s="447"/>
    </row>
    <row r="28" spans="1:14" s="2104" customFormat="1" ht="13.5" customHeight="1">
      <c r="A28" s="1621" t="s">
        <v>1868</v>
      </c>
      <c r="B28" s="475" t="s">
        <v>512</v>
      </c>
      <c r="C28" s="469">
        <f ca="1">ROUND((C18+C19+C21+C24)/(1-C20-D21-D24-C27),0)</f>
        <v>43482</v>
      </c>
      <c r="D28" s="476"/>
      <c r="E28" s="468"/>
      <c r="F28" s="470"/>
      <c r="G28" s="1321" t="s">
        <v>2432</v>
      </c>
      <c r="H28" s="446"/>
      <c r="I28" s="446"/>
      <c r="J28" s="446"/>
      <c r="K28" s="447"/>
    </row>
    <row r="29" spans="1:14" s="2104" customFormat="1" ht="13.5" customHeight="1">
      <c r="A29" s="1621"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3" sqref="J33"/>
    </sheetView>
  </sheetViews>
  <sheetFormatPr defaultRowHeight="13.5"/>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7" t="s">
        <v>2037</v>
      </c>
      <c r="B1" s="3267"/>
      <c r="C1" s="3267"/>
      <c r="D1" s="3267"/>
      <c r="E1" s="3267"/>
      <c r="F1" s="3267"/>
      <c r="G1" s="3267"/>
      <c r="H1" s="3267"/>
      <c r="I1" s="3267"/>
      <c r="J1" s="3267"/>
      <c r="K1" s="3267"/>
      <c r="L1" s="3267"/>
      <c r="M1" s="3267"/>
      <c r="N1" s="3267"/>
      <c r="O1" s="3267"/>
      <c r="P1" s="3267"/>
      <c r="Q1" s="3267"/>
      <c r="R1" s="3267"/>
    </row>
    <row r="2" spans="1:18">
      <c r="A2" s="1790" t="s">
        <v>2039</v>
      </c>
      <c r="B2" s="1790"/>
      <c r="C2" s="1790"/>
      <c r="D2" s="1790"/>
      <c r="E2" s="1790"/>
      <c r="F2" s="1790"/>
      <c r="G2" s="1790"/>
      <c r="H2" s="1790"/>
      <c r="I2" s="1791"/>
      <c r="J2" s="1791"/>
      <c r="K2" s="1792" t="str">
        <f>"估价期日："&amp;TEXT(项目基本情况!D3,"yyyy年m月d日;;")</f>
        <v>估价期日：2019年10月25日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68" t="s">
        <v>2028</v>
      </c>
      <c r="B3" s="3268" t="s">
        <v>2728</v>
      </c>
      <c r="C3" s="3269" t="s">
        <v>2029</v>
      </c>
      <c r="D3" s="3268" t="s">
        <v>2732</v>
      </c>
      <c r="E3" s="3263" t="s">
        <v>2030</v>
      </c>
      <c r="F3" s="3263"/>
      <c r="G3" s="3263"/>
      <c r="H3" s="3263" t="s">
        <v>2031</v>
      </c>
      <c r="I3" s="3263"/>
      <c r="J3" s="3263"/>
      <c r="K3" s="3269" t="s">
        <v>2032</v>
      </c>
      <c r="L3" s="3269" t="s">
        <v>2033</v>
      </c>
      <c r="M3" s="3268" t="s">
        <v>2729</v>
      </c>
      <c r="N3" s="3270" t="str">
        <f>"（分摊）"&amp;项目基本情况!B16&amp;"国有建设用地使用权面积/㎡"</f>
        <v>（分摊）出让国有建设用地使用权面积/㎡</v>
      </c>
      <c r="O3" s="3268" t="s">
        <v>2062</v>
      </c>
      <c r="P3" s="3269" t="s">
        <v>2042</v>
      </c>
      <c r="Q3" s="3269" t="s">
        <v>2063</v>
      </c>
      <c r="R3" s="3269" t="s">
        <v>2034</v>
      </c>
    </row>
    <row r="4" spans="1:18" ht="36.75" customHeight="1">
      <c r="A4" s="3268"/>
      <c r="B4" s="3268"/>
      <c r="C4" s="3269"/>
      <c r="D4" s="3268"/>
      <c r="E4" s="2611" t="s">
        <v>2041</v>
      </c>
      <c r="F4" s="2611" t="s">
        <v>2741</v>
      </c>
      <c r="G4" s="2611" t="s">
        <v>2035</v>
      </c>
      <c r="H4" s="2611" t="s">
        <v>2036</v>
      </c>
      <c r="I4" s="2611" t="s">
        <v>2742</v>
      </c>
      <c r="J4" s="2611" t="s">
        <v>2035</v>
      </c>
      <c r="K4" s="3269"/>
      <c r="L4" s="3269"/>
      <c r="M4" s="3268"/>
      <c r="N4" s="3270"/>
      <c r="O4" s="3268"/>
      <c r="P4" s="3269"/>
      <c r="Q4" s="3269"/>
      <c r="R4" s="3269"/>
    </row>
    <row r="5" spans="1:18" ht="135" customHeight="1">
      <c r="A5" s="1926" t="s">
        <v>2652</v>
      </c>
      <c r="B5" s="2820" t="s">
        <v>2650</v>
      </c>
      <c r="C5" s="2610">
        <v>22</v>
      </c>
      <c r="D5" s="2609" t="s">
        <v>2651</v>
      </c>
      <c r="E5" s="1793" t="str">
        <f>项目基本情况!B12</f>
        <v>城镇住宅用地</v>
      </c>
      <c r="F5" s="2609">
        <v>258</v>
      </c>
      <c r="G5" s="1793" t="str">
        <f>项目基本情况!B13</f>
        <v>住宅、商业及地下车库</v>
      </c>
      <c r="H5" s="2609">
        <v>1.5</v>
      </c>
      <c r="I5" s="2609">
        <v>1.5</v>
      </c>
      <c r="J5" s="2609">
        <v>1.5</v>
      </c>
      <c r="K5" s="1793" t="str">
        <f>"红线外"&amp;项目基本情况!T40&amp;"、宗地红线内"&amp;项目基本情况!B35</f>
        <v>红线外六通、宗地红线内宗地内已开工建设</v>
      </c>
      <c r="L5" s="1793" t="str">
        <f>"红线外"&amp;项目基本情况!T40&amp;"、宗地红线内场地"&amp;项目基本情况!D36</f>
        <v>红线外六通、宗地红线内场地平整</v>
      </c>
      <c r="M5" s="1793">
        <f>IF(项目基本情况!B16="出让",项目基本情况!D20,"——")</f>
        <v>0</v>
      </c>
      <c r="N5" s="1793">
        <f>项目基本情况!C22</f>
        <v>36905.32</v>
      </c>
      <c r="O5" s="1793">
        <f>项目基本情况!C21</f>
        <v>140701.99</v>
      </c>
      <c r="P5" s="1793">
        <f ca="1">结果表!E42</f>
        <v>9778</v>
      </c>
      <c r="Q5" s="1793">
        <f ca="1">结果表!D42</f>
        <v>2565</v>
      </c>
      <c r="R5" s="1794">
        <f ca="1">结果表!C42</f>
        <v>36085</v>
      </c>
    </row>
    <row r="6" spans="1:18">
      <c r="A6" s="3264" t="str">
        <f>IF(项目基本情况!B9="市场价格","——","抵押价格")</f>
        <v>抵押价格</v>
      </c>
      <c r="B6" s="3265"/>
      <c r="C6" s="3265"/>
      <c r="D6" s="3265"/>
      <c r="E6" s="3265"/>
      <c r="F6" s="3265"/>
      <c r="G6" s="3265"/>
      <c r="H6" s="3265"/>
      <c r="I6" s="3265"/>
      <c r="J6" s="3265"/>
      <c r="K6" s="3265"/>
      <c r="L6" s="3265"/>
      <c r="M6" s="3265"/>
      <c r="N6" s="3265"/>
      <c r="O6" s="3265"/>
      <c r="P6" s="3265"/>
      <c r="Q6" s="3266"/>
      <c r="R6" s="1795">
        <f ca="1">结果表!O39</f>
        <v>36085</v>
      </c>
    </row>
    <row r="7" spans="1:18">
      <c r="A7" s="3264" t="str">
        <f>IF(项目基本情况!B9="市场价格","——",IF(项目基本情况!E8="已注销及未注销","抵押担保权已注销时的抵押价格","——"))</f>
        <v>——</v>
      </c>
      <c r="B7" s="3265"/>
      <c r="C7" s="3265"/>
      <c r="D7" s="3265"/>
      <c r="E7" s="3265"/>
      <c r="F7" s="3265"/>
      <c r="G7" s="3265"/>
      <c r="H7" s="3265"/>
      <c r="I7" s="3265"/>
      <c r="J7" s="3265"/>
      <c r="K7" s="3265"/>
      <c r="L7" s="3265"/>
      <c r="M7" s="3265"/>
      <c r="N7" s="3265"/>
      <c r="O7" s="3265"/>
      <c r="P7" s="3265"/>
      <c r="Q7" s="3266"/>
      <c r="R7" s="1795" t="str">
        <f>结果表!O40</f>
        <v>——</v>
      </c>
    </row>
    <row r="8" spans="1:18">
      <c r="A8" s="3264">
        <f>IF(项目基本情况!B9="市场价格","——",项目基本情况!E9)</f>
        <v>0</v>
      </c>
      <c r="B8" s="3265"/>
      <c r="C8" s="3265"/>
      <c r="D8" s="3265"/>
      <c r="E8" s="3265"/>
      <c r="F8" s="3265"/>
      <c r="G8" s="3265"/>
      <c r="H8" s="3265"/>
      <c r="I8" s="3265"/>
      <c r="J8" s="3265"/>
      <c r="K8" s="3265"/>
      <c r="L8" s="3265"/>
      <c r="M8" s="3265"/>
      <c r="N8" s="3265"/>
      <c r="O8" s="3265"/>
      <c r="P8" s="3265"/>
      <c r="Q8" s="3266"/>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71" t="s">
        <v>2064</v>
      </c>
      <c r="B1" s="3271"/>
      <c r="C1" s="3271"/>
      <c r="D1" s="3271"/>
    </row>
    <row r="2" spans="1:4" ht="47.25" customHeight="1">
      <c r="A2" s="3275" t="str">
        <f>"1.权利限制："&amp;项目基本情况!L24&amp;"未设定租赁等其他他项权利。"</f>
        <v>1.权利限制：根据估价对象《不动产权证书》原件、，截至估价期日，估价对象抵押权未见登记。未设定租赁等其他他项权利。</v>
      </c>
      <c r="B2" s="3275"/>
      <c r="C2" s="3275"/>
      <c r="D2" s="3275"/>
    </row>
    <row r="3" spans="1:4" ht="48" customHeight="1">
      <c r="A3" s="3271" t="str">
        <f>"2.基础设施条件：估价对象实际开发程度为"&amp;'预评函-2'!K5&amp;"；本次评估设定开发程度为"&amp;'预评函-2'!L5&amp;"。"</f>
        <v>2.基础设施条件：估价对象实际开发程度为红线外六通、宗地红线内宗地内已开工建设；本次评估设定开发程度为红线外六通、宗地红线内场地平整。</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4" t="s">
        <v>2065</v>
      </c>
      <c r="B5" s="3274"/>
      <c r="C5" s="3274"/>
      <c r="D5" s="3274"/>
    </row>
    <row r="6" spans="1:4">
      <c r="A6" s="3271" t="s">
        <v>2043</v>
      </c>
      <c r="B6" s="3271"/>
      <c r="C6" s="3271"/>
      <c r="D6" s="3271"/>
    </row>
    <row r="7" spans="1:4" ht="33" customHeight="1">
      <c r="A7" s="3271" t="s">
        <v>2573</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1"/>
      <c r="C8" s="3271"/>
      <c r="D8" s="3271"/>
    </row>
    <row r="9" spans="1:4" ht="33.75" customHeight="1">
      <c r="A9" s="32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1"/>
      <c r="C9" s="3271"/>
      <c r="D9" s="3271"/>
    </row>
    <row r="10" spans="1:4">
      <c r="A10" s="3271" t="str">
        <f>IF(项目基本情况!B8="抵押","4.估价师所知悉的法定优先受偿款情况为：","——")</f>
        <v>4.估价师所知悉的法定优先受偿款情况为：</v>
      </c>
      <c r="B10" s="3271"/>
      <c r="C10" s="3271"/>
      <c r="D10" s="3271"/>
    </row>
    <row r="11" spans="1:4" ht="37.5" customHeight="1">
      <c r="A11" s="3273" t="str">
        <f>IF(项目基本情况!B8="抵押","（1）"&amp;CONCATENATE(项目基本情况!L24,项目基本情况!L25,项目基本情况!L26),"——")</f>
        <v>（1）根据估价对象《不动产权证书》原件、，截至估价期日，估价对象抵押权未见登记。</v>
      </c>
      <c r="B11" s="3273"/>
      <c r="C11" s="3273"/>
      <c r="D11" s="3273"/>
    </row>
    <row r="12" spans="1:4" ht="168" customHeight="1">
      <c r="A12" s="3274" t="s">
        <v>2067</v>
      </c>
      <c r="B12" s="3274"/>
      <c r="C12" s="3274"/>
      <c r="D12" s="3274"/>
    </row>
    <row r="13" spans="1:4">
      <c r="A13" s="3272" t="s">
        <v>2743</v>
      </c>
      <c r="B13" s="3272"/>
      <c r="C13" s="3272"/>
      <c r="D13" s="3272"/>
    </row>
    <row r="14" spans="1:4">
      <c r="A14" s="3273" t="str">
        <f>IF(项目基本情况!B8="抵押","综上，"&amp;结果表!K47,"——")</f>
        <v>综上，本次评估不存在估价师知悉的法定优先受偿款</v>
      </c>
      <c r="B14" s="3273"/>
      <c r="C14" s="3273"/>
      <c r="D14" s="3273"/>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2699</v>
      </c>
      <c r="B17" s="3271"/>
      <c r="C17" s="3271"/>
      <c r="D17" s="3271"/>
    </row>
    <row r="18" spans="1:4">
      <c r="A18" s="3271" t="s">
        <v>2691</v>
      </c>
      <c r="B18" s="3271"/>
      <c r="C18" s="3271"/>
      <c r="D18" s="3271"/>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71" t="s">
        <v>2696</v>
      </c>
      <c r="B23" s="3271"/>
      <c r="C23" s="3271"/>
      <c r="D23" s="3271"/>
    </row>
    <row r="24" spans="1:4">
      <c r="A24" s="2821" t="s">
        <v>2692</v>
      </c>
      <c r="B24" s="2821" t="s">
        <v>2697</v>
      </c>
      <c r="C24" s="2821" t="s">
        <v>2694</v>
      </c>
      <c r="D24" s="2821" t="s">
        <v>2695</v>
      </c>
    </row>
    <row r="25" spans="1:4">
      <c r="A25" s="2824" t="s">
        <v>2698</v>
      </c>
      <c r="B25" s="2821" t="s">
        <v>952</v>
      </c>
      <c r="C25" s="2823"/>
      <c r="D25" s="1783" t="s">
        <v>2701</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83" t="s">
        <v>53</v>
      </c>
      <c r="B15" s="3284" t="s">
        <v>846</v>
      </c>
      <c r="C15" s="3280"/>
    </row>
    <row r="16" spans="1:7" ht="14.25">
      <c r="A16" s="3283"/>
      <c r="B16" s="3281" t="s">
        <v>54</v>
      </c>
      <c r="C16" s="1166" t="s">
        <v>53</v>
      </c>
    </row>
    <row r="17" spans="1:3" ht="14.25">
      <c r="A17" s="3283"/>
      <c r="B17" s="3281"/>
      <c r="C17" s="1166" t="s">
        <v>55</v>
      </c>
    </row>
    <row r="18" spans="1:3" ht="14.25">
      <c r="A18" s="3283"/>
      <c r="B18" s="3281"/>
      <c r="C18" s="1166" t="s">
        <v>56</v>
      </c>
    </row>
    <row r="19" spans="1:3" ht="14.25">
      <c r="A19" s="3283"/>
      <c r="B19" s="3279" t="s">
        <v>57</v>
      </c>
      <c r="C19" s="3280"/>
    </row>
    <row r="20" spans="1:3" ht="14.25">
      <c r="A20" s="1167" t="s">
        <v>58</v>
      </c>
      <c r="B20" s="1168"/>
      <c r="C20" s="1169"/>
    </row>
    <row r="21" spans="1:3" ht="14.25">
      <c r="A21" s="3282" t="s">
        <v>59</v>
      </c>
      <c r="B21" s="3279" t="s">
        <v>60</v>
      </c>
      <c r="C21" s="3280"/>
    </row>
    <row r="22" spans="1:3" ht="14.25">
      <c r="A22" s="3282"/>
      <c r="B22" s="3279" t="s">
        <v>61</v>
      </c>
      <c r="C22" s="3280"/>
    </row>
    <row r="23" spans="1:3" ht="14.25">
      <c r="A23" s="3282"/>
      <c r="B23" s="3279" t="s">
        <v>62</v>
      </c>
      <c r="C23" s="3280"/>
    </row>
    <row r="24" spans="1:3" ht="14.25">
      <c r="A24" s="3282"/>
      <c r="B24" s="3285" t="s">
        <v>63</v>
      </c>
      <c r="C24" s="1170" t="s">
        <v>837</v>
      </c>
    </row>
    <row r="25" spans="1:3" ht="14.25">
      <c r="A25" s="3282"/>
      <c r="B25" s="3286"/>
      <c r="C25" s="1170" t="s">
        <v>838</v>
      </c>
    </row>
    <row r="26" spans="1:3" ht="14.25">
      <c r="A26" s="3282"/>
      <c r="B26" s="3286"/>
      <c r="C26" s="1170" t="s">
        <v>839</v>
      </c>
    </row>
    <row r="27" spans="1:3" ht="14.25">
      <c r="A27" s="3282"/>
      <c r="B27" s="3286"/>
      <c r="C27" s="1170" t="s">
        <v>840</v>
      </c>
    </row>
    <row r="28" spans="1:3" ht="14.25">
      <c r="A28" s="3282"/>
      <c r="B28" s="3286"/>
      <c r="C28" s="1170" t="s">
        <v>841</v>
      </c>
    </row>
    <row r="29" spans="1:3" ht="14.25">
      <c r="A29" s="3282"/>
      <c r="B29" s="3286"/>
      <c r="C29" s="1170" t="s">
        <v>842</v>
      </c>
    </row>
    <row r="30" spans="1:3" ht="14.25">
      <c r="A30" s="3282"/>
      <c r="B30" s="3286"/>
      <c r="C30" s="1170" t="s">
        <v>843</v>
      </c>
    </row>
    <row r="31" spans="1:3" ht="14.25">
      <c r="A31" s="3282"/>
      <c r="B31" s="3286"/>
      <c r="C31" s="1170" t="s">
        <v>844</v>
      </c>
    </row>
    <row r="32" spans="1:3" ht="14.25">
      <c r="A32" s="3282"/>
      <c r="B32" s="3286"/>
      <c r="C32" s="1170" t="s">
        <v>1646</v>
      </c>
    </row>
    <row r="33" spans="1:3" ht="14.25">
      <c r="A33" s="3282"/>
      <c r="B33" s="3276" t="s">
        <v>1652</v>
      </c>
      <c r="C33" s="1170" t="s">
        <v>1647</v>
      </c>
    </row>
    <row r="34" spans="1:3" ht="14.25">
      <c r="A34" s="3282"/>
      <c r="B34" s="3277"/>
      <c r="C34" s="1175" t="s">
        <v>1648</v>
      </c>
    </row>
    <row r="35" spans="1:3" ht="14.25">
      <c r="A35" s="3282"/>
      <c r="B35" s="3277"/>
      <c r="C35" s="1176" t="s">
        <v>1649</v>
      </c>
    </row>
    <row r="36" spans="1:3" ht="14.25">
      <c r="A36" s="3282"/>
      <c r="B36" s="3277"/>
      <c r="C36" s="1176" t="s">
        <v>1650</v>
      </c>
    </row>
    <row r="37" spans="1:3" ht="14.25">
      <c r="A37" s="3282"/>
      <c r="B37" s="3278"/>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6" customWidth="1"/>
    <col min="2" max="5" width="22.625" style="3126"/>
    <col min="6" max="6" width="25.625" style="3126" customWidth="1"/>
    <col min="7" max="16384" width="22.625" style="3126"/>
  </cols>
  <sheetData>
    <row r="2" spans="1:6" ht="20.25" customHeight="1">
      <c r="A2" s="3123" t="s">
        <v>1907</v>
      </c>
      <c r="B2" s="3124">
        <f ca="1">TODAY()</f>
        <v>43767</v>
      </c>
      <c r="C2" s="3125" t="s">
        <v>1908</v>
      </c>
      <c r="D2" s="3125"/>
    </row>
    <row r="3" spans="1:6" ht="20.25" customHeight="1">
      <c r="A3" s="3127" t="s">
        <v>1909</v>
      </c>
      <c r="B3" s="3128" t="s">
        <v>1910</v>
      </c>
      <c r="C3" s="3128" t="s">
        <v>1911</v>
      </c>
      <c r="D3" s="3129" t="s">
        <v>1912</v>
      </c>
      <c r="E3" s="3128" t="s">
        <v>1913</v>
      </c>
      <c r="F3" s="3128" t="s">
        <v>1911</v>
      </c>
    </row>
    <row r="4" spans="1:6" ht="20.25" customHeight="1">
      <c r="A4" s="3128" t="s">
        <v>1914</v>
      </c>
      <c r="B4" s="3128">
        <f ca="1">IF(C4&lt;B2,"已过期",1119970066)</f>
        <v>1119970066</v>
      </c>
      <c r="C4" s="3130">
        <v>43849</v>
      </c>
      <c r="D4" s="3128" t="s">
        <v>1914</v>
      </c>
      <c r="E4" s="3128">
        <f ca="1">IF(F4&lt;B2,"已过期",96010014)</f>
        <v>96010014</v>
      </c>
      <c r="F4" s="3131">
        <v>47118</v>
      </c>
    </row>
    <row r="5" spans="1:6" ht="20.25" customHeight="1">
      <c r="A5" s="3128" t="s">
        <v>1915</v>
      </c>
      <c r="B5" s="3128">
        <f ca="1">IF(C5&lt;B2,"已过期",1119970074)</f>
        <v>1119970074</v>
      </c>
      <c r="C5" s="3130">
        <v>43849</v>
      </c>
      <c r="D5" s="3128" t="s">
        <v>1915</v>
      </c>
      <c r="E5" s="3128">
        <f ca="1">IF(F5&lt;B2,"已过期",2002110027)</f>
        <v>2002110027</v>
      </c>
      <c r="F5" s="3131">
        <v>46752</v>
      </c>
    </row>
    <row r="6" spans="1:6" ht="20.25" customHeight="1">
      <c r="A6" s="3128" t="s">
        <v>1916</v>
      </c>
      <c r="B6" s="3128">
        <f ca="1">IF(C6&lt;B2,"已过期",1119970111)</f>
        <v>1119970111</v>
      </c>
      <c r="C6" s="3130">
        <v>43849</v>
      </c>
      <c r="D6" s="3128" t="s">
        <v>1916</v>
      </c>
      <c r="E6" s="3128">
        <f ca="1">IF(F6&lt;B2,"已过期",94010078)</f>
        <v>94010078</v>
      </c>
      <c r="F6" s="3131">
        <v>46387</v>
      </c>
    </row>
    <row r="7" spans="1:6" ht="20.25" customHeight="1">
      <c r="A7" s="3128" t="s">
        <v>1917</v>
      </c>
      <c r="B7" s="3128">
        <f ca="1">IF(C7&lt;B2,"已过期",1120050019)</f>
        <v>1120050019</v>
      </c>
      <c r="C7" s="3130">
        <v>44395</v>
      </c>
      <c r="D7" s="3128" t="s">
        <v>1917</v>
      </c>
      <c r="E7" s="3128">
        <f ca="1">IF(F7&lt;B2,"已过期",2002110030)</f>
        <v>2002110030</v>
      </c>
      <c r="F7" s="3131">
        <v>46387</v>
      </c>
    </row>
    <row r="8" spans="1:6" ht="20.25" customHeight="1">
      <c r="A8" s="3128" t="s">
        <v>1918</v>
      </c>
      <c r="B8" s="3128">
        <f ca="1">IF(C8&lt;B2,"已过期",1120000080)</f>
        <v>1120000080</v>
      </c>
      <c r="C8" s="3130">
        <v>43849</v>
      </c>
      <c r="D8" s="3128" t="s">
        <v>1918</v>
      </c>
      <c r="E8" s="3128">
        <f ca="1">IF(F8&lt;B2,"已过期",2000110082)</f>
        <v>2000110082</v>
      </c>
      <c r="F8" s="3131">
        <v>46387</v>
      </c>
    </row>
    <row r="9" spans="1:6" ht="20.25" customHeight="1">
      <c r="A9" s="3128" t="s">
        <v>1919</v>
      </c>
      <c r="B9" s="3128">
        <f ca="1">IF(C9&lt;B2,"已过期",1419970001)</f>
        <v>1419970001</v>
      </c>
      <c r="C9" s="3130">
        <v>43867</v>
      </c>
      <c r="D9" s="3128" t="s">
        <v>1919</v>
      </c>
      <c r="E9" s="3128">
        <f ca="1">IF(F9&lt;B2,"已过期",2002110125)</f>
        <v>2002110125</v>
      </c>
      <c r="F9" s="3131">
        <v>47118</v>
      </c>
    </row>
    <row r="10" spans="1:6" ht="20.25" customHeight="1">
      <c r="A10" s="3128" t="s">
        <v>1920</v>
      </c>
      <c r="B10" s="3128">
        <f ca="1">IF(C10&lt;B2,"已过期",1120060040)</f>
        <v>1120060040</v>
      </c>
      <c r="C10" s="3130">
        <v>44554</v>
      </c>
      <c r="D10" s="3128" t="s">
        <v>1920</v>
      </c>
      <c r="E10" s="3128">
        <f ca="1">IF(F10&lt;B2,"已过期",2004110096)</f>
        <v>2004110096</v>
      </c>
      <c r="F10" s="3131">
        <v>47118</v>
      </c>
    </row>
    <row r="11" spans="1:6" ht="20.25" customHeight="1">
      <c r="A11" s="3128" t="s">
        <v>1921</v>
      </c>
      <c r="B11" s="3128">
        <f ca="1">IF(C11&lt;B2,"已过期",1120100036)</f>
        <v>1120100036</v>
      </c>
      <c r="C11" s="3130">
        <v>44675</v>
      </c>
      <c r="D11" s="3128" t="s">
        <v>1921</v>
      </c>
      <c r="E11" s="3128">
        <f ca="1">IF(F11&lt;B2,"已过期",2010110070)</f>
        <v>2010110070</v>
      </c>
      <c r="F11" s="3131">
        <v>47907</v>
      </c>
    </row>
    <row r="12" spans="1:6" ht="20.25" customHeight="1">
      <c r="A12" s="3128"/>
      <c r="B12" s="3128"/>
      <c r="C12" s="3130"/>
      <c r="D12" s="3128"/>
      <c r="E12" s="3128"/>
      <c r="F12" s="3131"/>
    </row>
    <row r="13" spans="1:6" ht="20.25" customHeight="1">
      <c r="A13" s="3128" t="s">
        <v>1922</v>
      </c>
      <c r="B13" s="3128">
        <f ca="1">IF(C13&lt;B2,"已过期",1120070131)</f>
        <v>1120070131</v>
      </c>
      <c r="C13" s="3130">
        <v>43814</v>
      </c>
      <c r="D13" s="3128" t="s">
        <v>1922</v>
      </c>
      <c r="E13" s="3128">
        <f ca="1">IF(F13&lt;B2,"已过期",2014110011)</f>
        <v>2014110011</v>
      </c>
      <c r="F13" s="3131">
        <v>49302</v>
      </c>
    </row>
    <row r="14" spans="1:6" ht="20.25" customHeight="1">
      <c r="A14" s="3128" t="s">
        <v>2977</v>
      </c>
      <c r="B14" s="3128">
        <f ca="1">IF(C14&lt;B2,"已过期",1120040230)</f>
        <v>1120040230</v>
      </c>
      <c r="C14" s="3132">
        <v>43835</v>
      </c>
      <c r="D14" s="3133" t="s">
        <v>2978</v>
      </c>
      <c r="E14" s="3128">
        <f ca="1">IF(F14&lt;B2,"已过期",98030020)</f>
        <v>98030020</v>
      </c>
      <c r="F14" s="3131">
        <v>47118</v>
      </c>
    </row>
    <row r="15" spans="1:6" ht="20.25" customHeight="1">
      <c r="A15" s="3128" t="s">
        <v>2572</v>
      </c>
      <c r="B15" s="3128">
        <f ca="1">IF(C15&lt;B2,"已过期",1120070085)</f>
        <v>1120070085</v>
      </c>
      <c r="C15" s="3132">
        <v>43814</v>
      </c>
      <c r="D15" s="3128" t="s">
        <v>2979</v>
      </c>
      <c r="E15" s="3128">
        <f ca="1">IF(F15&lt;B2,"已过期",2004110128)</f>
        <v>2004110128</v>
      </c>
      <c r="F15" s="3134">
        <v>47118</v>
      </c>
    </row>
    <row r="16" spans="1:6" ht="20.25" customHeight="1">
      <c r="A16" s="3128" t="s">
        <v>1923</v>
      </c>
      <c r="B16" s="3128">
        <f ca="1">IF(C16&lt;B2,"已过期",1120140022)</f>
        <v>1120140022</v>
      </c>
      <c r="C16" s="3130">
        <v>44029</v>
      </c>
      <c r="D16" s="3128" t="s">
        <v>2980</v>
      </c>
      <c r="E16" s="3128">
        <f ca="1">IF(F16&lt;B2,"已过期",2008110059)</f>
        <v>2008110059</v>
      </c>
      <c r="F16" s="3131">
        <v>47177</v>
      </c>
    </row>
    <row r="17" spans="1:7" ht="20.25" customHeight="1">
      <c r="A17" s="3128"/>
      <c r="B17" s="3128"/>
      <c r="C17" s="3130"/>
      <c r="D17" s="3133" t="s">
        <v>2981</v>
      </c>
      <c r="E17" s="3128">
        <f ca="1">IF(F17&lt;B2,"已过期",2014110076)</f>
        <v>2014110076</v>
      </c>
      <c r="F17" s="3131">
        <v>49302</v>
      </c>
    </row>
    <row r="18" spans="1:7" ht="20.25" customHeight="1">
      <c r="A18" s="3128"/>
      <c r="B18" s="3128"/>
      <c r="C18" s="3130"/>
      <c r="D18" s="3128"/>
      <c r="E18" s="3128"/>
      <c r="F18" s="3131"/>
    </row>
    <row r="19" spans="1:7" ht="20.25" customHeight="1">
      <c r="A19" s="3128"/>
      <c r="B19" s="3128"/>
      <c r="C19" s="3130"/>
      <c r="D19" s="3128"/>
      <c r="E19" s="3128"/>
      <c r="F19" s="3128"/>
    </row>
    <row r="20" spans="1:7" ht="20.25" customHeight="1">
      <c r="A20" s="3128"/>
      <c r="B20" s="3128"/>
      <c r="C20" s="3130"/>
      <c r="D20" s="3128"/>
      <c r="E20" s="3128"/>
      <c r="F20" s="3128"/>
    </row>
    <row r="21" spans="1:7" ht="20.25" customHeight="1">
      <c r="A21" s="3128"/>
      <c r="B21" s="3128"/>
      <c r="C21" s="3130"/>
      <c r="D21" s="3128" t="s">
        <v>1924</v>
      </c>
      <c r="E21" s="3128">
        <f ca="1">IF(F21&lt;B2,"已过期",2011110090)</f>
        <v>2011110090</v>
      </c>
      <c r="F21" s="3131">
        <v>48302</v>
      </c>
    </row>
    <row r="22" spans="1:7" ht="20.25" customHeight="1">
      <c r="A22" s="3128" t="s">
        <v>1925</v>
      </c>
      <c r="B22" s="3128">
        <f ca="1">IF(C22&lt;B2,"已过期",1120020033)</f>
        <v>1120020033</v>
      </c>
      <c r="C22" s="3130">
        <v>44339</v>
      </c>
      <c r="D22" s="3128" t="s">
        <v>1925</v>
      </c>
      <c r="E22" s="3128">
        <f ca="1">IF(F22&lt;B2,"已过期",2000110137)</f>
        <v>2000110137</v>
      </c>
      <c r="F22" s="3131">
        <v>46387</v>
      </c>
    </row>
    <row r="23" spans="1:7" ht="20.25" customHeight="1">
      <c r="A23" s="3128"/>
      <c r="B23" s="3128"/>
      <c r="C23" s="3130"/>
      <c r="D23" s="3128"/>
      <c r="E23" s="3128"/>
      <c r="F23" s="3128"/>
    </row>
    <row r="24" spans="1:7" s="3136" customFormat="1" ht="20.25" customHeight="1">
      <c r="A24" s="3127" t="s">
        <v>2052</v>
      </c>
      <c r="B24" s="3127" t="s">
        <v>2052</v>
      </c>
      <c r="C24" s="3130"/>
      <c r="D24" s="3135" t="s">
        <v>2052</v>
      </c>
      <c r="E24" s="3127" t="s">
        <v>2052</v>
      </c>
      <c r="F24" s="3134"/>
    </row>
    <row r="25" spans="1:7" ht="20.25" customHeight="1">
      <c r="A25" s="3287" t="s">
        <v>1926</v>
      </c>
      <c r="B25" s="3287"/>
      <c r="C25" s="3287"/>
      <c r="D25" s="3287"/>
      <c r="E25" s="3287"/>
      <c r="F25" s="3287"/>
      <c r="G25" s="3287"/>
    </row>
    <row r="26" spans="1:7" ht="20.25" customHeight="1">
      <c r="A26" s="3288" t="s">
        <v>1927</v>
      </c>
      <c r="B26" s="3288"/>
      <c r="C26" s="3288"/>
      <c r="D26" s="3288" t="s">
        <v>1928</v>
      </c>
      <c r="E26" s="3288"/>
      <c r="F26" s="3288"/>
    </row>
    <row r="27" spans="1:7" s="3123" customFormat="1" ht="20.25" customHeight="1">
      <c r="A27" s="3137" t="s">
        <v>1929</v>
      </c>
      <c r="B27" s="3138" t="s">
        <v>1930</v>
      </c>
      <c r="C27" s="3138" t="s">
        <v>1931</v>
      </c>
      <c r="D27" s="3128" t="s">
        <v>1929</v>
      </c>
      <c r="E27" s="3138" t="s">
        <v>1930</v>
      </c>
      <c r="F27" s="3138" t="s">
        <v>1931</v>
      </c>
    </row>
    <row r="28" spans="1:7" s="3123" customFormat="1" ht="20.25" customHeight="1">
      <c r="A28" s="3139" t="s">
        <v>1932</v>
      </c>
      <c r="B28" s="3139" t="s">
        <v>1933</v>
      </c>
      <c r="C28" s="3131">
        <v>43725</v>
      </c>
      <c r="D28" s="3139" t="s">
        <v>1934</v>
      </c>
      <c r="E28" s="3139" t="s">
        <v>1935</v>
      </c>
      <c r="F28" s="3140">
        <v>44377</v>
      </c>
    </row>
    <row r="29" spans="1:7" s="3123" customFormat="1" ht="20.25" customHeight="1">
      <c r="A29" s="3139"/>
      <c r="B29" s="3139"/>
      <c r="C29" s="3141"/>
      <c r="D29" s="3139" t="s">
        <v>1936</v>
      </c>
      <c r="E29" s="3139" t="s">
        <v>2989</v>
      </c>
      <c r="F29" s="3140">
        <v>43646</v>
      </c>
    </row>
    <row r="30" spans="1:7" ht="20.25" customHeight="1">
      <c r="C30" s="3142"/>
      <c r="D30" s="3142"/>
    </row>
  </sheetData>
  <sheetProtection sheet="1" objects="1" scenarios="1"/>
  <mergeCells count="3">
    <mergeCell ref="A25:G25"/>
    <mergeCell ref="A26:C26"/>
    <mergeCell ref="D26:F26"/>
  </mergeCells>
  <phoneticPr fontId="3" type="noConversion"/>
  <conditionalFormatting sqref="C24:D24">
    <cfRule type="expression" dxfId="221" priority="121">
      <formula>AND($C24-TODAY()&lt;30,TODAY()&lt;$C24)</formula>
    </cfRule>
  </conditionalFormatting>
  <conditionalFormatting sqref="C28">
    <cfRule type="expression" dxfId="220" priority="120">
      <formula>AND($C28-TODAY()&lt;30,TODAY()&lt;$C28)</formula>
    </cfRule>
  </conditionalFormatting>
  <conditionalFormatting sqref="C28 F4">
    <cfRule type="cellIs" dxfId="219" priority="122" stopIfTrue="1" operator="lessThan">
      <formula>$B$2</formula>
    </cfRule>
  </conditionalFormatting>
  <conditionalFormatting sqref="F5">
    <cfRule type="cellIs" dxfId="218" priority="118" stopIfTrue="1" operator="lessThan">
      <formula>$B$2</formula>
    </cfRule>
  </conditionalFormatting>
  <conditionalFormatting sqref="F6 F8 F10">
    <cfRule type="cellIs" dxfId="217" priority="116" stopIfTrue="1" operator="lessThan">
      <formula>$B$2</formula>
    </cfRule>
  </conditionalFormatting>
  <conditionalFormatting sqref="C24:D24">
    <cfRule type="expression" dxfId="216" priority="114">
      <formula>AND($C24-TODAY()&lt;30,TODAY()&lt;$C24)</formula>
    </cfRule>
  </conditionalFormatting>
  <conditionalFormatting sqref="F7 F9 F11 C24:D24">
    <cfRule type="cellIs" dxfId="215" priority="115" stopIfTrue="1" operator="lessThan">
      <formula>$B$2</formula>
    </cfRule>
  </conditionalFormatting>
  <conditionalFormatting sqref="F18">
    <cfRule type="cellIs" dxfId="214" priority="87" stopIfTrue="1" operator="lessThan">
      <formula>$B$2</formula>
    </cfRule>
  </conditionalFormatting>
  <conditionalFormatting sqref="F22">
    <cfRule type="cellIs" dxfId="213" priority="86" stopIfTrue="1" operator="lessThan">
      <formula>$B$2</formula>
    </cfRule>
  </conditionalFormatting>
  <conditionalFormatting sqref="F21">
    <cfRule type="cellIs" dxfId="212" priority="85" stopIfTrue="1" operator="lessThan">
      <formula>$B$2</formula>
    </cfRule>
  </conditionalFormatting>
  <conditionalFormatting sqref="B4:B11 E4:E11 E18:E23 B17:B23 B13 E13">
    <cfRule type="cellIs" dxfId="211" priority="83" stopIfTrue="1" operator="equal">
      <formula>"已过期"</formula>
    </cfRule>
  </conditionalFormatting>
  <conditionalFormatting sqref="F28">
    <cfRule type="cellIs" dxfId="210" priority="80" stopIfTrue="1" operator="lessThan">
      <formula>$B$2</formula>
    </cfRule>
  </conditionalFormatting>
  <conditionalFormatting sqref="F28">
    <cfRule type="expression" dxfId="209" priority="124">
      <formula>AND($E28-TODAY()&lt;30,TODAY()&lt;$E28)</formula>
    </cfRule>
  </conditionalFormatting>
  <conditionalFormatting sqref="C5">
    <cfRule type="expression" dxfId="208" priority="75">
      <formula>AND($C5-TODAY()&lt;30,TODAY()&lt;$C5)</formula>
    </cfRule>
  </conditionalFormatting>
  <conditionalFormatting sqref="C5">
    <cfRule type="cellIs" dxfId="207" priority="76" stopIfTrue="1" operator="lessThan">
      <formula>$B$2</formula>
    </cfRule>
  </conditionalFormatting>
  <conditionalFormatting sqref="C4:C6">
    <cfRule type="expression" dxfId="206" priority="73">
      <formula>AND($C4-TODAY()&lt;30,TODAY()&lt;$C4)</formula>
    </cfRule>
  </conditionalFormatting>
  <conditionalFormatting sqref="C4:C6">
    <cfRule type="cellIs" dxfId="205" priority="74" stopIfTrue="1" operator="lessThan">
      <formula>$B$2</formula>
    </cfRule>
  </conditionalFormatting>
  <conditionalFormatting sqref="C8:C9">
    <cfRule type="expression" dxfId="204" priority="71">
      <formula>AND($C8-TODAY()&lt;30,TODAY()&lt;$C8)</formula>
    </cfRule>
  </conditionalFormatting>
  <conditionalFormatting sqref="C8:C9">
    <cfRule type="cellIs" dxfId="203" priority="72" stopIfTrue="1" operator="lessThan">
      <formula>$B$2</formula>
    </cfRule>
  </conditionalFormatting>
  <conditionalFormatting sqref="C7">
    <cfRule type="expression" dxfId="202" priority="54">
      <formula>AND($C7-TODAY()&lt;30,TODAY()&lt;$C7)</formula>
    </cfRule>
  </conditionalFormatting>
  <conditionalFormatting sqref="C7">
    <cfRule type="cellIs" dxfId="201" priority="55" stopIfTrue="1" operator="lessThan">
      <formula>$B$2</formula>
    </cfRule>
  </conditionalFormatting>
  <conditionalFormatting sqref="C13 C23 C17:C21">
    <cfRule type="expression" dxfId="200" priority="52">
      <formula>AND($C13-TODAY()&lt;30,TODAY()&lt;$C13)</formula>
    </cfRule>
  </conditionalFormatting>
  <conditionalFormatting sqref="C13 C23 C17:C21">
    <cfRule type="cellIs" dxfId="199" priority="53" stopIfTrue="1" operator="lessThan">
      <formula>$B$2</formula>
    </cfRule>
  </conditionalFormatting>
  <conditionalFormatting sqref="F13">
    <cfRule type="cellIs" dxfId="198" priority="51" stopIfTrue="1" operator="lessThan">
      <formula>$B$2</formula>
    </cfRule>
  </conditionalFormatting>
  <conditionalFormatting sqref="F12">
    <cfRule type="cellIs" dxfId="197" priority="43" stopIfTrue="1" operator="lessThan">
      <formula>$B$2</formula>
    </cfRule>
  </conditionalFormatting>
  <conditionalFormatting sqref="B12 E12">
    <cfRule type="cellIs" dxfId="196" priority="42" stopIfTrue="1" operator="equal">
      <formula>"已过期"</formula>
    </cfRule>
  </conditionalFormatting>
  <conditionalFormatting sqref="C12">
    <cfRule type="expression" dxfId="195" priority="40">
      <formula>AND($C12-TODAY()&lt;30,TODAY()&lt;$C12)</formula>
    </cfRule>
  </conditionalFormatting>
  <conditionalFormatting sqref="C12">
    <cfRule type="cellIs" dxfId="194" priority="41"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16">
    <cfRule type="expression" dxfId="191" priority="30">
      <formula>AND($C16-TODAY()&lt;30,TODAY()&lt;$C16)</formula>
    </cfRule>
  </conditionalFormatting>
  <conditionalFormatting sqref="C16">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B16">
    <cfRule type="cellIs" dxfId="187" priority="27" stopIfTrue="1" operator="equal">
      <formula>"已过期"</formula>
    </cfRule>
  </conditionalFormatting>
  <conditionalFormatting sqref="C14:C15">
    <cfRule type="expression" dxfId="186" priority="25">
      <formula>AND($C14-TODAY()&lt;30,TODAY()&lt;$C14)</formula>
    </cfRule>
  </conditionalFormatting>
  <conditionalFormatting sqref="C14:C15">
    <cfRule type="cellIs" dxfId="185" priority="26" stopIfTrue="1" operator="lessThan">
      <formula>$B$2</formula>
    </cfRule>
  </conditionalFormatting>
  <conditionalFormatting sqref="C14">
    <cfRule type="expression" dxfId="184" priority="23">
      <formula>AND($C14-TODAY()&lt;30,TODAY()&lt;$C14)</formula>
    </cfRule>
  </conditionalFormatting>
  <conditionalFormatting sqref="C14">
    <cfRule type="cellIs" dxfId="183" priority="24" stopIfTrue="1" operator="lessThan">
      <formula>$B$2</formula>
    </cfRule>
  </conditionalFormatting>
  <conditionalFormatting sqref="C15">
    <cfRule type="expression" dxfId="182" priority="21">
      <formula>AND($C15-TODAY()&lt;30,TODAY()&lt;$C15)</formula>
    </cfRule>
  </conditionalFormatting>
  <conditionalFormatting sqref="C15">
    <cfRule type="cellIs" dxfId="181" priority="22" stopIfTrue="1" operator="lessThan">
      <formula>$B$2</formula>
    </cfRule>
  </conditionalFormatting>
  <conditionalFormatting sqref="B14">
    <cfRule type="cellIs" dxfId="180" priority="20" stopIfTrue="1" operator="equal">
      <formula>"已过期"</formula>
    </cfRule>
  </conditionalFormatting>
  <conditionalFormatting sqref="B15">
    <cfRule type="cellIs" dxfId="179" priority="19" stopIfTrue="1" operator="equal">
      <formula>"已过期"</formula>
    </cfRule>
  </conditionalFormatting>
  <conditionalFormatting sqref="A15">
    <cfRule type="cellIs" dxfId="178" priority="18" stopIfTrue="1" operator="equal">
      <formula>"已过期"</formula>
    </cfRule>
  </conditionalFormatting>
  <conditionalFormatting sqref="C15">
    <cfRule type="expression" dxfId="177" priority="17">
      <formula>AND($C15-TODAY()&lt;30,TODAY()&lt;$C15)</formula>
    </cfRule>
  </conditionalFormatting>
  <conditionalFormatting sqref="F16">
    <cfRule type="cellIs" dxfId="176" priority="16" stopIfTrue="1" operator="lessThan">
      <formula>$B$2</formula>
    </cfRule>
  </conditionalFormatting>
  <conditionalFormatting sqref="E16">
    <cfRule type="cellIs" dxfId="175" priority="15" stopIfTrue="1" operator="equal">
      <formula>"已过期"</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7">
    <cfRule type="cellIs" dxfId="172" priority="12" stopIfTrue="1" operator="lessThan">
      <formula>$B$2</formula>
    </cfRule>
  </conditionalFormatting>
  <conditionalFormatting sqref="E17">
    <cfRule type="cellIs" dxfId="171" priority="11" stopIfTrue="1" operator="equal">
      <formula>"已过期"</formula>
    </cfRule>
  </conditionalFormatting>
  <conditionalFormatting sqref="E14">
    <cfRule type="cellIs" dxfId="170" priority="10" stopIfTrue="1" operator="equal">
      <formula>"已过期"</formula>
    </cfRule>
  </conditionalFormatting>
  <conditionalFormatting sqref="F14">
    <cfRule type="cellIs" dxfId="169" priority="9" stopIfTrue="1" operator="lessThan">
      <formula>$B$2</formula>
    </cfRule>
  </conditionalFormatting>
  <conditionalFormatting sqref="C10:C11">
    <cfRule type="expression" dxfId="168" priority="5">
      <formula>AND($C10-TODAY()&lt;30,TODAY()&lt;$C10)</formula>
    </cfRule>
  </conditionalFormatting>
  <conditionalFormatting sqref="C10:C11">
    <cfRule type="cellIs" dxfId="167" priority="6" stopIfTrue="1" operator="lessThan">
      <formula>$B$2</formula>
    </cfRule>
  </conditionalFormatting>
  <conditionalFormatting sqref="F29">
    <cfRule type="cellIs" dxfId="166" priority="1" stopIfTrue="1" operator="lessThan">
      <formula>$B$2</formula>
    </cfRule>
  </conditionalFormatting>
  <conditionalFormatting sqref="F29">
    <cfRule type="expression" dxfId="165"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3" sqref="AB23"/>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2543</v>
      </c>
      <c r="R1" s="2544" t="s">
        <v>2537</v>
      </c>
      <c r="S1" s="6" t="s">
        <v>146</v>
      </c>
      <c r="T1" s="7" t="s">
        <v>147</v>
      </c>
      <c r="U1" s="6" t="s">
        <v>148</v>
      </c>
      <c r="V1" s="6" t="s">
        <v>149</v>
      </c>
      <c r="W1" s="1002"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876</v>
      </c>
    </row>
    <row r="4" spans="1:23">
      <c r="A4" s="8" t="s">
        <v>87</v>
      </c>
      <c r="B4" s="8" t="s">
        <v>152</v>
      </c>
      <c r="C4" s="1536" t="s">
        <v>1711</v>
      </c>
      <c r="D4" s="9" t="s">
        <v>1993</v>
      </c>
      <c r="E4" s="9" t="s">
        <v>88</v>
      </c>
      <c r="F4" s="9" t="s">
        <v>89</v>
      </c>
      <c r="G4" s="9">
        <v>70</v>
      </c>
      <c r="H4" s="9" t="s">
        <v>90</v>
      </c>
      <c r="I4" s="9" t="s">
        <v>91</v>
      </c>
      <c r="K4" s="9" t="s">
        <v>92</v>
      </c>
      <c r="L4" s="9" t="s">
        <v>92</v>
      </c>
      <c r="M4" s="9" t="s">
        <v>92</v>
      </c>
      <c r="N4" s="9" t="s">
        <v>92</v>
      </c>
      <c r="O4" s="9" t="s">
        <v>92</v>
      </c>
      <c r="P4" s="1004" t="s">
        <v>760</v>
      </c>
      <c r="Q4" s="9" t="s">
        <v>92</v>
      </c>
      <c r="R4" s="1004"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878</v>
      </c>
    </row>
    <row r="6" spans="1:23">
      <c r="A6" s="8" t="s">
        <v>99</v>
      </c>
      <c r="B6" s="1143" t="s">
        <v>1640</v>
      </c>
      <c r="C6" s="1538" t="s">
        <v>1713</v>
      </c>
      <c r="F6" s="9" t="s">
        <v>71</v>
      </c>
      <c r="H6" s="9" t="s">
        <v>72</v>
      </c>
      <c r="I6" s="9" t="s">
        <v>100</v>
      </c>
      <c r="K6" s="9" t="s">
        <v>101</v>
      </c>
      <c r="L6" s="9" t="s">
        <v>101</v>
      </c>
      <c r="M6" s="9" t="s">
        <v>101</v>
      </c>
      <c r="N6" s="9" t="s">
        <v>101</v>
      </c>
      <c r="O6" s="9" t="s">
        <v>101</v>
      </c>
      <c r="P6" s="1004" t="s">
        <v>881</v>
      </c>
      <c r="Q6" s="9" t="s">
        <v>101</v>
      </c>
      <c r="R6" s="1004"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1" t="s">
        <v>2951</v>
      </c>
      <c r="C18" s="1539"/>
    </row>
    <row r="19" spans="1:3">
      <c r="A19" s="8" t="s">
        <v>120</v>
      </c>
      <c r="B19" s="3061" t="s">
        <v>2959</v>
      </c>
      <c r="C19" s="1539"/>
    </row>
    <row r="20" spans="1:3">
      <c r="A20" s="8" t="s">
        <v>121</v>
      </c>
      <c r="B20" s="8" t="s">
        <v>1641</v>
      </c>
      <c r="C20" s="1539"/>
    </row>
    <row r="21" spans="1:3">
      <c r="A21" s="8" t="s">
        <v>122</v>
      </c>
      <c r="B21" s="3061" t="s">
        <v>3187</v>
      </c>
      <c r="C21" s="1539"/>
    </row>
    <row r="22" spans="1:3">
      <c r="A22" s="8" t="s">
        <v>123</v>
      </c>
      <c r="B22" s="3061" t="s">
        <v>3188</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玉溪润雅置业有限公司拟使用云南省玉溪市红塔区李棋街道新康井路以西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89"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25日，在规划利用条件下、设定土地开发程度为红线外“六通”、宗地内场地平整，设定用途为住宅、商业及地下车库，剩余土地使用年限为的出让国有建设用地使用权价格。</v>
      </c>
      <c r="D53" s="1750"/>
      <c r="E53" s="1750"/>
    </row>
    <row r="54" spans="1:5">
      <c r="A54" s="3289"/>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89"/>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89"/>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89"/>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抵押物汇总</vt:lpstr>
      <vt:lpstr>规划</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剩余法-待开发</vt:lpstr>
      <vt:lpstr>不动产比较法-住宅</vt:lpstr>
      <vt:lpstr>不动产收益法（商业）</vt:lpstr>
      <vt:lpstr>商业租金</vt:lpstr>
      <vt:lpstr>不动产收益法（车位）</vt:lpstr>
      <vt:lpstr>剩余法-现房</vt:lpstr>
      <vt:lpstr>车位租金</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2019-10-29T08:34:06Z</dcterms:modified>
</cp:coreProperties>
</file>