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05" windowWidth="11115" windowHeight="10965" tabRatio="808"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state="hidden" r:id="rId22"/>
    <sheet name="收益法"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位" sheetId="79" state="hidden" r:id="rId45"/>
    <sheet name="Sheet1" sheetId="78"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1">'收益法（汇总）'!$A$1:$F$13</definedName>
    <definedName name="_xlnm.Print_Area" localSheetId="44">'收益法-车位'!$A$1:$F$43,'收益法-车位'!$H$3:$M$29,'收益法-车位'!$A$46:$F$71,'收益法-车位'!$I$46:$N$65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AA18" i="78"/>
  <c r="R10" i="78"/>
  <c r="S10" i="78" s="1"/>
  <c r="R6" i="78"/>
  <c r="S6" i="78" s="1"/>
  <c r="W24" i="1"/>
  <c r="R8" i="78" s="1"/>
  <c r="W25" i="1"/>
  <c r="R5" i="78" s="1"/>
  <c r="S5" i="78" s="1"/>
  <c r="AC10" i="78"/>
  <c r="AB10" i="78" s="1"/>
  <c r="R7" i="78"/>
  <c r="S7" i="78" s="1"/>
  <c r="S8" i="78" l="1"/>
  <c r="R9" i="78"/>
  <c r="S9" i="78" s="1"/>
  <c r="R12" i="78"/>
  <c r="S12" i="78" s="1"/>
  <c r="AC11" i="78"/>
  <c r="AB11" i="78" s="1"/>
  <c r="AB16" i="78" s="1"/>
  <c r="AC16" i="78" s="1"/>
  <c r="AC12" i="78"/>
  <c r="AB12" i="78" s="1"/>
  <c r="R11" i="78"/>
  <c r="S11" i="78" s="1"/>
  <c r="S3" i="78" s="1"/>
  <c r="Q72" i="79" l="1"/>
  <c r="Q59" i="79"/>
  <c r="K59" i="79"/>
  <c r="P61" i="79" s="1"/>
  <c r="F59" i="79"/>
  <c r="Q58" i="79"/>
  <c r="Q51" i="79"/>
  <c r="J50" i="79"/>
  <c r="M47" i="79"/>
  <c r="D46" i="79"/>
  <c r="F33" i="79"/>
  <c r="F61" i="79" s="1"/>
  <c r="F31" i="79"/>
  <c r="F23" i="79"/>
  <c r="D24" i="79" s="1"/>
  <c r="D23" i="79"/>
  <c r="D22" i="79"/>
  <c r="F21" i="79"/>
  <c r="F20" i="79"/>
  <c r="M19" i="79"/>
  <c r="F18" i="79"/>
  <c r="M17" i="79"/>
  <c r="F17" i="79"/>
  <c r="F15" i="79"/>
  <c r="P74" i="79" l="1"/>
  <c r="N26" i="78"/>
  <c r="P26" i="78" s="1"/>
  <c r="N25" i="78"/>
  <c r="P25" i="78" s="1"/>
  <c r="N24" i="78"/>
  <c r="P24" i="78" s="1"/>
  <c r="N23" i="78"/>
  <c r="P23" i="78" s="1"/>
  <c r="N22" i="78"/>
  <c r="P22" i="78" s="1"/>
  <c r="N21" i="78"/>
  <c r="P21" i="78" s="1"/>
  <c r="P27" i="78" l="1"/>
  <c r="AE25" i="1"/>
  <c r="AE26" i="1" s="1"/>
  <c r="M13" i="3"/>
  <c r="V26" i="1" s="1"/>
  <c r="Y26" i="1" s="1"/>
  <c r="F230" i="78"/>
  <c r="O13" i="78"/>
  <c r="P12" i="78"/>
  <c r="P11" i="78"/>
  <c r="P10" i="78"/>
  <c r="P9" i="78"/>
  <c r="P8" i="78"/>
  <c r="P7" i="78"/>
  <c r="P6" i="78"/>
  <c r="P5" i="78"/>
  <c r="P13" i="78" l="1"/>
  <c r="A3" i="3" s="1"/>
  <c r="W19" i="1"/>
  <c r="V25" i="1"/>
  <c r="Y25" i="1" s="1"/>
  <c r="V24" i="1"/>
  <c r="Y24" i="1" s="1"/>
  <c r="V23" i="1"/>
  <c r="V27" i="1" s="1"/>
  <c r="Y23" i="1" l="1"/>
  <c r="Y27" i="1" s="1"/>
  <c r="W27" i="1" s="1"/>
  <c r="Y6" i="1"/>
  <c r="N30" i="1"/>
  <c r="N32" i="1" s="1"/>
  <c r="M25" i="1"/>
  <c r="K13" i="3"/>
  <c r="G19" i="6" s="1"/>
  <c r="AF25" i="1" s="1"/>
  <c r="I13" i="3"/>
  <c r="AD24" i="1" s="1"/>
  <c r="AF24" i="1" s="1"/>
  <c r="D18" i="78"/>
  <c r="D17" i="78"/>
  <c r="D16" i="78" s="1"/>
  <c r="D15" i="78"/>
  <c r="D14" i="78"/>
  <c r="D13" i="78" s="1"/>
  <c r="D12" i="78"/>
  <c r="D11" i="78"/>
  <c r="D10" i="78" s="1"/>
  <c r="D9" i="78"/>
  <c r="M23" i="1" l="1"/>
  <c r="O23" i="1" s="1"/>
  <c r="M24" i="1"/>
  <c r="O24" i="1" s="1"/>
  <c r="F19" i="6"/>
  <c r="O25" i="1"/>
  <c r="G15" i="73"/>
  <c r="F15" i="73"/>
  <c r="E15" i="73"/>
  <c r="O26" i="1" l="1"/>
  <c r="M26" i="1"/>
  <c r="G16" i="73"/>
  <c r="F16" i="73"/>
  <c r="E16" i="73"/>
  <c r="N26" i="1"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AA3" i="71" s="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E20" i="71" s="1"/>
  <c r="O21" i="71"/>
  <c r="Q22" i="71"/>
  <c r="F21" i="71"/>
  <c r="F20" i="71" s="1"/>
  <c r="P22" i="71"/>
  <c r="O22" i="71"/>
  <c r="N22" i="71"/>
  <c r="V21" i="71"/>
  <c r="A2" i="53"/>
  <c r="B19" i="72" s="1"/>
  <c r="K59" i="67"/>
  <c r="P61" i="67" s="1"/>
  <c r="K59" i="15"/>
  <c r="P74" i="67"/>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J10" i="43"/>
  <c r="K49" i="9"/>
  <c r="E107" i="9"/>
  <c r="A122" i="9" s="1"/>
  <c r="A8" i="52" s="1"/>
  <c r="E111" i="9"/>
  <c r="A126" i="9"/>
  <c r="E109" i="9"/>
  <c r="A124" i="9"/>
  <c r="B44" i="72"/>
  <c r="B42" i="72"/>
  <c r="B69" i="72"/>
  <c r="B68" i="72"/>
  <c r="B63" i="72"/>
  <c r="B62" i="72"/>
  <c r="B16" i="72"/>
  <c r="B65" i="72"/>
  <c r="B66" i="72"/>
  <c r="B10" i="72"/>
  <c r="C53" i="10"/>
  <c r="B51" i="10"/>
  <c r="A18" i="51"/>
  <c r="B13" i="72" s="1"/>
  <c r="B49" i="48"/>
  <c r="B5" i="72" s="1"/>
  <c r="I19" i="43"/>
  <c r="D86" i="71"/>
  <c r="F85" i="71"/>
  <c r="F84" i="71" s="1"/>
  <c r="E85" i="71"/>
  <c r="E84" i="71" s="1"/>
  <c r="E83" i="71" s="1"/>
  <c r="C85" i="7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C65" i="71"/>
  <c r="B65" i="71"/>
  <c r="D62" i="71"/>
  <c r="Q61" i="71"/>
  <c r="P61" i="71"/>
  <c r="O61" i="71"/>
  <c r="N61" i="71"/>
  <c r="Q60" i="71"/>
  <c r="P60" i="71"/>
  <c r="O60" i="71"/>
  <c r="N60" i="71"/>
  <c r="Q59" i="71"/>
  <c r="P59" i="71"/>
  <c r="O59" i="71"/>
  <c r="N59" i="71"/>
  <c r="Q58" i="71"/>
  <c r="F59" i="71" s="1"/>
  <c r="F60" i="71" s="1"/>
  <c r="F61" i="71" s="1"/>
  <c r="V61" i="71" s="1"/>
  <c r="P58" i="71"/>
  <c r="E59" i="71"/>
  <c r="E60" i="71" s="1"/>
  <c r="E61" i="71" s="1"/>
  <c r="U61" i="71" s="1"/>
  <c r="O58" i="71"/>
  <c r="C59" i="71"/>
  <c r="C60" i="71" s="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P35" i="71"/>
  <c r="AA35" i="71" s="1"/>
  <c r="O35" i="71"/>
  <c r="Y35" i="71" s="1"/>
  <c r="Z35" i="71" s="1"/>
  <c r="N35" i="71"/>
  <c r="X35" i="71" s="1"/>
  <c r="Q34" i="71"/>
  <c r="F35" i="71" s="1"/>
  <c r="P34" i="71"/>
  <c r="O34" i="71"/>
  <c r="N34" i="71"/>
  <c r="B35" i="71" s="1"/>
  <c r="B36" i="71" s="1"/>
  <c r="B37" i="71" s="1"/>
  <c r="S37" i="71" s="1"/>
  <c r="D34" i="71"/>
  <c r="Q33" i="71"/>
  <c r="AB33" i="71" s="1"/>
  <c r="P33" i="71"/>
  <c r="O33" i="71"/>
  <c r="Y33" i="71" s="1"/>
  <c r="Z33" i="71" s="1"/>
  <c r="N33" i="71"/>
  <c r="Q32" i="71"/>
  <c r="P32" i="71"/>
  <c r="O32" i="71"/>
  <c r="Y32" i="71"/>
  <c r="Z32" i="71" s="1"/>
  <c r="N32" i="71"/>
  <c r="Q31" i="71"/>
  <c r="P31" i="71"/>
  <c r="AA31" i="71" s="1"/>
  <c r="O31" i="71"/>
  <c r="Y31" i="71" s="1"/>
  <c r="Z31" i="71" s="1"/>
  <c r="N31" i="71"/>
  <c r="X31" i="71" s="1"/>
  <c r="Q30" i="71"/>
  <c r="F31" i="71" s="1"/>
  <c r="P30" i="71"/>
  <c r="O30" i="71"/>
  <c r="N30" i="71"/>
  <c r="D30" i="71"/>
  <c r="Q29" i="71"/>
  <c r="AB29" i="71" s="1"/>
  <c r="P29" i="71"/>
  <c r="O29" i="71"/>
  <c r="Y29" i="71" s="1"/>
  <c r="Z29" i="71" s="1"/>
  <c r="N29" i="71"/>
  <c r="Q28" i="71"/>
  <c r="P28" i="71"/>
  <c r="O28" i="71"/>
  <c r="Y28" i="71"/>
  <c r="Z28" i="71" s="1"/>
  <c r="N28" i="71"/>
  <c r="Q27" i="71"/>
  <c r="P27" i="71"/>
  <c r="AA27" i="71" s="1"/>
  <c r="O27" i="71"/>
  <c r="Y27" i="71" s="1"/>
  <c r="Z27" i="71" s="1"/>
  <c r="N27" i="71"/>
  <c r="X27" i="71" s="1"/>
  <c r="Q26" i="71"/>
  <c r="F27" i="71" s="1"/>
  <c r="P26" i="71"/>
  <c r="O26" i="71"/>
  <c r="N26" i="71"/>
  <c r="X25" i="71" s="1"/>
  <c r="D26" i="71"/>
  <c r="O25" i="71"/>
  <c r="N25" i="71"/>
  <c r="B27" i="71"/>
  <c r="B28" i="71" s="1"/>
  <c r="B29" i="71" s="1"/>
  <c r="S29" i="71" s="1"/>
  <c r="N65" i="71"/>
  <c r="C27" i="71"/>
  <c r="Y26" i="71"/>
  <c r="Z26" i="71"/>
  <c r="C31" i="71"/>
  <c r="Y30" i="71"/>
  <c r="Z30" i="71" s="1"/>
  <c r="AB30" i="71"/>
  <c r="C35" i="71"/>
  <c r="Y34" i="71"/>
  <c r="Z34" i="71" s="1"/>
  <c r="Y24" i="71"/>
  <c r="Z24" i="71" s="1"/>
  <c r="B25" i="71"/>
  <c r="B24" i="71" s="1"/>
  <c r="B23" i="71" s="1"/>
  <c r="X23" i="71"/>
  <c r="C36" i="71"/>
  <c r="D35" i="71"/>
  <c r="D47" i="71"/>
  <c r="P25" i="71"/>
  <c r="E52" i="71"/>
  <c r="E53" i="71" s="1"/>
  <c r="U53" i="71" s="1"/>
  <c r="Q25" i="71"/>
  <c r="D51" i="71"/>
  <c r="D55" i="71"/>
  <c r="D59" i="71"/>
  <c r="T65" i="71"/>
  <c r="O65" i="71"/>
  <c r="D65" i="71"/>
  <c r="C64" i="71"/>
  <c r="Q65" i="71"/>
  <c r="C68" i="71"/>
  <c r="D69" i="71"/>
  <c r="C72" i="71"/>
  <c r="C76" i="71"/>
  <c r="D77" i="71"/>
  <c r="C80" i="71"/>
  <c r="C79" i="71" s="1"/>
  <c r="S25" i="71"/>
  <c r="E25" i="71"/>
  <c r="E24" i="71" s="1"/>
  <c r="E23" i="71" s="1"/>
  <c r="AA25" i="71"/>
  <c r="C61" i="71"/>
  <c r="D61" i="71" s="1"/>
  <c r="D60" i="71"/>
  <c r="D80" i="71"/>
  <c r="D79" i="71"/>
  <c r="D72" i="71"/>
  <c r="C71" i="71"/>
  <c r="D71" i="71" s="1"/>
  <c r="D76" i="71"/>
  <c r="C75" i="71"/>
  <c r="D75" i="71" s="1"/>
  <c r="C49" i="71"/>
  <c r="D48" i="71"/>
  <c r="C37" i="71"/>
  <c r="D36" i="71"/>
  <c r="V25" i="71"/>
  <c r="T37" i="71"/>
  <c r="D37" i="71"/>
  <c r="T49" i="71"/>
  <c r="D49"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F21" i="34"/>
  <c r="AA21" i="34"/>
  <c r="C21" i="34"/>
  <c r="Z21" i="33"/>
  <c r="Q21" i="33"/>
  <c r="D83" i="33"/>
  <c r="E83" i="33" s="1"/>
  <c r="F83" i="33" s="1"/>
  <c r="G83" i="33" s="1"/>
  <c r="C21" i="33"/>
  <c r="C21" i="21"/>
  <c r="Q21" i="21"/>
  <c r="Z21" i="21" s="1"/>
  <c r="H19" i="21"/>
  <c r="D83" i="21"/>
  <c r="F21" i="21"/>
  <c r="AA21" i="21" s="1"/>
  <c r="D81" i="21"/>
  <c r="G20" i="20"/>
  <c r="B86" i="43" s="1"/>
  <c r="C22" i="20"/>
  <c r="C25" i="40"/>
  <c r="S25" i="40"/>
  <c r="S21" i="34"/>
  <c r="H25" i="40"/>
  <c r="AB25" i="40" s="1"/>
  <c r="J25" i="40"/>
  <c r="H29" i="39"/>
  <c r="AB29" i="39" s="1"/>
  <c r="J29" i="39"/>
  <c r="J18" i="36"/>
  <c r="AC18" i="36" s="1"/>
  <c r="H18" i="35"/>
  <c r="AB18" i="35" s="1"/>
  <c r="S18" i="35"/>
  <c r="J18" i="35"/>
  <c r="H21" i="37"/>
  <c r="F21" i="37"/>
  <c r="H21" i="34"/>
  <c r="AB21" i="34" s="1"/>
  <c r="H21" i="33"/>
  <c r="U21" i="33" s="1"/>
  <c r="F21" i="33"/>
  <c r="S21" i="33" s="1"/>
  <c r="E83" i="21"/>
  <c r="F83" i="21" s="1"/>
  <c r="G83" i="21" s="1"/>
  <c r="S21" i="21"/>
  <c r="H1" i="69"/>
  <c r="U25" i="40"/>
  <c r="U29" i="39"/>
  <c r="W18" i="36"/>
  <c r="AB21" i="37"/>
  <c r="U21" i="37"/>
  <c r="U21" i="34"/>
  <c r="AB21" i="33"/>
  <c r="AA21" i="33"/>
  <c r="J21" i="37"/>
  <c r="AC21" i="37" s="1"/>
  <c r="G84" i="34"/>
  <c r="J21" i="34"/>
  <c r="AC21" i="34" s="1"/>
  <c r="J21" i="33"/>
  <c r="H21" i="21"/>
  <c r="AB21" i="21" s="1"/>
  <c r="F38" i="69"/>
  <c r="E37" i="69"/>
  <c r="F36" i="69"/>
  <c r="F35" i="69"/>
  <c r="F21" i="69"/>
  <c r="F40" i="69" s="1"/>
  <c r="F20" i="69"/>
  <c r="F39" i="69" s="1"/>
  <c r="E10" i="69"/>
  <c r="E9" i="69"/>
  <c r="C7"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9" s="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15" i="62" s="1"/>
  <c r="B61" i="72" s="1"/>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A24" i="51" s="1"/>
  <c r="B18" i="72" s="1"/>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A493" i="3" s="1"/>
  <c r="AZ493" i="3" s="1"/>
  <c r="BC493" i="3"/>
  <c r="BD493" i="3"/>
  <c r="BE493" i="3"/>
  <c r="BF493" i="3"/>
  <c r="BF5" i="3" s="1"/>
  <c r="BG493" i="3"/>
  <c r="BH493" i="3"/>
  <c r="BI493" i="3"/>
  <c r="BJ493" i="3"/>
  <c r="BJ5" i="3" s="1"/>
  <c r="BK493" i="3"/>
  <c r="BM493" i="3"/>
  <c r="BM5" i="3" s="1"/>
  <c r="F29" i="6" s="1"/>
  <c r="BN493" i="3"/>
  <c r="BO493" i="3"/>
  <c r="BP493" i="3"/>
  <c r="BR493" i="3"/>
  <c r="BR5" i="3" s="1"/>
  <c r="BS493" i="3"/>
  <c r="BT493" i="3"/>
  <c r="BT5" i="3" s="1"/>
  <c r="H494" i="3"/>
  <c r="AC494" i="3"/>
  <c r="BB494" i="3"/>
  <c r="BC494" i="3"/>
  <c r="BD494" i="3"/>
  <c r="BE494" i="3"/>
  <c r="BE5" i="3" s="1"/>
  <c r="BF494" i="3"/>
  <c r="BG494" i="3"/>
  <c r="BH494" i="3"/>
  <c r="BI494" i="3"/>
  <c r="BI5" i="3" s="1"/>
  <c r="BJ494" i="3"/>
  <c r="BK494" i="3"/>
  <c r="BM494" i="3"/>
  <c r="BN494" i="3"/>
  <c r="BL494" i="3" s="1"/>
  <c r="BO494" i="3"/>
  <c r="BP494" i="3"/>
  <c r="BP5" i="3" s="1"/>
  <c r="E11" i="6" s="1"/>
  <c r="E60" i="39"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L503" i="3" s="1"/>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A511" i="3" s="1"/>
  <c r="BC511" i="3"/>
  <c r="BD511" i="3"/>
  <c r="BE511" i="3"/>
  <c r="BF511" i="3"/>
  <c r="BG511" i="3"/>
  <c r="BH511" i="3"/>
  <c r="BI511" i="3"/>
  <c r="BJ511" i="3"/>
  <c r="BK511" i="3"/>
  <c r="BM511" i="3"/>
  <c r="BL511" i="3" s="1"/>
  <c r="BN511" i="3"/>
  <c r="BO511" i="3"/>
  <c r="BP511" i="3"/>
  <c r="BR511" i="3"/>
  <c r="BS511" i="3"/>
  <c r="BT511" i="3"/>
  <c r="H512" i="3"/>
  <c r="AC512" i="3"/>
  <c r="G512" i="3" s="1"/>
  <c r="BB512" i="3"/>
  <c r="BC512" i="3"/>
  <c r="BA512" i="3" s="1"/>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L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BC564" i="3"/>
  <c r="BD564" i="3"/>
  <c r="BE564" i="3"/>
  <c r="BF564" i="3"/>
  <c r="BG564" i="3"/>
  <c r="BH564" i="3"/>
  <c r="BI564" i="3"/>
  <c r="BJ564" i="3"/>
  <c r="BK564" i="3"/>
  <c r="BM564" i="3"/>
  <c r="BN564" i="3"/>
  <c r="BO564" i="3"/>
  <c r="BP564" i="3"/>
  <c r="BQ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U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J13" i="39" s="1"/>
  <c r="W13" i="39" s="1"/>
  <c r="B81" i="39"/>
  <c r="J12" i="39"/>
  <c r="W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D62" i="36"/>
  <c r="E62" i="36" s="1"/>
  <c r="F62" i="36" s="1"/>
  <c r="G62" i="36" s="1"/>
  <c r="B59" i="36"/>
  <c r="F13" i="36" s="1"/>
  <c r="S13" i="36" s="1"/>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J34" i="35" s="1"/>
  <c r="B77" i="35"/>
  <c r="B75" i="35"/>
  <c r="J24" i="35" s="1"/>
  <c r="AC24" i="35" s="1"/>
  <c r="B73" i="35"/>
  <c r="H23" i="35"/>
  <c r="U23" i="35" s="1"/>
  <c r="B57" i="35"/>
  <c r="B61" i="35"/>
  <c r="B59" i="35"/>
  <c r="B131" i="34"/>
  <c r="F47" i="34" s="1"/>
  <c r="S47" i="34" s="1"/>
  <c r="B129" i="34"/>
  <c r="B127" i="34"/>
  <c r="B99" i="34"/>
  <c r="B97" i="34"/>
  <c r="H31" i="34" s="1"/>
  <c r="B95" i="34"/>
  <c r="B93" i="34"/>
  <c r="B75" i="34"/>
  <c r="B73" i="34"/>
  <c r="B71" i="34"/>
  <c r="F12" i="34" s="1"/>
  <c r="B130" i="33"/>
  <c r="B128" i="33"/>
  <c r="B126" i="33"/>
  <c r="B98" i="33"/>
  <c r="B96" i="33"/>
  <c r="B94" i="33"/>
  <c r="B74" i="33"/>
  <c r="F14" i="33" s="1"/>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U12" i="34" s="1"/>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c r="AC29" i="21" s="1"/>
  <c r="B92" i="21"/>
  <c r="B90" i="21"/>
  <c r="B74" i="2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F39" i="37"/>
  <c r="U14" i="37"/>
  <c r="F29" i="36"/>
  <c r="AA29" i="36" s="1"/>
  <c r="W8" i="36"/>
  <c r="F16" i="36"/>
  <c r="AA16" i="36" s="1"/>
  <c r="U9" i="36"/>
  <c r="W28" i="36"/>
  <c r="S30" i="36"/>
  <c r="AA31" i="36"/>
  <c r="AC31" i="36"/>
  <c r="W31" i="36"/>
  <c r="J33" i="36"/>
  <c r="W33" i="36"/>
  <c r="H22" i="35"/>
  <c r="AB22" i="35"/>
  <c r="W28" i="35"/>
  <c r="W22" i="35"/>
  <c r="S31" i="35"/>
  <c r="F36" i="34"/>
  <c r="J35" i="34"/>
  <c r="S34" i="34"/>
  <c r="U34" i="34"/>
  <c r="H39" i="33"/>
  <c r="AB39" i="33" s="1"/>
  <c r="F26" i="33"/>
  <c r="U35" i="33"/>
  <c r="H39" i="37"/>
  <c r="AB39" i="37" s="1"/>
  <c r="F11" i="40"/>
  <c r="AA11" i="40" s="1"/>
  <c r="H11" i="40"/>
  <c r="AB11" i="40" s="1"/>
  <c r="AC40" i="40"/>
  <c r="AA9" i="40"/>
  <c r="AC9" i="40"/>
  <c r="U9" i="40"/>
  <c r="S34" i="40"/>
  <c r="U38" i="40"/>
  <c r="S40" i="40"/>
  <c r="W31" i="40"/>
  <c r="U34" i="40"/>
  <c r="S38"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7" i="39"/>
  <c r="C21" i="39"/>
  <c r="H11" i="39"/>
  <c r="U11" i="39" s="1"/>
  <c r="C15" i="39"/>
  <c r="H32" i="33"/>
  <c r="AB32" i="33" s="1"/>
  <c r="H11" i="21"/>
  <c r="J11" i="21"/>
  <c r="W11" i="21" s="1"/>
  <c r="H37" i="40"/>
  <c r="U37" i="40" s="1"/>
  <c r="H36" i="40"/>
  <c r="AB36" i="40" s="1"/>
  <c r="F35" i="40"/>
  <c r="AA35" i="40" s="1"/>
  <c r="H23" i="40"/>
  <c r="AB23" i="40" s="1"/>
  <c r="H17" i="40"/>
  <c r="U17" i="40" s="1"/>
  <c r="J15" i="40"/>
  <c r="W15" i="40" s="1"/>
  <c r="J11" i="40"/>
  <c r="W11" i="40" s="1"/>
  <c r="AC12" i="34"/>
  <c r="AB12" i="35"/>
  <c r="AB12" i="36"/>
  <c r="W32" i="40"/>
  <c r="F37" i="39"/>
  <c r="AA37" i="39" s="1"/>
  <c r="J34" i="36"/>
  <c r="W34" i="36"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s="1"/>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S12" i="36"/>
  <c r="AA12" i="36"/>
  <c r="AC34" i="36"/>
  <c r="U30" i="35"/>
  <c r="U33" i="35"/>
  <c r="F29" i="35"/>
  <c r="S29" i="35" s="1"/>
  <c r="H29" i="35"/>
  <c r="AB29" i="35" s="1"/>
  <c r="H33" i="37"/>
  <c r="AB33" i="37" s="1"/>
  <c r="F33" i="37"/>
  <c r="AA33" i="37" s="1"/>
  <c r="U34" i="37"/>
  <c r="W33"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S42" i="34"/>
  <c r="AC38" i="34"/>
  <c r="AA38" i="34"/>
  <c r="J37" i="34"/>
  <c r="AC37" i="34"/>
  <c r="J11" i="33"/>
  <c r="W11" i="33"/>
  <c r="U23" i="40"/>
  <c r="J42" i="21"/>
  <c r="AC42" i="21" s="1"/>
  <c r="H42" i="21"/>
  <c r="U42" i="21" s="1"/>
  <c r="J44" i="34"/>
  <c r="F44" i="34"/>
  <c r="J10" i="35"/>
  <c r="W10" i="35" s="1"/>
  <c r="F14" i="21"/>
  <c r="S14" i="21" s="1"/>
  <c r="H28" i="21"/>
  <c r="AB28" i="21" s="1"/>
  <c r="F28" i="21"/>
  <c r="AA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32" i="36"/>
  <c r="W32" i="36" s="1"/>
  <c r="J11" i="36"/>
  <c r="H11" i="36"/>
  <c r="F11" i="36"/>
  <c r="AA11" i="36" s="1"/>
  <c r="J13" i="36"/>
  <c r="W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AC12" i="40"/>
  <c r="W12" i="40"/>
  <c r="H14" i="33"/>
  <c r="U14" i="33" s="1"/>
  <c r="J14" i="33"/>
  <c r="W14" i="33" s="1"/>
  <c r="H44" i="33"/>
  <c r="AB44" i="33" s="1"/>
  <c r="J31" i="34"/>
  <c r="AC31" i="34" s="1"/>
  <c r="J45" i="34"/>
  <c r="W45" i="34" s="1"/>
  <c r="J47" i="34"/>
  <c r="AC47" i="34"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F27" i="37"/>
  <c r="AA27" i="37" s="1"/>
  <c r="F13" i="39"/>
  <c r="S13" i="39" s="1"/>
  <c r="H14" i="40"/>
  <c r="AB14" i="40" s="1"/>
  <c r="J14" i="40"/>
  <c r="W14" i="40" s="1"/>
  <c r="F14" i="40"/>
  <c r="AA14" i="40" s="1"/>
  <c r="J14" i="37"/>
  <c r="AC14" i="37" s="1"/>
  <c r="J36" i="37"/>
  <c r="AC36" i="37" s="1"/>
  <c r="G105" i="37"/>
  <c r="AB11" i="35"/>
  <c r="J10" i="36"/>
  <c r="AC10" i="36" s="1"/>
  <c r="AB26" i="33"/>
  <c r="S11" i="36"/>
  <c r="AC30" i="34"/>
  <c r="AB31" i="33"/>
  <c r="AC28" i="21"/>
  <c r="F17" i="21"/>
  <c r="AA17" i="21" s="1"/>
  <c r="H17" i="21"/>
  <c r="AB17" i="21" s="1"/>
  <c r="F15" i="21"/>
  <c r="S15" i="21" s="1"/>
  <c r="J41" i="39"/>
  <c r="W41" i="39" s="1"/>
  <c r="W44" i="39"/>
  <c r="S35" i="39"/>
  <c r="G540" i="3"/>
  <c r="G535" i="3"/>
  <c r="G531" i="3"/>
  <c r="G527" i="3"/>
  <c r="G510" i="3"/>
  <c r="G496" i="3"/>
  <c r="G580" i="3"/>
  <c r="G572" i="3"/>
  <c r="G554" i="3"/>
  <c r="BL584" i="3"/>
  <c r="BL576"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6" i="3"/>
  <c r="BA562" i="3"/>
  <c r="AZ562" i="3" s="1"/>
  <c r="BA556" i="3"/>
  <c r="BA552" i="3"/>
  <c r="AZ552" i="3" s="1"/>
  <c r="BA546" i="3"/>
  <c r="BA542" i="3"/>
  <c r="BA538" i="3"/>
  <c r="AZ538" i="3" s="1"/>
  <c r="BA534" i="3"/>
  <c r="BA530" i="3"/>
  <c r="AZ530" i="3" s="1"/>
  <c r="BA520" i="3"/>
  <c r="BA508" i="3"/>
  <c r="BA500" i="3"/>
  <c r="BA587" i="3"/>
  <c r="BA581" i="3"/>
  <c r="BA577" i="3"/>
  <c r="BA573" i="3"/>
  <c r="BA569" i="3"/>
  <c r="BA561" i="3"/>
  <c r="BA555" i="3"/>
  <c r="BA549" i="3"/>
  <c r="AZ549" i="3" s="1"/>
  <c r="BA545" i="3"/>
  <c r="BA541" i="3"/>
  <c r="BA537" i="3"/>
  <c r="BA533" i="3"/>
  <c r="BA529" i="3"/>
  <c r="BA525" i="3"/>
  <c r="BA515" i="3"/>
  <c r="BA505" i="3"/>
  <c r="BA497" i="3"/>
  <c r="G583" i="3"/>
  <c r="G579" i="3"/>
  <c r="G575" i="3"/>
  <c r="G571" i="3"/>
  <c r="G567" i="3"/>
  <c r="BL558" i="3"/>
  <c r="AC557" i="3"/>
  <c r="BQ557" i="3"/>
  <c r="BQ583" i="3"/>
  <c r="BQ581" i="3"/>
  <c r="BL581" i="3" s="1"/>
  <c r="AZ581" i="3" s="1"/>
  <c r="BQ579" i="3"/>
  <c r="BQ577" i="3"/>
  <c r="BQ575" i="3"/>
  <c r="BL575" i="3" s="1"/>
  <c r="BQ573" i="3"/>
  <c r="BL573" i="3"/>
  <c r="BQ571" i="3"/>
  <c r="BQ569" i="3"/>
  <c r="BQ567" i="3"/>
  <c r="BL567" i="3" s="1"/>
  <c r="BQ565" i="3"/>
  <c r="BL565" i="3"/>
  <c r="BQ563" i="3"/>
  <c r="BQ561" i="3"/>
  <c r="BL561" i="3" s="1"/>
  <c r="AZ561" i="3" s="1"/>
  <c r="BQ559" i="3"/>
  <c r="BL559" i="3"/>
  <c r="G555" i="3"/>
  <c r="G549" i="3"/>
  <c r="G545" i="3"/>
  <c r="G541" i="3"/>
  <c r="G537" i="3"/>
  <c r="BQ555" i="3"/>
  <c r="BL555" i="3" s="1"/>
  <c r="AZ555" i="3" s="1"/>
  <c r="BQ553" i="3"/>
  <c r="BL553" i="3"/>
  <c r="BQ551" i="3"/>
  <c r="BL551" i="3" s="1"/>
  <c r="BQ549" i="3"/>
  <c r="BQ547" i="3"/>
  <c r="BL547" i="3"/>
  <c r="BQ545" i="3"/>
  <c r="BL545" i="3" s="1"/>
  <c r="AZ545" i="3" s="1"/>
  <c r="BQ543" i="3"/>
  <c r="BL543" i="3" s="1"/>
  <c r="BQ541" i="3"/>
  <c r="BL541" i="3" s="1"/>
  <c r="AZ541" i="3" s="1"/>
  <c r="BQ539" i="3"/>
  <c r="BL539" i="3"/>
  <c r="BQ537" i="3"/>
  <c r="BL537" i="3" s="1"/>
  <c r="AZ537" i="3" s="1"/>
  <c r="BQ535" i="3"/>
  <c r="BL535" i="3" s="1"/>
  <c r="BQ533" i="3"/>
  <c r="BL533" i="3" s="1"/>
  <c r="AZ533" i="3" s="1"/>
  <c r="BQ531" i="3"/>
  <c r="BL531" i="3"/>
  <c r="BQ529" i="3"/>
  <c r="BL529" i="3" s="1"/>
  <c r="AZ529" i="3" s="1"/>
  <c r="BQ527" i="3"/>
  <c r="BL527" i="3" s="1"/>
  <c r="BQ525" i="3"/>
  <c r="BL525" i="3" s="1"/>
  <c r="AZ525" i="3" s="1"/>
  <c r="BQ523" i="3"/>
  <c r="BL523" i="3"/>
  <c r="AC521" i="3"/>
  <c r="G521" i="3" s="1"/>
  <c r="BQ521" i="3"/>
  <c r="BL520" i="3"/>
  <c r="G517" i="3"/>
  <c r="G513" i="3"/>
  <c r="BQ519" i="3"/>
  <c r="BQ517" i="3"/>
  <c r="BL517" i="3" s="1"/>
  <c r="BQ515" i="3"/>
  <c r="BL515" i="3"/>
  <c r="BQ513" i="3"/>
  <c r="BQ511" i="3"/>
  <c r="BA509" i="3"/>
  <c r="AC509" i="3"/>
  <c r="BQ509" i="3"/>
  <c r="BL509" i="3" s="1"/>
  <c r="AZ509" i="3" s="1"/>
  <c r="G507" i="3"/>
  <c r="G503" i="3"/>
  <c r="G499" i="3"/>
  <c r="G495" i="3"/>
  <c r="BQ507" i="3"/>
  <c r="BL507" i="3"/>
  <c r="BQ505" i="3"/>
  <c r="BQ503" i="3"/>
  <c r="BQ501" i="3"/>
  <c r="BL501" i="3" s="1"/>
  <c r="BQ499" i="3"/>
  <c r="BQ497" i="3"/>
  <c r="BL497" i="3" s="1"/>
  <c r="AZ497" i="3" s="1"/>
  <c r="BQ495" i="3"/>
  <c r="BQ493" i="3"/>
  <c r="BQ5" i="3" s="1"/>
  <c r="F28" i="6" s="1"/>
  <c r="F30" i="6" s="1"/>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1" i="40"/>
  <c r="AA31" i="40"/>
  <c r="H31" i="40"/>
  <c r="U31" i="40"/>
  <c r="J36" i="40"/>
  <c r="W36" i="40"/>
  <c r="AA41" i="34"/>
  <c r="H19" i="37"/>
  <c r="AB19" i="37" s="1"/>
  <c r="H42" i="33"/>
  <c r="AB42" i="33" s="1"/>
  <c r="J43" i="33"/>
  <c r="AC43" i="33" s="1"/>
  <c r="U43" i="33"/>
  <c r="S28" i="31"/>
  <c r="S27" i="31"/>
  <c r="S26" i="31"/>
  <c r="U14" i="40"/>
  <c r="AC32" i="36"/>
  <c r="AC33" i="36"/>
  <c r="U35" i="35"/>
  <c r="AA12" i="35"/>
  <c r="W23" i="35"/>
  <c r="W14" i="37"/>
  <c r="U33" i="37"/>
  <c r="W26" i="37"/>
  <c r="AC8" i="37"/>
  <c r="U26" i="37"/>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J9" i="37"/>
  <c r="W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s="1"/>
  <c r="F88" i="40"/>
  <c r="G88" i="40" s="1"/>
  <c r="F19" i="40"/>
  <c r="S19" i="40" s="1"/>
  <c r="S14" i="40"/>
  <c r="AB33" i="40"/>
  <c r="W23" i="39"/>
  <c r="AB44" i="39"/>
  <c r="U44" i="39"/>
  <c r="H37" i="39"/>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A2" i="9"/>
  <c r="F59" i="43"/>
  <c r="H62" i="43" s="1"/>
  <c r="AZ20" i="3"/>
  <c r="AZ32" i="3"/>
  <c r="BL549"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AZ394" i="3" s="1"/>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AZ191" i="3"/>
  <c r="BL192" i="3"/>
  <c r="G193" i="3"/>
  <c r="BA195" i="3"/>
  <c r="AZ195" i="3"/>
  <c r="BL196" i="3"/>
  <c r="AZ196" i="3"/>
  <c r="G197" i="3"/>
  <c r="BA199" i="3"/>
  <c r="AZ199" i="3" s="1"/>
  <c r="BL200" i="3"/>
  <c r="G201" i="3"/>
  <c r="BA203" i="3"/>
  <c r="AZ203" i="3" s="1"/>
  <c r="BL204" i="3"/>
  <c r="AZ51" i="3"/>
  <c r="AZ55" i="3"/>
  <c r="AZ67" i="3"/>
  <c r="AZ71" i="3"/>
  <c r="AZ75" i="3"/>
  <c r="AZ79" i="3"/>
  <c r="AZ136" i="3"/>
  <c r="AZ144" i="3"/>
  <c r="AZ160" i="3"/>
  <c r="AZ168" i="3"/>
  <c r="AZ176" i="3"/>
  <c r="AZ192" i="3"/>
  <c r="AZ200" i="3"/>
  <c r="AZ89" i="3"/>
  <c r="AZ93" i="3"/>
  <c r="AZ97" i="3"/>
  <c r="AZ105" i="3"/>
  <c r="AZ128" i="3"/>
  <c r="G534" i="3"/>
  <c r="G530" i="3"/>
  <c r="G516" i="3"/>
  <c r="G506"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2" i="3"/>
  <c r="AZ146" i="3"/>
  <c r="AZ150" i="3"/>
  <c r="AZ158" i="3"/>
  <c r="AZ162" i="3"/>
  <c r="AZ166" i="3"/>
  <c r="AZ174" i="3"/>
  <c r="AZ178" i="3"/>
  <c r="AZ182" i="3"/>
  <c r="AZ190" i="3"/>
  <c r="AZ194" i="3"/>
  <c r="AZ198"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H5" i="3"/>
  <c r="BD5" i="3"/>
  <c r="AC5" i="3"/>
  <c r="G548" i="3"/>
  <c r="G538" i="3"/>
  <c r="G520" i="3"/>
  <c r="BS5" i="3"/>
  <c r="BN5" i="3"/>
  <c r="G29" i="6" s="1"/>
  <c r="E29" i="6" s="1"/>
  <c r="K15" i="1" s="1"/>
  <c r="BK5" i="3"/>
  <c r="BG5" i="3"/>
  <c r="BC5" i="3"/>
  <c r="G17" i="3"/>
  <c r="BA17" i="3"/>
  <c r="AZ356" i="3"/>
  <c r="AZ364" i="3"/>
  <c r="AZ368" i="3"/>
  <c r="BA15" i="3"/>
  <c r="BB5" i="3"/>
  <c r="AZ380" i="3"/>
  <c r="AZ388" i="3"/>
  <c r="E8" i="6"/>
  <c r="BL493" i="3"/>
  <c r="AZ376" i="3"/>
  <c r="AZ382" i="3"/>
  <c r="U36" i="40"/>
  <c r="F36" i="43"/>
  <c r="F81" i="43"/>
  <c r="H83" i="43" s="1"/>
  <c r="H113" i="43"/>
  <c r="F48" i="43"/>
  <c r="H52" i="43" s="1"/>
  <c r="F70" i="43"/>
  <c r="H73" i="43" s="1"/>
  <c r="M11" i="43"/>
  <c r="D17" i="43"/>
  <c r="F39" i="43"/>
  <c r="I17" i="43"/>
  <c r="F35" i="43"/>
  <c r="J17" i="43"/>
  <c r="F6" i="1"/>
  <c r="U17" i="39"/>
  <c r="U43" i="21"/>
  <c r="U35" i="21"/>
  <c r="AC35" i="21"/>
  <c r="U10" i="21"/>
  <c r="G8" i="1"/>
  <c r="G9" i="1"/>
  <c r="G10" i="1"/>
  <c r="W37" i="37"/>
  <c r="W44" i="34"/>
  <c r="AC44" i="34"/>
  <c r="S15" i="37"/>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86" i="3"/>
  <c r="C40" i="11"/>
  <c r="AZ223" i="3"/>
  <c r="AZ235" i="3"/>
  <c r="AZ240" i="3"/>
  <c r="AZ251" i="3"/>
  <c r="AZ256" i="3"/>
  <c r="AZ268" i="3"/>
  <c r="AZ271" i="3"/>
  <c r="AZ296" i="3"/>
  <c r="AZ117" i="3"/>
  <c r="AZ133" i="3"/>
  <c r="AZ21" i="3"/>
  <c r="AZ42" i="3"/>
  <c r="AZ53" i="3"/>
  <c r="AZ58" i="3"/>
  <c r="AZ69" i="3"/>
  <c r="AZ77" i="3"/>
  <c r="AZ82" i="3"/>
  <c r="AZ86" i="3"/>
  <c r="H50"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AE9" i="1"/>
  <c r="D93" i="9"/>
  <c r="K6" i="1"/>
  <c r="AC26" i="33"/>
  <c r="W26" i="33"/>
  <c r="W27" i="34"/>
  <c r="AC27" i="34"/>
  <c r="AB34" i="36"/>
  <c r="AB33" i="36"/>
  <c r="AC12" i="39"/>
  <c r="G101" i="43"/>
  <c r="AC12" i="33"/>
  <c r="S32" i="36"/>
  <c r="AZ408" i="3"/>
  <c r="AZ437" i="3"/>
  <c r="AZ441" i="3"/>
  <c r="BL14" i="3"/>
  <c r="AZ266" i="3"/>
  <c r="W28" i="37"/>
  <c r="S19" i="39"/>
  <c r="F12" i="33"/>
  <c r="S12" i="33" s="1"/>
  <c r="H12" i="39"/>
  <c r="AB12" i="39"/>
  <c r="BA14" i="3"/>
  <c r="AZ14" i="3" s="1"/>
  <c r="AZ224" i="3"/>
  <c r="AZ238" i="3"/>
  <c r="AZ254" i="3"/>
  <c r="AZ297" i="3"/>
  <c r="AZ157" i="3"/>
  <c r="AZ173" i="3"/>
  <c r="AZ189" i="3"/>
  <c r="AZ19" i="3"/>
  <c r="S12" i="1"/>
  <c r="AR12" i="1" s="1"/>
  <c r="R12" i="1"/>
  <c r="B12" i="1"/>
  <c r="E12" i="1" s="1"/>
  <c r="S10" i="1"/>
  <c r="AQ10" i="1" s="1"/>
  <c r="R10" i="1"/>
  <c r="B10" i="1"/>
  <c r="E10" i="1" s="1"/>
  <c r="AZ80" i="3"/>
  <c r="AZ84" i="3"/>
  <c r="AZ88" i="3"/>
  <c r="AZ107" i="3"/>
  <c r="K12" i="1"/>
  <c r="M12" i="1" s="1"/>
  <c r="O12" i="1" s="1"/>
  <c r="S13" i="1"/>
  <c r="AQ13" i="1" s="1"/>
  <c r="R13" i="1"/>
  <c r="S11" i="1"/>
  <c r="R11" i="1"/>
  <c r="S9" i="1"/>
  <c r="AR9" i="1" s="1"/>
  <c r="R9" i="1"/>
  <c r="J51" i="67"/>
  <c r="C42" i="1"/>
  <c r="C77" i="9" s="1"/>
  <c r="C74" i="9" s="1"/>
  <c r="H100" i="43"/>
  <c r="AC34" i="33"/>
  <c r="B41" i="1"/>
  <c r="J100" i="43"/>
  <c r="AB37" i="40"/>
  <c r="S35" i="40"/>
  <c r="AC36" i="40"/>
  <c r="W38"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U12" i="39"/>
  <c r="S23" i="36"/>
  <c r="AB27" i="36"/>
  <c r="U26" i="36"/>
  <c r="S33" i="36"/>
  <c r="AA26" i="36"/>
  <c r="AA34" i="36"/>
  <c r="AC26" i="36"/>
  <c r="AA22" i="36"/>
  <c r="W14" i="36"/>
  <c r="AB14" i="36"/>
  <c r="U22" i="36"/>
  <c r="S16" i="36"/>
  <c r="AA25" i="36"/>
  <c r="AB20" i="36"/>
  <c r="S14" i="36"/>
  <c r="U10" i="36"/>
  <c r="W10" i="36"/>
  <c r="AA25" i="35"/>
  <c r="S23" i="35"/>
  <c r="U29" i="35"/>
  <c r="U28" i="35"/>
  <c r="AB27" i="35"/>
  <c r="U32" i="35"/>
  <c r="AA33" i="35"/>
  <c r="AC30" i="35"/>
  <c r="S28" i="35"/>
  <c r="U22" i="35"/>
  <c r="AC20" i="35"/>
  <c r="S22" i="35"/>
  <c r="U14" i="35"/>
  <c r="AA10" i="35"/>
  <c r="AB10" i="35"/>
  <c r="AA11" i="35"/>
  <c r="S8" i="35"/>
  <c r="AC9" i="35"/>
  <c r="W9" i="35"/>
  <c r="AC12" i="35"/>
  <c r="F9" i="35"/>
  <c r="S9" i="35" s="1"/>
  <c r="H9" i="35"/>
  <c r="F26" i="35"/>
  <c r="AA26" i="35" s="1"/>
  <c r="J26" i="35"/>
  <c r="H26" i="35"/>
  <c r="U26" i="35" s="1"/>
  <c r="AB40" i="37"/>
  <c r="S26" i="37"/>
  <c r="AC29" i="37"/>
  <c r="U29" i="37"/>
  <c r="AB31" i="37"/>
  <c r="W30" i="37"/>
  <c r="S36" i="37"/>
  <c r="AA38" i="37"/>
  <c r="U32" i="37"/>
  <c r="AC35" i="37"/>
  <c r="W39" i="37"/>
  <c r="S30" i="37"/>
  <c r="S37" i="37"/>
  <c r="AC15" i="37"/>
  <c r="J17" i="37"/>
  <c r="W17" i="37"/>
  <c r="G73" i="37"/>
  <c r="F17" i="37"/>
  <c r="AA17" i="37" s="1"/>
  <c r="F75" i="37"/>
  <c r="G75" i="37" s="1"/>
  <c r="F19" i="37"/>
  <c r="F79" i="37"/>
  <c r="F23" i="37"/>
  <c r="S23" i="37" s="1"/>
  <c r="U23" i="37"/>
  <c r="U15" i="37"/>
  <c r="AA13" i="37"/>
  <c r="AA12" i="37"/>
  <c r="AA9" i="37"/>
  <c r="H10" i="37"/>
  <c r="H60" i="37"/>
  <c r="F63" i="37"/>
  <c r="F11" i="37"/>
  <c r="S11" i="37" s="1"/>
  <c r="S27" i="34"/>
  <c r="W25" i="34"/>
  <c r="AB8" i="34"/>
  <c r="AA33" i="34"/>
  <c r="U44" i="34"/>
  <c r="U43" i="34"/>
  <c r="W41" i="34"/>
  <c r="AC42" i="34"/>
  <c r="AB35" i="34"/>
  <c r="U39" i="34"/>
  <c r="S43" i="34"/>
  <c r="AB41" i="34"/>
  <c r="W34" i="34"/>
  <c r="AA25" i="34"/>
  <c r="U28" i="34"/>
  <c r="S17" i="34"/>
  <c r="U27" i="34"/>
  <c r="S23" i="34"/>
  <c r="U15" i="34"/>
  <c r="S10" i="34"/>
  <c r="H67" i="34"/>
  <c r="H10" i="34"/>
  <c r="AB10" i="34" s="1"/>
  <c r="F11" i="34"/>
  <c r="S11" i="34" s="1"/>
  <c r="F70" i="34"/>
  <c r="G70" i="34" s="1"/>
  <c r="H70" i="34" s="1"/>
  <c r="I70" i="34" s="1"/>
  <c r="J70" i="34" s="1"/>
  <c r="K70" i="34" s="1"/>
  <c r="L70" i="34" s="1"/>
  <c r="M70" i="34" s="1"/>
  <c r="W42" i="33"/>
  <c r="AA35" i="33"/>
  <c r="S32" i="33"/>
  <c r="AB29" i="33"/>
  <c r="W38" i="33"/>
  <c r="H41" i="33"/>
  <c r="AB41" i="33" s="1"/>
  <c r="F121" i="33"/>
  <c r="G121" i="33"/>
  <c r="H121" i="33" s="1"/>
  <c r="I121" i="33" s="1"/>
  <c r="J121" i="33" s="1"/>
  <c r="K121" i="33" s="1"/>
  <c r="L121" i="33" s="1"/>
  <c r="M121" i="33" s="1"/>
  <c r="U42" i="33"/>
  <c r="S42" i="33"/>
  <c r="F36" i="33"/>
  <c r="AA36"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S43" i="33"/>
  <c r="F91" i="33"/>
  <c r="H27" i="33"/>
  <c r="AB27" i="33" s="1"/>
  <c r="F87" i="33"/>
  <c r="H25" i="33"/>
  <c r="AB25" i="33" s="1"/>
  <c r="F25" i="33"/>
  <c r="J23" i="33"/>
  <c r="AC23" i="33" s="1"/>
  <c r="F85" i="33"/>
  <c r="H23" i="33"/>
  <c r="AB23" i="33" s="1"/>
  <c r="F81" i="33"/>
  <c r="F19" i="33"/>
  <c r="S19" i="33" s="1"/>
  <c r="W19" i="33"/>
  <c r="J17" i="33"/>
  <c r="F79" i="33"/>
  <c r="S15" i="33"/>
  <c r="W15" i="33"/>
  <c r="I66" i="33"/>
  <c r="J10" i="33"/>
  <c r="H10" i="33"/>
  <c r="U10" i="33" s="1"/>
  <c r="AA10" i="33"/>
  <c r="AC11"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F34" i="67"/>
  <c r="F62" i="67" s="1"/>
  <c r="M20" i="67"/>
  <c r="F34" i="15"/>
  <c r="F62" i="15" s="1"/>
  <c r="G13" i="3"/>
  <c r="BA13" i="3"/>
  <c r="BL17" i="3"/>
  <c r="AZ17" i="3"/>
  <c r="BL13" i="3"/>
  <c r="J56" i="9"/>
  <c r="J57" i="9" s="1"/>
  <c r="J59" i="9" s="1"/>
  <c r="J61" i="9" s="1"/>
  <c r="E5" i="6"/>
  <c r="D9" i="11" s="1"/>
  <c r="C9" i="11" s="1"/>
  <c r="H22" i="43"/>
  <c r="H101" i="43"/>
  <c r="H107" i="43" s="1"/>
  <c r="M101" i="43"/>
  <c r="M107" i="43" s="1"/>
  <c r="E101" i="43"/>
  <c r="E105" i="43" s="1"/>
  <c r="E32" i="6"/>
  <c r="L19" i="6"/>
  <c r="G1" i="68"/>
  <c r="K1" i="12"/>
  <c r="G103" i="43"/>
  <c r="S2" i="43"/>
  <c r="E19" i="69"/>
  <c r="E19" i="68"/>
  <c r="E19" i="11"/>
  <c r="E1" i="73"/>
  <c r="G22" i="69"/>
  <c r="G22" i="68"/>
  <c r="G26" i="12"/>
  <c r="G22" i="11"/>
  <c r="C100" i="43"/>
  <c r="E81" i="43"/>
  <c r="B79" i="43" s="1"/>
  <c r="AH11" i="43"/>
  <c r="AD11" i="43"/>
  <c r="Z11" i="43"/>
  <c r="S5" i="43"/>
  <c r="AG11" i="43"/>
  <c r="AC11" i="43"/>
  <c r="Y11" i="43"/>
  <c r="Y13" i="43" s="1"/>
  <c r="E48" i="43"/>
  <c r="B46" i="43"/>
  <c r="E70" i="43"/>
  <c r="B68" i="43"/>
  <c r="F100" i="43"/>
  <c r="H17" i="43"/>
  <c r="G6" i="1"/>
  <c r="H85" i="43"/>
  <c r="H84" i="43"/>
  <c r="H53" i="43"/>
  <c r="H71" i="43"/>
  <c r="C17" i="43"/>
  <c r="F33" i="43"/>
  <c r="K17" i="43"/>
  <c r="F34" i="43"/>
  <c r="N6" i="43"/>
  <c r="C6" i="43"/>
  <c r="N3" i="43"/>
  <c r="F38" i="43"/>
  <c r="F37" i="43"/>
  <c r="M9" i="43"/>
  <c r="N5" i="43"/>
  <c r="M12" i="43"/>
  <c r="B19" i="53"/>
  <c r="B37" i="72"/>
  <c r="C7" i="39"/>
  <c r="C67"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 i="12"/>
  <c r="H66" i="43"/>
  <c r="H65" i="43"/>
  <c r="H64" i="43"/>
  <c r="H63" i="43"/>
  <c r="H55" i="43"/>
  <c r="H56" i="43"/>
  <c r="L20" i="6"/>
  <c r="E51" i="40"/>
  <c r="B6" i="1"/>
  <c r="E6" i="1" s="1"/>
  <c r="S8" i="1"/>
  <c r="AQ8" i="1" s="1"/>
  <c r="K11" i="1"/>
  <c r="M11" i="1" s="1"/>
  <c r="O11" i="1" s="1"/>
  <c r="AP6" i="1"/>
  <c r="B9" i="1"/>
  <c r="E9" i="1" s="1"/>
  <c r="K7" i="1"/>
  <c r="G1" i="15"/>
  <c r="G1" i="69"/>
  <c r="G1" i="67"/>
  <c r="W23" i="40"/>
  <c r="AB31" i="40"/>
  <c r="AB28" i="40"/>
  <c r="W28" i="40"/>
  <c r="W34" i="40"/>
  <c r="W27" i="40"/>
  <c r="S36" i="40"/>
  <c r="W37" i="40"/>
  <c r="AC14" i="40"/>
  <c r="S33" i="40"/>
  <c r="AA15" i="40"/>
  <c r="U11" i="40"/>
  <c r="S31" i="40"/>
  <c r="U15" i="40"/>
  <c r="AB17" i="40"/>
  <c r="U8" i="40"/>
  <c r="S8" i="40"/>
  <c r="AA39" i="39"/>
  <c r="AC41" i="39"/>
  <c r="U42" i="39"/>
  <c r="W25" i="39"/>
  <c r="AC25" i="39"/>
  <c r="AA13" i="39"/>
  <c r="S14" i="39"/>
  <c r="AA14" i="39"/>
  <c r="AB11" i="39"/>
  <c r="AA27" i="39"/>
  <c r="S27" i="39"/>
  <c r="W17" i="39"/>
  <c r="AC17" i="39"/>
  <c r="W31" i="39"/>
  <c r="AC31" i="39"/>
  <c r="S23" i="39"/>
  <c r="AB39" i="39"/>
  <c r="W34" i="39"/>
  <c r="U38" i="39"/>
  <c r="S8" i="39"/>
  <c r="S20" i="36"/>
  <c r="S28" i="36"/>
  <c r="W29" i="36"/>
  <c r="U25" i="36"/>
  <c r="AB28" i="36"/>
  <c r="AA13" i="36"/>
  <c r="W22" i="36"/>
  <c r="W23" i="36"/>
  <c r="S9" i="36"/>
  <c r="AB20" i="35"/>
  <c r="AC25" i="35"/>
  <c r="W33" i="35"/>
  <c r="AA30" i="35"/>
  <c r="S35" i="35"/>
  <c r="W35" i="35"/>
  <c r="AA16" i="35"/>
  <c r="AA35" i="37"/>
  <c r="W36" i="37"/>
  <c r="S27" i="37"/>
  <c r="S28" i="37"/>
  <c r="W32" i="37"/>
  <c r="U36" i="37"/>
  <c r="S40" i="37"/>
  <c r="U38" i="37"/>
  <c r="S33" i="37"/>
  <c r="AC34" i="37"/>
  <c r="AB35" i="37"/>
  <c r="AA31" i="37"/>
  <c r="AA29" i="37"/>
  <c r="AA8" i="37"/>
  <c r="U8" i="37"/>
  <c r="AA40" i="34"/>
  <c r="AB40" i="34"/>
  <c r="W19" i="34"/>
  <c r="AB33" i="34"/>
  <c r="AC45" i="34"/>
  <c r="AA30" i="34"/>
  <c r="U25" i="34"/>
  <c r="AB36" i="34"/>
  <c r="AC14" i="34"/>
  <c r="AC32" i="34"/>
  <c r="W46" i="34"/>
  <c r="AC46" i="34"/>
  <c r="S32" i="34"/>
  <c r="AA32" i="34"/>
  <c r="U30" i="34"/>
  <c r="AB30" i="34"/>
  <c r="S37" i="34"/>
  <c r="AC40" i="34"/>
  <c r="W40" i="34"/>
  <c r="AA19" i="34"/>
  <c r="S19" i="34"/>
  <c r="AA36" i="34"/>
  <c r="S36" i="34"/>
  <c r="AA8" i="34"/>
  <c r="S8" i="34"/>
  <c r="S46" i="34"/>
  <c r="AA46" i="34"/>
  <c r="U32" i="34"/>
  <c r="AB32" i="34"/>
  <c r="U14" i="34"/>
  <c r="AB14" i="34"/>
  <c r="AC43" i="34"/>
  <c r="W43" i="34"/>
  <c r="AA11" i="34"/>
  <c r="W23" i="34"/>
  <c r="AC23" i="34"/>
  <c r="AC35" i="34"/>
  <c r="W35" i="34"/>
  <c r="AB12" i="34"/>
  <c r="AB28" i="33"/>
  <c r="AC37" i="33"/>
  <c r="U39" i="33"/>
  <c r="S33" i="33"/>
  <c r="AB34" i="33"/>
  <c r="U44" i="33"/>
  <c r="AC14" i="33"/>
  <c r="S31" i="33"/>
  <c r="AA31" i="33"/>
  <c r="W13" i="33"/>
  <c r="AC13" i="33"/>
  <c r="U15" i="33"/>
  <c r="U37" i="33"/>
  <c r="AC28" i="33"/>
  <c r="S28" i="33"/>
  <c r="W8" i="33"/>
  <c r="AB42" i="21"/>
  <c r="U28" i="21"/>
  <c r="AA11" i="21"/>
  <c r="S45" i="21"/>
  <c r="I101" i="21"/>
  <c r="J101" i="21" s="1"/>
  <c r="K101" i="21" s="1"/>
  <c r="L101" i="21" s="1"/>
  <c r="M101" i="21" s="1"/>
  <c r="F33" i="21"/>
  <c r="S33" i="21" s="1"/>
  <c r="J33" i="21"/>
  <c r="W33" i="21" s="1"/>
  <c r="H33" i="21"/>
  <c r="AB33" i="21" s="1"/>
  <c r="F37" i="21"/>
  <c r="AA37" i="21" s="1"/>
  <c r="AA26" i="21"/>
  <c r="AB31" i="21"/>
  <c r="U31" i="21"/>
  <c r="AC15" i="21"/>
  <c r="AB13" i="21"/>
  <c r="W8" i="21"/>
  <c r="S35" i="21"/>
  <c r="AB37" i="21"/>
  <c r="J37" i="21"/>
  <c r="W37" i="21" s="1"/>
  <c r="H15" i="21"/>
  <c r="U15" i="21" s="1"/>
  <c r="J17" i="21"/>
  <c r="AC17" i="21" s="1"/>
  <c r="AC19" i="21"/>
  <c r="H45" i="21"/>
  <c r="F29" i="21"/>
  <c r="S29" i="21" s="1"/>
  <c r="F13" i="21"/>
  <c r="AA13" i="21" s="1"/>
  <c r="AC38" i="21"/>
  <c r="H32" i="21"/>
  <c r="H9" i="21"/>
  <c r="U9" i="21" s="1"/>
  <c r="J9" i="21"/>
  <c r="J32" i="21"/>
  <c r="AC32" i="21" s="1"/>
  <c r="F32" i="21"/>
  <c r="AA31" i="21"/>
  <c r="U17" i="21"/>
  <c r="W29" i="21"/>
  <c r="S9" i="21"/>
  <c r="AA9" i="21"/>
  <c r="K141" i="21"/>
  <c r="K144" i="21"/>
  <c r="K143" i="21"/>
  <c r="U27" i="21"/>
  <c r="AB25" i="21"/>
  <c r="AB44" i="21"/>
  <c r="AA30" i="21"/>
  <c r="W13" i="21"/>
  <c r="W42" i="21"/>
  <c r="AC45" i="21"/>
  <c r="F10" i="21"/>
  <c r="S10" i="21" s="1"/>
  <c r="K145" i="21"/>
  <c r="W17" i="21"/>
  <c r="AA29" i="21"/>
  <c r="W31" i="21"/>
  <c r="AA15" i="21"/>
  <c r="AC26" i="21"/>
  <c r="S28" i="21"/>
  <c r="AC34" i="21"/>
  <c r="W10" i="21"/>
  <c r="AB36" i="21"/>
  <c r="C19" i="39"/>
  <c r="C15" i="40"/>
  <c r="C17" i="40"/>
  <c r="C23" i="40"/>
  <c r="C21" i="40"/>
  <c r="B54" i="43"/>
  <c r="B65" i="43"/>
  <c r="B49" i="43"/>
  <c r="B52" i="43"/>
  <c r="B56" i="43"/>
  <c r="B60" i="43"/>
  <c r="B63" i="43"/>
  <c r="B67" i="43"/>
  <c r="D23" i="15"/>
  <c r="D22" i="15"/>
  <c r="E4" i="4"/>
  <c r="B5" i="62" s="1"/>
  <c r="B73" i="72" s="1"/>
  <c r="C4" i="4"/>
  <c r="F30" i="68"/>
  <c r="F48" i="68" s="1"/>
  <c r="E7" i="70"/>
  <c r="AA12" i="33"/>
  <c r="J32" i="39"/>
  <c r="H32" i="39"/>
  <c r="AB32" i="39" s="1"/>
  <c r="AA32" i="39"/>
  <c r="S32" i="39"/>
  <c r="AB21" i="39"/>
  <c r="U21" i="39"/>
  <c r="AA21" i="39"/>
  <c r="S21" i="39"/>
  <c r="U9" i="35"/>
  <c r="AB9" i="35"/>
  <c r="AA9" i="35"/>
  <c r="AC26" i="35"/>
  <c r="W26" i="35"/>
  <c r="AB26" i="35"/>
  <c r="AC17" i="37"/>
  <c r="J19" i="37"/>
  <c r="W19" i="37" s="1"/>
  <c r="S19" i="37"/>
  <c r="AA19" i="37"/>
  <c r="AA23" i="37"/>
  <c r="J23" i="37"/>
  <c r="G79" i="37"/>
  <c r="J10" i="37"/>
  <c r="I60" i="37"/>
  <c r="G63" i="37"/>
  <c r="H11" i="37"/>
  <c r="AB11" i="37" s="1"/>
  <c r="AB10" i="37"/>
  <c r="U10" i="37"/>
  <c r="H11" i="34"/>
  <c r="AB11" i="34" s="1"/>
  <c r="U10" i="34"/>
  <c r="J10" i="34"/>
  <c r="I67" i="34"/>
  <c r="U41" i="33"/>
  <c r="AC35" i="33"/>
  <c r="J36" i="33"/>
  <c r="W36" i="33" s="1"/>
  <c r="H36" i="33"/>
  <c r="U36" i="33" s="1"/>
  <c r="S36" i="33"/>
  <c r="AC32" i="33"/>
  <c r="W32" i="33"/>
  <c r="U27" i="33"/>
  <c r="G91" i="33"/>
  <c r="H91" i="33" s="1"/>
  <c r="I91" i="33" s="1"/>
  <c r="J91" i="33" s="1"/>
  <c r="K91" i="33" s="1"/>
  <c r="L91" i="33" s="1"/>
  <c r="M91" i="33" s="1"/>
  <c r="J27" i="33"/>
  <c r="W27" i="33" s="1"/>
  <c r="U25" i="33"/>
  <c r="S25" i="33"/>
  <c r="AA25" i="33"/>
  <c r="G87" i="33"/>
  <c r="H87" i="33" s="1"/>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H23" i="21"/>
  <c r="S13" i="21"/>
  <c r="S6" i="43"/>
  <c r="S4" i="43"/>
  <c r="S7" i="43"/>
  <c r="AP7" i="1"/>
  <c r="AC33" i="21"/>
  <c r="AA33" i="21"/>
  <c r="AB9" i="21"/>
  <c r="AA32" i="21"/>
  <c r="S32" i="21"/>
  <c r="W9" i="21"/>
  <c r="AC9" i="21"/>
  <c r="AB32" i="21"/>
  <c r="U32" i="21"/>
  <c r="U32" i="39"/>
  <c r="AC32" i="39"/>
  <c r="W32" i="39"/>
  <c r="W23" i="37"/>
  <c r="AC23" i="37"/>
  <c r="U11" i="37"/>
  <c r="H63" i="37"/>
  <c r="I63" i="37"/>
  <c r="J63" i="37" s="1"/>
  <c r="K63" i="37" s="1"/>
  <c r="L63" i="37" s="1"/>
  <c r="M63" i="37" s="1"/>
  <c r="J11" i="37"/>
  <c r="W11" i="37" s="1"/>
  <c r="W10" i="37"/>
  <c r="AC10" i="37"/>
  <c r="AC10" i="34"/>
  <c r="W10" i="34"/>
  <c r="J11" i="34"/>
  <c r="AC36" i="33"/>
  <c r="AB36" i="33"/>
  <c r="AC27" i="33"/>
  <c r="AC25" i="33"/>
  <c r="AA23" i="33"/>
  <c r="S23" i="33"/>
  <c r="S17" i="33"/>
  <c r="U17" i="33"/>
  <c r="AB17" i="33"/>
  <c r="U23" i="21"/>
  <c r="AB23" i="21"/>
  <c r="AC11" i="37"/>
  <c r="W11" i="34"/>
  <c r="AC11" i="34"/>
  <c r="F34" i="11"/>
  <c r="F11" i="12"/>
  <c r="F34" i="68"/>
  <c r="R8" i="1"/>
  <c r="AE8" i="1"/>
  <c r="AG6" i="1"/>
  <c r="H109" i="9"/>
  <c r="M49" i="9" s="1"/>
  <c r="L68" i="9" s="1"/>
  <c r="M68" i="9" s="1"/>
  <c r="H110" i="9"/>
  <c r="D18" i="53" s="1"/>
  <c r="B35" i="72" s="1"/>
  <c r="D16" i="53"/>
  <c r="B34" i="72" s="1"/>
  <c r="H112" i="9"/>
  <c r="D21" i="53" s="1"/>
  <c r="B39" i="72" s="1"/>
  <c r="H111" i="9"/>
  <c r="D126" i="9" s="1"/>
  <c r="I14" i="74" s="1"/>
  <c r="B8" i="74" s="1"/>
  <c r="D19" i="53"/>
  <c r="B38" i="72" s="1"/>
  <c r="D20" i="53"/>
  <c r="B40" i="72" s="1"/>
  <c r="AD3" i="71"/>
  <c r="J1" i="73"/>
  <c r="C13" i="12"/>
  <c r="H76" i="4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E46" i="36"/>
  <c r="F46" i="36" s="1"/>
  <c r="G46" i="36" s="1"/>
  <c r="H46" i="36" s="1"/>
  <c r="I46" i="36" s="1"/>
  <c r="AB19" i="71"/>
  <c r="X17" i="71"/>
  <c r="X16" i="71"/>
  <c r="AA17" i="71"/>
  <c r="AA16" i="71"/>
  <c r="X20" i="71"/>
  <c r="Y16" i="71"/>
  <c r="Z16" i="71" s="1"/>
  <c r="AB17" i="71"/>
  <c r="AB16" i="71"/>
  <c r="C94" i="9"/>
  <c r="C92" i="9"/>
  <c r="Y17" i="71"/>
  <c r="Z17" i="71" s="1"/>
  <c r="X3" i="71"/>
  <c r="G20" i="43"/>
  <c r="C20" i="43" s="1"/>
  <c r="I59" i="34"/>
  <c r="J59" i="34" s="1"/>
  <c r="F38" i="79"/>
  <c r="M24" i="79"/>
  <c r="F20" i="31"/>
  <c r="F16" i="15"/>
  <c r="F4" i="73"/>
  <c r="E9" i="76"/>
  <c r="F7" i="67"/>
  <c r="F9" i="67"/>
  <c r="AO12" i="1"/>
  <c r="F36" i="79"/>
  <c r="F42" i="79"/>
  <c r="M6" i="15"/>
  <c r="F6" i="15"/>
  <c r="M28" i="67"/>
  <c r="B13" i="76"/>
  <c r="F8" i="79"/>
  <c r="L48" i="15"/>
  <c r="E10" i="76"/>
  <c r="M23" i="67"/>
  <c r="E2" i="68"/>
  <c r="C76" i="67"/>
  <c r="M28" i="15"/>
  <c r="M24" i="15"/>
  <c r="M9" i="79"/>
  <c r="F40" i="79"/>
  <c r="D3" i="73"/>
  <c r="F40" i="15"/>
  <c r="F8" i="67"/>
  <c r="B9" i="76"/>
  <c r="F38" i="15"/>
  <c r="D2" i="33"/>
  <c r="E11" i="76"/>
  <c r="F37" i="15"/>
  <c r="M24" i="67"/>
  <c r="C76" i="79"/>
  <c r="B7" i="76"/>
  <c r="D7" i="73"/>
  <c r="F26" i="15"/>
  <c r="M8" i="79"/>
  <c r="M26" i="15"/>
  <c r="L47" i="67"/>
  <c r="M8" i="67"/>
  <c r="D2" i="37"/>
  <c r="F9" i="15"/>
  <c r="C76" i="15"/>
  <c r="D2" i="36"/>
  <c r="M23" i="79"/>
  <c r="M28" i="79"/>
  <c r="M26" i="67"/>
  <c r="B10" i="76"/>
  <c r="F42" i="15"/>
  <c r="F16" i="79"/>
  <c r="F9" i="79"/>
  <c r="F7" i="15"/>
  <c r="F42" i="67"/>
  <c r="F26" i="67"/>
  <c r="J15" i="67"/>
  <c r="M22" i="79"/>
  <c r="F7" i="73"/>
  <c r="F36" i="15"/>
  <c r="M27" i="79"/>
  <c r="M29" i="79"/>
  <c r="B8" i="76"/>
  <c r="AO9" i="1"/>
  <c r="F13" i="15"/>
  <c r="L47" i="15"/>
  <c r="J15" i="15"/>
  <c r="D4" i="73"/>
  <c r="M22" i="15"/>
  <c r="F6" i="79"/>
  <c r="F6" i="67"/>
  <c r="D6" i="73"/>
  <c r="F16" i="67"/>
  <c r="M29" i="67"/>
  <c r="M26" i="79"/>
  <c r="L48" i="79"/>
  <c r="M8" i="15"/>
  <c r="AO11" i="1"/>
  <c r="F43" i="15"/>
  <c r="F38" i="67"/>
  <c r="M9" i="67"/>
  <c r="F8" i="15"/>
  <c r="F37" i="67"/>
  <c r="F13" i="79"/>
  <c r="M9" i="15"/>
  <c r="D2" i="21"/>
  <c r="M29" i="15"/>
  <c r="B11" i="76"/>
  <c r="F5" i="73"/>
  <c r="M6" i="67"/>
  <c r="F43" i="79"/>
  <c r="AO13" i="1"/>
  <c r="F3" i="73"/>
  <c r="E8" i="76"/>
  <c r="E13" i="76"/>
  <c r="F43" i="67"/>
  <c r="F6" i="73"/>
  <c r="M6" i="79"/>
  <c r="L47" i="79"/>
  <c r="F36" i="67"/>
  <c r="L48" i="67"/>
  <c r="E12" i="76"/>
  <c r="D2" i="35"/>
  <c r="AO8" i="1"/>
  <c r="E2" i="69"/>
  <c r="AO10" i="1"/>
  <c r="F26" i="79"/>
  <c r="F7" i="79"/>
  <c r="E7" i="76"/>
  <c r="B12" i="76"/>
  <c r="D5" i="73"/>
  <c r="J15" i="79"/>
  <c r="M27" i="67"/>
  <c r="F40" i="67"/>
  <c r="M23" i="15"/>
  <c r="M27" i="15"/>
  <c r="F37" i="79"/>
  <c r="F13" i="67"/>
  <c r="D2" i="34"/>
  <c r="M22" i="67"/>
  <c r="U13" i="40" l="1"/>
  <c r="AB13" i="40"/>
  <c r="AZ568" i="3"/>
  <c r="AZ519" i="3"/>
  <c r="AZ512" i="3"/>
  <c r="AZ511" i="3"/>
  <c r="E12" i="6"/>
  <c r="E13" i="6"/>
  <c r="E10" i="6"/>
  <c r="G28" i="6"/>
  <c r="AC9" i="33"/>
  <c r="W9" i="33"/>
  <c r="S14" i="33"/>
  <c r="AA14" i="33"/>
  <c r="AB9" i="37"/>
  <c r="U9" i="37"/>
  <c r="F30" i="11"/>
  <c r="F32" i="79"/>
  <c r="F60" i="79" s="1"/>
  <c r="F28" i="79"/>
  <c r="C28" i="79" s="1"/>
  <c r="M18" i="79"/>
  <c r="E15" i="6"/>
  <c r="AZ501" i="3"/>
  <c r="AZ515" i="3"/>
  <c r="AZ587" i="3"/>
  <c r="AZ508" i="3"/>
  <c r="AZ520" i="3"/>
  <c r="S14" i="37"/>
  <c r="AA14" i="37"/>
  <c r="AC11" i="36"/>
  <c r="W11" i="36"/>
  <c r="U46" i="34"/>
  <c r="AB46" i="34"/>
  <c r="S14" i="34"/>
  <c r="AA14" i="34"/>
  <c r="U45" i="33"/>
  <c r="AB45" i="33"/>
  <c r="AB13" i="33"/>
  <c r="U13" i="33"/>
  <c r="AA26" i="33"/>
  <c r="S26" i="33"/>
  <c r="S39" i="37"/>
  <c r="AA39" i="37"/>
  <c r="AC36" i="39"/>
  <c r="W36" i="39"/>
  <c r="AB34" i="21"/>
  <c r="U34" i="21"/>
  <c r="BL586" i="3"/>
  <c r="AZ586" i="3" s="1"/>
  <c r="BL585" i="3"/>
  <c r="BA585" i="3"/>
  <c r="AZ585" i="3" s="1"/>
  <c r="J14" i="21"/>
  <c r="H14" i="21"/>
  <c r="AA8" i="33"/>
  <c r="S8" i="33"/>
  <c r="H30" i="33"/>
  <c r="J30" i="33"/>
  <c r="J44" i="33"/>
  <c r="F44" i="33"/>
  <c r="J46" i="33"/>
  <c r="F46" i="33"/>
  <c r="H46" i="33"/>
  <c r="H13" i="34"/>
  <c r="J13" i="34"/>
  <c r="F13" i="34"/>
  <c r="J29" i="34"/>
  <c r="H29" i="34"/>
  <c r="AB31" i="34"/>
  <c r="U31" i="34"/>
  <c r="H45" i="34"/>
  <c r="F45" i="34"/>
  <c r="F13" i="35"/>
  <c r="S13" i="35" s="1"/>
  <c r="H13" i="35"/>
  <c r="W27" i="35"/>
  <c r="AC27" i="35"/>
  <c r="U8" i="36"/>
  <c r="AB8" i="36"/>
  <c r="W16" i="36"/>
  <c r="AC16" i="36"/>
  <c r="J24" i="36"/>
  <c r="H24" i="36"/>
  <c r="H25" i="37"/>
  <c r="J25" i="37"/>
  <c r="F25" i="37"/>
  <c r="U8" i="39"/>
  <c r="AB8" i="39"/>
  <c r="AA40" i="39"/>
  <c r="S40" i="39"/>
  <c r="AA44" i="39"/>
  <c r="S44" i="39"/>
  <c r="J43" i="39"/>
  <c r="H43" i="39"/>
  <c r="H45" i="39"/>
  <c r="F45" i="39"/>
  <c r="J39" i="40"/>
  <c r="H39" i="40"/>
  <c r="AA40" i="33"/>
  <c r="S40" i="33"/>
  <c r="BL569" i="3"/>
  <c r="AZ569" i="3" s="1"/>
  <c r="BA567" i="3"/>
  <c r="AZ567" i="3" s="1"/>
  <c r="BL566" i="3"/>
  <c r="AZ566" i="3" s="1"/>
  <c r="BL564" i="3"/>
  <c r="AZ564" i="3" s="1"/>
  <c r="BA563" i="3"/>
  <c r="BA559" i="3"/>
  <c r="AZ559" i="3" s="1"/>
  <c r="BA558" i="3"/>
  <c r="AZ558" i="3" s="1"/>
  <c r="BL557" i="3"/>
  <c r="BA557" i="3"/>
  <c r="BL556" i="3"/>
  <c r="AZ556" i="3" s="1"/>
  <c r="BL524" i="3"/>
  <c r="BA524" i="3"/>
  <c r="AZ524" i="3" s="1"/>
  <c r="BA523" i="3"/>
  <c r="AZ523" i="3" s="1"/>
  <c r="BA522" i="3"/>
  <c r="AZ522" i="3" s="1"/>
  <c r="BA518" i="3"/>
  <c r="AZ518" i="3" s="1"/>
  <c r="BA517" i="3"/>
  <c r="AZ517" i="3" s="1"/>
  <c r="BL516" i="3"/>
  <c r="BA516" i="3"/>
  <c r="AZ516" i="3" s="1"/>
  <c r="BL514" i="3"/>
  <c r="BA514" i="3"/>
  <c r="AZ514" i="3" s="1"/>
  <c r="BA513" i="3"/>
  <c r="BA510" i="3"/>
  <c r="AZ510" i="3" s="1"/>
  <c r="BA507" i="3"/>
  <c r="AZ507" i="3" s="1"/>
  <c r="BL506" i="3"/>
  <c r="BA506" i="3"/>
  <c r="BL504" i="3"/>
  <c r="AZ504" i="3" s="1"/>
  <c r="BA503" i="3"/>
  <c r="AZ503" i="3" s="1"/>
  <c r="BA502" i="3"/>
  <c r="AZ502" i="3" s="1"/>
  <c r="BA499" i="3"/>
  <c r="BL498" i="3"/>
  <c r="BA498" i="3"/>
  <c r="BL496" i="3"/>
  <c r="AZ496" i="3" s="1"/>
  <c r="BA495" i="3"/>
  <c r="BA494" i="3"/>
  <c r="AZ494" i="3" s="1"/>
  <c r="C48" i="68"/>
  <c r="H74" i="43"/>
  <c r="H70" i="43"/>
  <c r="H77" i="43"/>
  <c r="D17" i="53"/>
  <c r="B36" i="72" s="1"/>
  <c r="D124" i="9"/>
  <c r="C23" i="12"/>
  <c r="W23" i="21"/>
  <c r="U19" i="33"/>
  <c r="U11" i="34"/>
  <c r="AC19" i="37"/>
  <c r="AA10" i="21"/>
  <c r="W32" i="21"/>
  <c r="E109" i="43"/>
  <c r="D6" i="52"/>
  <c r="AB15" i="21"/>
  <c r="S37" i="21"/>
  <c r="AC37" i="21"/>
  <c r="AA19" i="33"/>
  <c r="S17" i="37"/>
  <c r="S26" i="35"/>
  <c r="U30" i="40"/>
  <c r="W30" i="40"/>
  <c r="W12" i="21"/>
  <c r="AB29" i="21"/>
  <c r="S17" i="21"/>
  <c r="W25" i="21"/>
  <c r="S19" i="21"/>
  <c r="W39" i="21"/>
  <c r="U40" i="21"/>
  <c r="S44" i="21"/>
  <c r="S11" i="33"/>
  <c r="U38" i="33"/>
  <c r="U38" i="34"/>
  <c r="W33" i="34"/>
  <c r="U19" i="34"/>
  <c r="U19" i="37"/>
  <c r="AA11" i="37"/>
  <c r="AB37" i="37"/>
  <c r="U25" i="35"/>
  <c r="W9" i="36"/>
  <c r="AC20" i="36"/>
  <c r="U32" i="36"/>
  <c r="AC25" i="36"/>
  <c r="U41" i="39"/>
  <c r="W19" i="40"/>
  <c r="S37" i="40"/>
  <c r="H72" i="43"/>
  <c r="H78" i="43"/>
  <c r="H88" i="43"/>
  <c r="H81" i="43"/>
  <c r="AQ12" i="1"/>
  <c r="E14" i="6"/>
  <c r="E63" i="39" s="1"/>
  <c r="AB14" i="33"/>
  <c r="U9" i="33"/>
  <c r="W43" i="33"/>
  <c r="AA29" i="33"/>
  <c r="S27" i="33"/>
  <c r="AC39" i="34"/>
  <c r="AB17" i="37"/>
  <c r="W38" i="37"/>
  <c r="AC9" i="37"/>
  <c r="AC10" i="35"/>
  <c r="S20" i="35"/>
  <c r="AB16" i="35"/>
  <c r="W32" i="35"/>
  <c r="S32" i="35"/>
  <c r="W24" i="35"/>
  <c r="U16" i="36"/>
  <c r="U23" i="36"/>
  <c r="S24" i="36"/>
  <c r="S29" i="36"/>
  <c r="AC27" i="36"/>
  <c r="AC13" i="39"/>
  <c r="S9" i="39"/>
  <c r="S17" i="40"/>
  <c r="U35" i="40"/>
  <c r="AA34" i="33"/>
  <c r="F39" i="40"/>
  <c r="AA47" i="34"/>
  <c r="H82" i="43"/>
  <c r="H75" i="43"/>
  <c r="S31" i="39"/>
  <c r="AB23" i="35"/>
  <c r="AC11" i="39"/>
  <c r="S14" i="35"/>
  <c r="AZ373" i="3"/>
  <c r="AZ371" i="3"/>
  <c r="AZ342" i="3"/>
  <c r="AZ336" i="3"/>
  <c r="AZ321" i="3"/>
  <c r="AZ304" i="3"/>
  <c r="AZ124" i="3"/>
  <c r="AZ325" i="3"/>
  <c r="K5" i="4"/>
  <c r="B47" i="48" s="1"/>
  <c r="U40" i="39"/>
  <c r="AC13" i="40"/>
  <c r="AA25" i="21"/>
  <c r="F36" i="35"/>
  <c r="W40" i="37"/>
  <c r="W47" i="34"/>
  <c r="U39" i="37"/>
  <c r="AB28" i="37"/>
  <c r="H32" i="40"/>
  <c r="F32" i="40"/>
  <c r="H24" i="35"/>
  <c r="F24" i="35"/>
  <c r="AA12" i="21"/>
  <c r="BL495" i="3"/>
  <c r="AZ495" i="3" s="1"/>
  <c r="BL499" i="3"/>
  <c r="AZ499" i="3" s="1"/>
  <c r="BL505" i="3"/>
  <c r="AZ505" i="3" s="1"/>
  <c r="BL513" i="3"/>
  <c r="AZ513" i="3" s="1"/>
  <c r="BL521" i="3"/>
  <c r="AZ573" i="3"/>
  <c r="AZ576" i="3"/>
  <c r="AZ580" i="3"/>
  <c r="W35" i="39"/>
  <c r="W29" i="33"/>
  <c r="S45" i="33"/>
  <c r="W11" i="35"/>
  <c r="AC13" i="36"/>
  <c r="H13" i="39"/>
  <c r="F13" i="40"/>
  <c r="J13" i="35"/>
  <c r="H47" i="34"/>
  <c r="F31" i="34"/>
  <c r="F29" i="34"/>
  <c r="F30" i="33"/>
  <c r="H13" i="36"/>
  <c r="U11" i="36"/>
  <c r="AB11" i="36"/>
  <c r="AA44" i="34"/>
  <c r="S44" i="34"/>
  <c r="AB42" i="34"/>
  <c r="U11" i="21"/>
  <c r="AB11" i="21"/>
  <c r="S27" i="35"/>
  <c r="W33" i="33"/>
  <c r="U31" i="36"/>
  <c r="J45" i="39"/>
  <c r="J27" i="21"/>
  <c r="F27" i="21"/>
  <c r="H30" i="21"/>
  <c r="U30" i="21" s="1"/>
  <c r="J30" i="21"/>
  <c r="H46" i="21"/>
  <c r="F46" i="21"/>
  <c r="B77" i="43"/>
  <c r="C25" i="39"/>
  <c r="F9" i="33"/>
  <c r="H12" i="33"/>
  <c r="AB33" i="33"/>
  <c r="U33" i="33"/>
  <c r="AA38" i="33"/>
  <c r="S38" i="33"/>
  <c r="AC39" i="33"/>
  <c r="W39" i="33"/>
  <c r="J9" i="34"/>
  <c r="F9" i="34"/>
  <c r="F28" i="34"/>
  <c r="J28" i="34"/>
  <c r="AB8" i="35"/>
  <c r="U8" i="35"/>
  <c r="H13" i="37"/>
  <c r="J13" i="37"/>
  <c r="H27" i="37"/>
  <c r="J27" i="37"/>
  <c r="AC8" i="40"/>
  <c r="W8" i="40"/>
  <c r="AB31" i="35"/>
  <c r="U31" i="35"/>
  <c r="AB36" i="39"/>
  <c r="U36" i="39"/>
  <c r="BA584" i="3"/>
  <c r="AZ584" i="3" s="1"/>
  <c r="BL583" i="3"/>
  <c r="BA583" i="3"/>
  <c r="BL582" i="3"/>
  <c r="AZ582" i="3" s="1"/>
  <c r="BL580" i="3"/>
  <c r="BA579" i="3"/>
  <c r="BL577" i="3"/>
  <c r="AZ577" i="3" s="1"/>
  <c r="BA575" i="3"/>
  <c r="AZ575" i="3" s="1"/>
  <c r="BL574" i="3"/>
  <c r="AZ574" i="3" s="1"/>
  <c r="BL572" i="3"/>
  <c r="AZ572" i="3" s="1"/>
  <c r="BA571" i="3"/>
  <c r="BL554" i="3"/>
  <c r="BA554" i="3"/>
  <c r="BA553" i="3"/>
  <c r="AZ553" i="3" s="1"/>
  <c r="BA551" i="3"/>
  <c r="AZ551" i="3" s="1"/>
  <c r="BL550" i="3"/>
  <c r="BA550" i="3"/>
  <c r="BL548" i="3"/>
  <c r="BA548" i="3"/>
  <c r="BA547" i="3"/>
  <c r="AZ547" i="3" s="1"/>
  <c r="BL544" i="3"/>
  <c r="BA544" i="3"/>
  <c r="AZ544" i="3" s="1"/>
  <c r="BA543" i="3"/>
  <c r="AZ543" i="3" s="1"/>
  <c r="BL542" i="3"/>
  <c r="AZ542" i="3" s="1"/>
  <c r="BA540" i="3"/>
  <c r="AZ540" i="3" s="1"/>
  <c r="BA539" i="3"/>
  <c r="AZ539" i="3" s="1"/>
  <c r="BL536" i="3"/>
  <c r="BA536" i="3"/>
  <c r="AZ536" i="3" s="1"/>
  <c r="BA535" i="3"/>
  <c r="AZ535" i="3" s="1"/>
  <c r="BL534" i="3"/>
  <c r="AZ534" i="3" s="1"/>
  <c r="BL532" i="3"/>
  <c r="BA532" i="3"/>
  <c r="AZ532" i="3" s="1"/>
  <c r="BA531" i="3"/>
  <c r="AZ531" i="3" s="1"/>
  <c r="BL528" i="3"/>
  <c r="BA528" i="3"/>
  <c r="BA527" i="3"/>
  <c r="AZ527" i="3" s="1"/>
  <c r="BL526" i="3"/>
  <c r="BA526" i="3"/>
  <c r="AZ526" i="3" s="1"/>
  <c r="M20" i="15"/>
  <c r="F34" i="79"/>
  <c r="F62" i="79" s="1"/>
  <c r="M20" i="79"/>
  <c r="BL16" i="3"/>
  <c r="AZ16" i="3" s="1"/>
  <c r="AZ438" i="3"/>
  <c r="AZ443" i="3"/>
  <c r="AZ298" i="3"/>
  <c r="AZ22" i="3"/>
  <c r="AA21" i="37"/>
  <c r="S21" i="37"/>
  <c r="AC18" i="35"/>
  <c r="W18" i="35"/>
  <c r="AC29" i="39"/>
  <c r="W29" i="39"/>
  <c r="AC25" i="40"/>
  <c r="W25" i="40"/>
  <c r="C67" i="71"/>
  <c r="D67" i="71" s="1"/>
  <c r="D68" i="71"/>
  <c r="C63" i="71"/>
  <c r="D64" i="71"/>
  <c r="F25" i="71"/>
  <c r="F24" i="71" s="1"/>
  <c r="F23" i="71" s="1"/>
  <c r="AB24" i="71"/>
  <c r="AB23" i="71"/>
  <c r="C32" i="71"/>
  <c r="D31" i="71"/>
  <c r="Y25" i="71"/>
  <c r="Z25" i="71" s="1"/>
  <c r="C25" i="71"/>
  <c r="AA26" i="71"/>
  <c r="E27" i="71"/>
  <c r="E28" i="71" s="1"/>
  <c r="E29" i="71" s="1"/>
  <c r="U29" i="71" s="1"/>
  <c r="AA22" i="71"/>
  <c r="AA24" i="71"/>
  <c r="AA23" i="71"/>
  <c r="X30" i="71"/>
  <c r="X29" i="71"/>
  <c r="B31" i="71"/>
  <c r="B32" i="71" s="1"/>
  <c r="B33" i="71" s="1"/>
  <c r="S33" i="71" s="1"/>
  <c r="X28" i="71"/>
  <c r="E31" i="71"/>
  <c r="E32" i="71" s="1"/>
  <c r="E33" i="71" s="1"/>
  <c r="U33" i="71" s="1"/>
  <c r="AA30" i="71"/>
  <c r="E35" i="71"/>
  <c r="E36" i="71" s="1"/>
  <c r="E37" i="71" s="1"/>
  <c r="U37" i="71" s="1"/>
  <c r="AA34" i="71"/>
  <c r="AA33" i="71"/>
  <c r="AA32" i="71"/>
  <c r="Y22" i="71"/>
  <c r="Z22" i="71" s="1"/>
  <c r="BL563" i="3"/>
  <c r="AZ563" i="3" s="1"/>
  <c r="BL571" i="3"/>
  <c r="AZ571" i="3" s="1"/>
  <c r="BL579" i="3"/>
  <c r="G574" i="3"/>
  <c r="G558" i="3"/>
  <c r="G542" i="3"/>
  <c r="C18" i="9"/>
  <c r="D18" i="9" s="1"/>
  <c r="BL15" i="3"/>
  <c r="B13" i="53"/>
  <c r="B29"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BL346" i="3"/>
  <c r="AZ346" i="3" s="1"/>
  <c r="G349" i="3"/>
  <c r="BA350" i="3"/>
  <c r="AZ350" i="3" s="1"/>
  <c r="BL353" i="3"/>
  <c r="AZ353" i="3" s="1"/>
  <c r="BL354" i="3"/>
  <c r="AZ354" i="3" s="1"/>
  <c r="G362" i="3"/>
  <c r="G366" i="3"/>
  <c r="BA367" i="3"/>
  <c r="AZ367" i="3" s="1"/>
  <c r="BA370" i="3"/>
  <c r="AZ370" i="3" s="1"/>
  <c r="BA374" i="3"/>
  <c r="AZ374" i="3" s="1"/>
  <c r="G380" i="3"/>
  <c r="G384" i="3"/>
  <c r="BA385" i="3"/>
  <c r="AZ385" i="3" s="1"/>
  <c r="BL385" i="3"/>
  <c r="BA395" i="3"/>
  <c r="AZ395" i="3" s="1"/>
  <c r="BA396" i="3"/>
  <c r="AZ396" i="3" s="1"/>
  <c r="G209" i="3"/>
  <c r="G210" i="3"/>
  <c r="BL210" i="3"/>
  <c r="BA211" i="3"/>
  <c r="AZ211" i="3" s="1"/>
  <c r="AZ255" i="3"/>
  <c r="AZ274" i="3"/>
  <c r="AZ122" i="3"/>
  <c r="AZ70" i="3"/>
  <c r="U18" i="35"/>
  <c r="B75" i="43"/>
  <c r="B66" i="43"/>
  <c r="C29" i="39"/>
  <c r="B55" i="43"/>
  <c r="O64" i="71"/>
  <c r="AB25" i="71"/>
  <c r="C28" i="71"/>
  <c r="D27" i="71"/>
  <c r="X34" i="7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AZ301" i="3" s="1"/>
  <c r="BA302" i="3"/>
  <c r="AZ302" i="3" s="1"/>
  <c r="BA113" i="3"/>
  <c r="AZ113" i="3" s="1"/>
  <c r="BA114" i="3"/>
  <c r="AZ114" i="3" s="1"/>
  <c r="BL115" i="3"/>
  <c r="AZ115" i="3" s="1"/>
  <c r="G119" i="3"/>
  <c r="G122" i="3"/>
  <c r="BL122" i="3"/>
  <c r="BA124" i="3"/>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AC21" i="33"/>
  <c r="W21" i="33"/>
  <c r="AA18" i="36"/>
  <c r="S18" i="36"/>
  <c r="S65" i="71"/>
  <c r="B64" i="71"/>
  <c r="P65" i="71"/>
  <c r="E64" i="71"/>
  <c r="U65" i="71"/>
  <c r="U73" i="71"/>
  <c r="E72" i="71"/>
  <c r="E71" i="71" s="1"/>
  <c r="D85" i="71"/>
  <c r="C84" i="71"/>
  <c r="G75" i="3"/>
  <c r="G76" i="3"/>
  <c r="BL76" i="3"/>
  <c r="G79" i="3"/>
  <c r="G80" i="3"/>
  <c r="G81" i="3"/>
  <c r="BL81" i="3"/>
  <c r="BL83" i="3"/>
  <c r="AZ83" i="3" s="1"/>
  <c r="BL85" i="3"/>
  <c r="AZ85" i="3" s="1"/>
  <c r="G88" i="3"/>
  <c r="G89" i="3"/>
  <c r="G90" i="3"/>
  <c r="BL90" i="3"/>
  <c r="G92" i="3"/>
  <c r="BL92" i="3"/>
  <c r="BL94" i="3"/>
  <c r="AZ94" i="3" s="1"/>
  <c r="G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J51" i="15"/>
  <c r="E59" i="43"/>
  <c r="B57" i="43" s="1"/>
  <c r="AB27" i="71"/>
  <c r="AB26" i="71"/>
  <c r="AA28" i="71"/>
  <c r="AA29" i="71"/>
  <c r="AB31" i="71"/>
  <c r="X32" i="71"/>
  <c r="X33" i="71"/>
  <c r="AB35" i="71"/>
  <c r="AB34" i="71"/>
  <c r="U69" i="71"/>
  <c r="E68" i="71"/>
  <c r="E67" i="71" s="1"/>
  <c r="T73" i="71"/>
  <c r="D73" i="71"/>
  <c r="U77" i="71"/>
  <c r="E76" i="71"/>
  <c r="E75" i="71" s="1"/>
  <c r="AE12" i="43"/>
  <c r="AE10" i="43"/>
  <c r="X22" i="71"/>
  <c r="X24" i="71"/>
  <c r="Y23" i="71"/>
  <c r="Z23" i="71" s="1"/>
  <c r="P74" i="15"/>
  <c r="P61" i="15"/>
  <c r="AB22" i="71"/>
  <c r="E19" i="71"/>
  <c r="E18" i="71" s="1"/>
  <c r="E17" i="71" s="1"/>
  <c r="F28" i="71"/>
  <c r="F29" i="71" s="1"/>
  <c r="V29" i="71" s="1"/>
  <c r="X26" i="71"/>
  <c r="AB28" i="71"/>
  <c r="F32" i="71"/>
  <c r="F33" i="71" s="1"/>
  <c r="V33" i="71" s="1"/>
  <c r="AB32" i="71"/>
  <c r="F36" i="71"/>
  <c r="F37" i="71" s="1"/>
  <c r="V37" i="71" s="1"/>
  <c r="C52" i="71"/>
  <c r="C56" i="71"/>
  <c r="F19" i="71"/>
  <c r="F18" i="71" s="1"/>
  <c r="F17" i="71" s="1"/>
  <c r="F16" i="71" s="1"/>
  <c r="F15" i="71" s="1"/>
  <c r="F14" i="71" s="1"/>
  <c r="Q71" i="79"/>
  <c r="L57" i="79"/>
  <c r="I54" i="79"/>
  <c r="L56" i="79"/>
  <c r="L60" i="79"/>
  <c r="J53" i="79"/>
  <c r="J57" i="79"/>
  <c r="J55" i="79" s="1"/>
  <c r="J58" i="79" s="1"/>
  <c r="Q50" i="79" s="1"/>
  <c r="M59" i="79"/>
  <c r="L58" i="79"/>
  <c r="N59" i="79"/>
  <c r="L59" i="79"/>
  <c r="F68" i="79"/>
  <c r="F51" i="79"/>
  <c r="C27" i="79"/>
  <c r="F65" i="79"/>
  <c r="F64" i="79"/>
  <c r="F66" i="79"/>
  <c r="F71" i="79"/>
  <c r="F50" i="79"/>
  <c r="C49" i="79" s="1"/>
  <c r="M7" i="79"/>
  <c r="J6" i="79" s="1"/>
  <c r="J18" i="79" s="1"/>
  <c r="C6" i="79"/>
  <c r="M6" i="1"/>
  <c r="F54" i="9"/>
  <c r="F32" i="15"/>
  <c r="F60" i="15" s="1"/>
  <c r="C30" i="68"/>
  <c r="F52" i="9"/>
  <c r="C24" i="12"/>
  <c r="F28" i="15"/>
  <c r="C28" i="15" s="1"/>
  <c r="F32" i="67"/>
  <c r="F60" i="67" s="1"/>
  <c r="F28" i="67"/>
  <c r="C28" i="67" s="1"/>
  <c r="C36" i="11"/>
  <c r="D68" i="9"/>
  <c r="M18" i="15"/>
  <c r="F30" i="69"/>
  <c r="C30" i="69" s="1"/>
  <c r="M18" i="67"/>
  <c r="F31" i="12"/>
  <c r="C21" i="69"/>
  <c r="C5" i="11"/>
  <c r="D22" i="67"/>
  <c r="H105" i="43"/>
  <c r="E104" i="43"/>
  <c r="AQ9" i="1"/>
  <c r="L27" i="6"/>
  <c r="AR8" i="1"/>
  <c r="AZ13" i="3"/>
  <c r="AR10" i="1"/>
  <c r="E102" i="43"/>
  <c r="E107" i="43"/>
  <c r="H102" i="43"/>
  <c r="H106" i="43"/>
  <c r="AQ11" i="1"/>
  <c r="T11" i="1"/>
  <c r="AR11" i="1"/>
  <c r="AR13" i="1"/>
  <c r="T13" i="1"/>
  <c r="M109" i="43"/>
  <c r="M104" i="43"/>
  <c r="M105" i="43"/>
  <c r="G105" i="43"/>
  <c r="G102" i="43"/>
  <c r="G107" i="43"/>
  <c r="G104" i="43"/>
  <c r="G106" i="43"/>
  <c r="G109" i="43"/>
  <c r="F27" i="6"/>
  <c r="F31" i="6" s="1"/>
  <c r="E56" i="39"/>
  <c r="C101" i="43"/>
  <c r="C104" i="43" s="1"/>
  <c r="J101" i="43"/>
  <c r="L101" i="43"/>
  <c r="D101" i="43"/>
  <c r="I101" i="43"/>
  <c r="G22" i="43"/>
  <c r="AJ11" i="43"/>
  <c r="AJ13" i="43" s="1"/>
  <c r="AF11" i="43"/>
  <c r="AF13" i="43" s="1"/>
  <c r="AB11" i="43"/>
  <c r="AB13" i="43" s="1"/>
  <c r="Z7" i="43"/>
  <c r="AI11" i="43"/>
  <c r="AI13" i="43" s="1"/>
  <c r="AE11" i="43"/>
  <c r="AE13" i="43" s="1"/>
  <c r="AA11" i="43"/>
  <c r="AA13" i="43" s="1"/>
  <c r="C23" i="43"/>
  <c r="C21" i="43" s="1"/>
  <c r="S3" i="43"/>
  <c r="J22" i="43"/>
  <c r="D9" i="68"/>
  <c r="C9" i="68" s="1"/>
  <c r="D19" i="12"/>
  <c r="C19" i="12" s="1"/>
  <c r="C36" i="69"/>
  <c r="D9" i="69"/>
  <c r="C9" i="69" s="1"/>
  <c r="T9" i="1"/>
  <c r="E56" i="40"/>
  <c r="N104" i="46"/>
  <c r="H109" i="43"/>
  <c r="H104" i="43"/>
  <c r="H103" i="43"/>
  <c r="M103" i="43"/>
  <c r="M106" i="43"/>
  <c r="M102" i="43"/>
  <c r="E103" i="43"/>
  <c r="E106" i="43"/>
  <c r="T10" i="1"/>
  <c r="T12" i="1"/>
  <c r="E60" i="40"/>
  <c r="E64" i="39"/>
  <c r="T8" i="1"/>
  <c r="E16" i="6"/>
  <c r="E59" i="40"/>
  <c r="C69" i="39"/>
  <c r="D67" i="39"/>
  <c r="D69" i="39" s="1"/>
  <c r="P14" i="1"/>
  <c r="M7" i="1"/>
  <c r="Q16" i="1"/>
  <c r="H16" i="1"/>
  <c r="D12" i="52"/>
  <c r="D127" i="9"/>
  <c r="D13" i="52" s="1"/>
  <c r="L67" i="9"/>
  <c r="M67" i="9" s="1"/>
  <c r="L63" i="9"/>
  <c r="M63" i="9" s="1"/>
  <c r="M69" i="9" s="1"/>
  <c r="N69" i="9" s="1"/>
  <c r="L64" i="9"/>
  <c r="M64" i="9" s="1"/>
  <c r="L66" i="9"/>
  <c r="M66" i="9" s="1"/>
  <c r="L65" i="9"/>
  <c r="M65" i="9" s="1"/>
  <c r="F48" i="69"/>
  <c r="C48" i="69"/>
  <c r="C48" i="11"/>
  <c r="C30" i="11"/>
  <c r="P6" i="1"/>
  <c r="U45" i="21"/>
  <c r="AB45" i="21"/>
  <c r="P11" i="1"/>
  <c r="B113" i="43"/>
  <c r="F22" i="43"/>
  <c r="K101" i="43"/>
  <c r="F101" i="43"/>
  <c r="N101" i="43"/>
  <c r="E22" i="43"/>
  <c r="S12" i="34"/>
  <c r="AA12" i="34"/>
  <c r="F48" i="9"/>
  <c r="O52" i="9" s="1"/>
  <c r="F53" i="9"/>
  <c r="P12" i="1"/>
  <c r="O9" i="1"/>
  <c r="P9" i="1"/>
  <c r="AZ521" i="3"/>
  <c r="W9" i="34"/>
  <c r="AC9" i="34"/>
  <c r="AC34" i="35"/>
  <c r="W34" i="35"/>
  <c r="AB36" i="35"/>
  <c r="U36" i="35"/>
  <c r="S32" i="37"/>
  <c r="S27" i="36"/>
  <c r="S30" i="40"/>
  <c r="C31" i="12"/>
  <c r="AA39" i="34"/>
  <c r="U12" i="37"/>
  <c r="W31" i="34"/>
  <c r="AB30" i="21"/>
  <c r="AA13" i="35"/>
  <c r="O8" i="1"/>
  <c r="P8" i="1"/>
  <c r="AZ398" i="3"/>
  <c r="AZ405" i="3"/>
  <c r="AZ407" i="3"/>
  <c r="AZ410" i="3"/>
  <c r="AZ415" i="3"/>
  <c r="AZ420" i="3"/>
  <c r="AZ426" i="3"/>
  <c r="AZ431" i="3"/>
  <c r="AZ448" i="3"/>
  <c r="AZ452" i="3"/>
  <c r="AZ461" i="3"/>
  <c r="AZ463" i="3"/>
  <c r="AZ468" i="3"/>
  <c r="AZ470" i="3"/>
  <c r="AZ479" i="3"/>
  <c r="AZ485" i="3"/>
  <c r="AZ210" i="3"/>
  <c r="AZ225" i="3"/>
  <c r="AZ239" i="3"/>
  <c r="H9" i="34"/>
  <c r="F34" i="35"/>
  <c r="H34" i="35"/>
  <c r="J36" i="35"/>
  <c r="AZ489" i="3"/>
  <c r="AZ316" i="3"/>
  <c r="AZ332" i="3"/>
  <c r="AZ247" i="3"/>
  <c r="AZ260" i="3"/>
  <c r="AZ264" i="3"/>
  <c r="AZ282" i="3"/>
  <c r="AZ285" i="3"/>
  <c r="AZ290" i="3"/>
  <c r="AZ293" i="3"/>
  <c r="AZ153" i="3"/>
  <c r="AZ169" i="3"/>
  <c r="AZ185" i="3"/>
  <c r="AZ201" i="3"/>
  <c r="AZ207" i="3"/>
  <c r="AZ25" i="3"/>
  <c r="AZ30" i="3"/>
  <c r="AZ36" i="3"/>
  <c r="AZ40" i="3"/>
  <c r="AZ46" i="3"/>
  <c r="AZ49" i="3"/>
  <c r="AZ62" i="3"/>
  <c r="AZ65" i="3"/>
  <c r="AZ76" i="3"/>
  <c r="AZ81" i="3"/>
  <c r="AZ90" i="3"/>
  <c r="AZ92" i="3"/>
  <c r="AZ96" i="3"/>
  <c r="AZ112" i="3"/>
  <c r="F3" i="35"/>
  <c r="M100" i="43"/>
  <c r="I100" i="43"/>
  <c r="E100" i="43"/>
  <c r="D100" i="43"/>
  <c r="C40" i="68"/>
  <c r="C21" i="68"/>
  <c r="U18" i="36"/>
  <c r="X5" i="71"/>
  <c r="Y5" i="71"/>
  <c r="Z5" i="71" s="1"/>
  <c r="AA5" i="71"/>
  <c r="AB5" i="71"/>
  <c r="D39" i="71"/>
  <c r="C40" i="71"/>
  <c r="C44" i="71"/>
  <c r="D44" i="71" s="1"/>
  <c r="D43" i="71"/>
  <c r="X7" i="71"/>
  <c r="X6" i="71"/>
  <c r="AB6" i="71"/>
  <c r="AB7" i="71"/>
  <c r="F64" i="71"/>
  <c r="AF10" i="43"/>
  <c r="AC12" i="43"/>
  <c r="AC13" i="43" s="1"/>
  <c r="AC10" i="43"/>
  <c r="AG12" i="43"/>
  <c r="AG13" i="43" s="1"/>
  <c r="AG10" i="43"/>
  <c r="X21" i="71"/>
  <c r="Y21" i="71"/>
  <c r="Z21" i="71" s="1"/>
  <c r="AA20" i="71"/>
  <c r="X19" i="71"/>
  <c r="AA18" i="71"/>
  <c r="X18" i="71"/>
  <c r="X14" i="71"/>
  <c r="Y14" i="71"/>
  <c r="Z14" i="71" s="1"/>
  <c r="AA14" i="71"/>
  <c r="AB15" i="71"/>
  <c r="Y11" i="71"/>
  <c r="Z11" i="71" s="1"/>
  <c r="AB11" i="71"/>
  <c r="Y6" i="71"/>
  <c r="Z6" i="71" s="1"/>
  <c r="Y7" i="71"/>
  <c r="Z7" i="71" s="1"/>
  <c r="AA6" i="71"/>
  <c r="AA7" i="71"/>
  <c r="Z12" i="43"/>
  <c r="Z13" i="43" s="1"/>
  <c r="Z10" i="43"/>
  <c r="AD12" i="43"/>
  <c r="AD13" i="43" s="1"/>
  <c r="AD10" i="43"/>
  <c r="AH12" i="43"/>
  <c r="AH13" i="43" s="1"/>
  <c r="AH10" i="43"/>
  <c r="Y19" i="71"/>
  <c r="Z19" i="71" s="1"/>
  <c r="AB20" i="71"/>
  <c r="AB18" i="71"/>
  <c r="Y15" i="71"/>
  <c r="Z15" i="71" s="1"/>
  <c r="X15" i="71"/>
  <c r="AA15" i="71"/>
  <c r="Y18" i="71"/>
  <c r="Z18" i="71" s="1"/>
  <c r="AA19" i="71"/>
  <c r="X12" i="71"/>
  <c r="AA12" i="71"/>
  <c r="AA8" i="71"/>
  <c r="AA10" i="71"/>
  <c r="AA11" i="71"/>
  <c r="X9" i="71"/>
  <c r="X11" i="71"/>
  <c r="AB10" i="71"/>
  <c r="Y8" i="71"/>
  <c r="Z8" i="71" s="1"/>
  <c r="Y10" i="71"/>
  <c r="Z10" i="71" s="1"/>
  <c r="AA21" i="71"/>
  <c r="AB21" i="71"/>
  <c r="B21" i="71"/>
  <c r="C21" i="71"/>
  <c r="Y20" i="71"/>
  <c r="Z20" i="71" s="1"/>
  <c r="AB12" i="71"/>
  <c r="AB14" i="71"/>
  <c r="AA9" i="71"/>
  <c r="X8" i="71"/>
  <c r="X10" i="71"/>
  <c r="AB8" i="71"/>
  <c r="AB9" i="71"/>
  <c r="Y9" i="71"/>
  <c r="Z9" i="71" s="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C16" i="79"/>
  <c r="C16" i="15"/>
  <c r="G1" i="73"/>
  <c r="F7" i="36" l="1"/>
  <c r="AA7" i="36" s="1"/>
  <c r="R36" i="36" s="1"/>
  <c r="J7" i="37"/>
  <c r="H7" i="36"/>
  <c r="U7" i="36" s="1"/>
  <c r="H7" i="34"/>
  <c r="F7" i="34"/>
  <c r="S7" i="34" s="1"/>
  <c r="C7" i="43"/>
  <c r="E65" i="39"/>
  <c r="AZ23" i="3"/>
  <c r="BA5" i="3"/>
  <c r="E27" i="6" s="1"/>
  <c r="E175" i="3"/>
  <c r="E253" i="3"/>
  <c r="C29" i="71"/>
  <c r="D28" i="71"/>
  <c r="C57" i="71"/>
  <c r="D56" i="71"/>
  <c r="E16" i="71"/>
  <c r="E15" i="71" s="1"/>
  <c r="E14" i="71" s="1"/>
  <c r="E13" i="71" s="1"/>
  <c r="V17" i="71"/>
  <c r="D84" i="71"/>
  <c r="C83" i="71"/>
  <c r="D83" i="71" s="1"/>
  <c r="G5" i="3"/>
  <c r="B3" i="3" s="1"/>
  <c r="BL5" i="3"/>
  <c r="AZ15" i="3"/>
  <c r="C24" i="71"/>
  <c r="T25" i="71"/>
  <c r="D25" i="71"/>
  <c r="U25" i="71" s="1"/>
  <c r="O63" i="71"/>
  <c r="O62" i="71"/>
  <c r="D63" i="71"/>
  <c r="C53" i="71"/>
  <c r="D52" i="71"/>
  <c r="E96" i="3"/>
  <c r="E80" i="3"/>
  <c r="P64" i="71"/>
  <c r="E63" i="71"/>
  <c r="N64" i="71"/>
  <c r="B63" i="71"/>
  <c r="E190" i="3"/>
  <c r="E178" i="3"/>
  <c r="E174" i="3"/>
  <c r="E158" i="3"/>
  <c r="E463" i="3"/>
  <c r="AZ450" i="3"/>
  <c r="AZ434" i="3"/>
  <c r="AZ5" i="3" s="1"/>
  <c r="AZ418" i="3"/>
  <c r="AZ579" i="3"/>
  <c r="C33" i="71"/>
  <c r="D32" i="71"/>
  <c r="AZ528" i="3"/>
  <c r="AZ548" i="3"/>
  <c r="AZ550" i="3"/>
  <c r="AZ554" i="3"/>
  <c r="AZ583" i="3"/>
  <c r="U27" i="37"/>
  <c r="AB27" i="37"/>
  <c r="AB13" i="37"/>
  <c r="U13" i="37"/>
  <c r="AA28" i="34"/>
  <c r="S28" i="34"/>
  <c r="AA9" i="33"/>
  <c r="S9" i="33"/>
  <c r="U46" i="21"/>
  <c r="AB46" i="21"/>
  <c r="W27" i="21"/>
  <c r="AC27" i="21"/>
  <c r="AB13" i="36"/>
  <c r="U13" i="36"/>
  <c r="S29" i="34"/>
  <c r="AA29" i="34"/>
  <c r="U47" i="34"/>
  <c r="AB47" i="34"/>
  <c r="AA13" i="40"/>
  <c r="S13" i="40"/>
  <c r="U24" i="35"/>
  <c r="AB24" i="35"/>
  <c r="U32" i="40"/>
  <c r="AB32" i="40"/>
  <c r="AA39" i="40"/>
  <c r="S39" i="40"/>
  <c r="H14" i="74"/>
  <c r="B7" i="74" s="1"/>
  <c r="D10" i="52"/>
  <c r="D125" i="9"/>
  <c r="D11" i="52" s="1"/>
  <c r="AZ557" i="3"/>
  <c r="U39" i="40"/>
  <c r="AB39" i="40"/>
  <c r="S45" i="39"/>
  <c r="AA45" i="39"/>
  <c r="AB43" i="39"/>
  <c r="U43" i="39"/>
  <c r="AA25" i="37"/>
  <c r="S25" i="37"/>
  <c r="U25" i="37"/>
  <c r="AB25" i="37"/>
  <c r="AC24" i="36"/>
  <c r="W24" i="36"/>
  <c r="U45" i="34"/>
  <c r="AB45" i="34"/>
  <c r="W29" i="34"/>
  <c r="AC29" i="34"/>
  <c r="W13" i="34"/>
  <c r="AC13" i="34"/>
  <c r="AB46" i="33"/>
  <c r="U46" i="33"/>
  <c r="AC46" i="33"/>
  <c r="W46" i="33"/>
  <c r="AC44" i="33"/>
  <c r="W44" i="33"/>
  <c r="AB30" i="33"/>
  <c r="U30" i="33"/>
  <c r="W14" i="21"/>
  <c r="AC14" i="21"/>
  <c r="E57" i="40"/>
  <c r="E61" i="39"/>
  <c r="AC27" i="37"/>
  <c r="W27" i="37"/>
  <c r="W13" i="37"/>
  <c r="AC13" i="37"/>
  <c r="W28" i="34"/>
  <c r="AC28" i="34"/>
  <c r="AA9" i="34"/>
  <c r="S9" i="34"/>
  <c r="U12" i="33"/>
  <c r="AB12" i="33"/>
  <c r="AA46" i="21"/>
  <c r="S46" i="21"/>
  <c r="AC30" i="21"/>
  <c r="W30" i="21"/>
  <c r="AA27" i="21"/>
  <c r="S27" i="21"/>
  <c r="W45" i="39"/>
  <c r="AC45" i="39"/>
  <c r="AA30" i="33"/>
  <c r="S30" i="33"/>
  <c r="S31" i="34"/>
  <c r="AA31" i="34"/>
  <c r="AC13" i="35"/>
  <c r="W13" i="35"/>
  <c r="AB13" i="39"/>
  <c r="U13" i="39"/>
  <c r="AA24" i="35"/>
  <c r="S24" i="35"/>
  <c r="S32" i="40"/>
  <c r="AA32" i="40"/>
  <c r="S36" i="35"/>
  <c r="AA36" i="35"/>
  <c r="AZ498" i="3"/>
  <c r="AZ506" i="3"/>
  <c r="W39" i="40"/>
  <c r="AC39" i="40"/>
  <c r="AB45" i="39"/>
  <c r="U45" i="39"/>
  <c r="W43" i="39"/>
  <c r="AC43" i="39"/>
  <c r="W25" i="37"/>
  <c r="AC25" i="37"/>
  <c r="AB24" i="36"/>
  <c r="U24" i="36"/>
  <c r="U13" i="35"/>
  <c r="AB13" i="35"/>
  <c r="S45" i="34"/>
  <c r="AA45" i="34"/>
  <c r="AB29" i="34"/>
  <c r="U29" i="34"/>
  <c r="AA13" i="34"/>
  <c r="S13" i="34"/>
  <c r="U13" i="34"/>
  <c r="AB13" i="34"/>
  <c r="AA46" i="33"/>
  <c r="S46" i="33"/>
  <c r="S44" i="33"/>
  <c r="AA44" i="33"/>
  <c r="W30" i="33"/>
  <c r="AC30" i="33"/>
  <c r="U14" i="21"/>
  <c r="AB14" i="21"/>
  <c r="E28" i="6"/>
  <c r="K24" i="6" s="1"/>
  <c r="M24" i="6" s="1"/>
  <c r="I24" i="6" s="1"/>
  <c r="S24" i="6" s="1"/>
  <c r="G30" i="6"/>
  <c r="G31" i="6" s="1"/>
  <c r="E58" i="40"/>
  <c r="E62" i="39"/>
  <c r="Q52" i="79"/>
  <c r="F1" i="79"/>
  <c r="Q74" i="79"/>
  <c r="Q61" i="79"/>
  <c r="Q73" i="79"/>
  <c r="Q60" i="79"/>
  <c r="Q57" i="79"/>
  <c r="Q66" i="79"/>
  <c r="C32" i="79"/>
  <c r="C33" i="79"/>
  <c r="O6" i="1"/>
  <c r="M11" i="79"/>
  <c r="J10" i="79" s="1"/>
  <c r="J5" i="79" s="1"/>
  <c r="F11" i="79"/>
  <c r="S7" i="1"/>
  <c r="C103" i="43"/>
  <c r="D22" i="43"/>
  <c r="K23" i="6"/>
  <c r="M23" i="6" s="1"/>
  <c r="I23" i="6" s="1"/>
  <c r="S23" i="6" s="1"/>
  <c r="C109" i="43"/>
  <c r="C106" i="43"/>
  <c r="K19" i="6"/>
  <c r="S6" i="1" s="1"/>
  <c r="C105" i="43"/>
  <c r="C102" i="43"/>
  <c r="C107" i="43"/>
  <c r="D109" i="43"/>
  <c r="D103" i="43"/>
  <c r="D104" i="43"/>
  <c r="D107" i="43"/>
  <c r="D105" i="43"/>
  <c r="D102" i="43"/>
  <c r="D106" i="43"/>
  <c r="J104" i="43"/>
  <c r="J103" i="43"/>
  <c r="J106" i="43"/>
  <c r="J107" i="43"/>
  <c r="J105" i="43"/>
  <c r="J102" i="43"/>
  <c r="J109" i="43"/>
  <c r="I109" i="43"/>
  <c r="I102" i="43"/>
  <c r="I106" i="43"/>
  <c r="I103" i="43"/>
  <c r="I107" i="43"/>
  <c r="I104" i="43"/>
  <c r="I105" i="43"/>
  <c r="L109" i="43"/>
  <c r="L102" i="43"/>
  <c r="L105" i="43"/>
  <c r="L104" i="43"/>
  <c r="L107" i="43"/>
  <c r="L106" i="43"/>
  <c r="L103" i="43"/>
  <c r="J10" i="40"/>
  <c r="W10" i="40" s="1"/>
  <c r="H10" i="39"/>
  <c r="AB10" i="39" s="1"/>
  <c r="F10" i="40"/>
  <c r="S10" i="40" s="1"/>
  <c r="J10" i="39"/>
  <c r="AC10" i="39" s="1"/>
  <c r="H10" i="40"/>
  <c r="U10" i="40" s="1"/>
  <c r="B20" i="71"/>
  <c r="B19" i="71" s="1"/>
  <c r="B18" i="71" s="1"/>
  <c r="B17" i="71" s="1"/>
  <c r="S21" i="71"/>
  <c r="F63" i="71"/>
  <c r="Q64" i="71"/>
  <c r="AB34" i="35"/>
  <c r="U34" i="35"/>
  <c r="U9" i="34"/>
  <c r="AB9" i="34"/>
  <c r="N103" i="43"/>
  <c r="N106" i="43"/>
  <c r="N107" i="43"/>
  <c r="N102" i="43"/>
  <c r="N105" i="43"/>
  <c r="N104" i="43"/>
  <c r="N109" i="43"/>
  <c r="K107" i="43"/>
  <c r="K104" i="43"/>
  <c r="K106" i="43"/>
  <c r="K109" i="43"/>
  <c r="K103" i="43"/>
  <c r="K102" i="43"/>
  <c r="K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O7" i="1"/>
  <c r="P7" i="1"/>
  <c r="P16" i="1" s="1"/>
  <c r="C11" i="12" s="1"/>
  <c r="C20" i="71"/>
  <c r="D21" i="71"/>
  <c r="U21" i="71" s="1"/>
  <c r="T21" i="71"/>
  <c r="C41" i="71"/>
  <c r="D40" i="71"/>
  <c r="W36" i="35"/>
  <c r="AC36" i="35"/>
  <c r="S34" i="35"/>
  <c r="AA34" i="35"/>
  <c r="F104" i="43"/>
  <c r="F107" i="43"/>
  <c r="F106" i="43"/>
  <c r="F103" i="43"/>
  <c r="F102" i="43"/>
  <c r="F105" i="43"/>
  <c r="F109" i="43"/>
  <c r="F28" i="12"/>
  <c r="C29" i="12" s="1"/>
  <c r="D28" i="12" s="1"/>
  <c r="F27" i="11"/>
  <c r="F27" i="69"/>
  <c r="F27" i="68"/>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9" s="1"/>
  <c r="S10" i="39"/>
  <c r="AA10" i="39"/>
  <c r="H7" i="33"/>
  <c r="J7" i="33"/>
  <c r="D65" i="40"/>
  <c r="E63" i="40"/>
  <c r="F48" i="35"/>
  <c r="S7" i="36"/>
  <c r="AC7" i="37"/>
  <c r="V42" i="37" s="1"/>
  <c r="I42" i="37" s="1"/>
  <c r="W7" i="37"/>
  <c r="AB7" i="36"/>
  <c r="T36" i="36" s="1"/>
  <c r="G36" i="36" s="1"/>
  <c r="AB7" i="34"/>
  <c r="T49" i="34" s="1"/>
  <c r="G49" i="34" s="1"/>
  <c r="U7" i="34"/>
  <c r="AA7" i="34"/>
  <c r="R49" i="34" s="1"/>
  <c r="U10" i="39"/>
  <c r="F7" i="33"/>
  <c r="E58" i="21"/>
  <c r="AC7" i="36"/>
  <c r="V36" i="36" s="1"/>
  <c r="I36" i="36" s="1"/>
  <c r="W7" i="36"/>
  <c r="F7" i="37"/>
  <c r="W7" i="34"/>
  <c r="AC7" i="34"/>
  <c r="V49" i="34" s="1"/>
  <c r="I49" i="34" s="1"/>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F41" i="67"/>
  <c r="C14" i="67"/>
  <c r="C17" i="15"/>
  <c r="AE6" i="1"/>
  <c r="C17" i="67"/>
  <c r="C17" i="79"/>
  <c r="K26" i="6" l="1"/>
  <c r="M26" i="6" s="1"/>
  <c r="I26" i="6" s="1"/>
  <c r="S26" i="6" s="1"/>
  <c r="K25" i="6"/>
  <c r="M25" i="6" s="1"/>
  <c r="I25" i="6" s="1"/>
  <c r="S25" i="6" s="1"/>
  <c r="D33" i="71"/>
  <c r="T33" i="71"/>
  <c r="N62" i="71"/>
  <c r="N63" i="71"/>
  <c r="P62" i="71"/>
  <c r="P63" i="71"/>
  <c r="E53" i="3"/>
  <c r="E271" i="3"/>
  <c r="E107" i="3"/>
  <c r="E543" i="3"/>
  <c r="E422" i="3"/>
  <c r="E490" i="3"/>
  <c r="AH6" i="3"/>
  <c r="E483" i="3"/>
  <c r="E25" i="3"/>
  <c r="E202" i="3"/>
  <c r="E226" i="3"/>
  <c r="E332" i="3"/>
  <c r="E356" i="3"/>
  <c r="AL6" i="3"/>
  <c r="E42" i="3"/>
  <c r="E94" i="3"/>
  <c r="E482" i="3"/>
  <c r="E18" i="3"/>
  <c r="E78" i="3"/>
  <c r="E220" i="3"/>
  <c r="E235" i="3"/>
  <c r="E86" i="3"/>
  <c r="E49" i="3"/>
  <c r="E232" i="3"/>
  <c r="E370" i="3"/>
  <c r="E102" i="3"/>
  <c r="E113" i="3"/>
  <c r="E287" i="3"/>
  <c r="E326" i="3"/>
  <c r="E83" i="3"/>
  <c r="E207" i="3"/>
  <c r="E145" i="3"/>
  <c r="E393" i="3"/>
  <c r="E427" i="3"/>
  <c r="E507" i="3"/>
  <c r="E440" i="3"/>
  <c r="E376" i="3"/>
  <c r="J6" i="3"/>
  <c r="E419" i="3"/>
  <c r="E401" i="3"/>
  <c r="E40" i="3"/>
  <c r="E108" i="3"/>
  <c r="E242" i="3"/>
  <c r="E276" i="3"/>
  <c r="E346" i="3"/>
  <c r="E333" i="3"/>
  <c r="E372" i="3"/>
  <c r="L6" i="3"/>
  <c r="E60" i="3"/>
  <c r="E43" i="3"/>
  <c r="E428" i="3"/>
  <c r="E412" i="3"/>
  <c r="E129" i="3"/>
  <c r="E275" i="3"/>
  <c r="E324" i="3"/>
  <c r="E342" i="3"/>
  <c r="E35" i="3"/>
  <c r="E34" i="3"/>
  <c r="E206" i="3"/>
  <c r="E251" i="3"/>
  <c r="AF6" i="3"/>
  <c r="E308" i="3"/>
  <c r="E564" i="3"/>
  <c r="E486" i="3"/>
  <c r="E383" i="3"/>
  <c r="E522" i="3"/>
  <c r="E498" i="3"/>
  <c r="E493" i="3"/>
  <c r="E488" i="3"/>
  <c r="E391" i="3"/>
  <c r="E134" i="3"/>
  <c r="E387" i="3"/>
  <c r="E514" i="3"/>
  <c r="E461" i="3"/>
  <c r="E426" i="3"/>
  <c r="E343" i="3"/>
  <c r="E508" i="3"/>
  <c r="E545" i="3"/>
  <c r="E352" i="3"/>
  <c r="E128" i="3"/>
  <c r="E559" i="3"/>
  <c r="V6" i="3"/>
  <c r="E320" i="3"/>
  <c r="E230" i="3"/>
  <c r="E254" i="3"/>
  <c r="E77" i="3"/>
  <c r="E199" i="3"/>
  <c r="E313" i="3"/>
  <c r="E519" i="3"/>
  <c r="E532" i="3"/>
  <c r="E573" i="3"/>
  <c r="E529" i="3"/>
  <c r="E458" i="3"/>
  <c r="E180" i="3"/>
  <c r="M6" i="3"/>
  <c r="E539" i="3"/>
  <c r="E530" i="3"/>
  <c r="E329" i="3"/>
  <c r="E205" i="3"/>
  <c r="E551" i="3"/>
  <c r="E294" i="3"/>
  <c r="E221" i="3"/>
  <c r="E167" i="3"/>
  <c r="E330" i="3"/>
  <c r="Q6" i="3"/>
  <c r="E437" i="3"/>
  <c r="E474" i="3"/>
  <c r="E527" i="3"/>
  <c r="E438" i="3"/>
  <c r="E457" i="3"/>
  <c r="E288" i="3"/>
  <c r="E562" i="3"/>
  <c r="W6" i="3"/>
  <c r="E571" i="3"/>
  <c r="E537" i="3"/>
  <c r="E450" i="3"/>
  <c r="E471" i="3"/>
  <c r="E433" i="3"/>
  <c r="E475" i="3"/>
  <c r="E72" i="3"/>
  <c r="E54" i="3"/>
  <c r="E111" i="3"/>
  <c r="E168" i="3"/>
  <c r="E150" i="3"/>
  <c r="E208" i="3"/>
  <c r="E279" i="3"/>
  <c r="E257" i="3"/>
  <c r="E101" i="3"/>
  <c r="E365" i="3"/>
  <c r="E218" i="3"/>
  <c r="E62" i="3"/>
  <c r="E50" i="3"/>
  <c r="E340" i="3"/>
  <c r="E147" i="3"/>
  <c r="E112" i="3"/>
  <c r="E52" i="3"/>
  <c r="E392" i="3"/>
  <c r="E339" i="3"/>
  <c r="E219" i="3"/>
  <c r="E194" i="3"/>
  <c r="E170" i="3"/>
  <c r="E38" i="3"/>
  <c r="E455" i="3"/>
  <c r="E473" i="3"/>
  <c r="E75" i="3"/>
  <c r="E93" i="3"/>
  <c r="E31" i="3"/>
  <c r="E14" i="3"/>
  <c r="E318" i="3"/>
  <c r="E357" i="3"/>
  <c r="E351" i="3"/>
  <c r="E281" i="3"/>
  <c r="E139" i="3"/>
  <c r="E115" i="3"/>
  <c r="E104" i="3"/>
  <c r="E420" i="3"/>
  <c r="E452" i="3"/>
  <c r="E13" i="3"/>
  <c r="E556" i="3"/>
  <c r="E451" i="3"/>
  <c r="E512" i="3"/>
  <c r="E456" i="3"/>
  <c r="T6" i="3"/>
  <c r="E525" i="3"/>
  <c r="E164" i="3"/>
  <c r="E252" i="3"/>
  <c r="E189" i="3"/>
  <c r="AB6" i="3"/>
  <c r="E311" i="3"/>
  <c r="E567" i="3"/>
  <c r="E153" i="3"/>
  <c r="E125" i="3"/>
  <c r="E366" i="3"/>
  <c r="E553" i="3"/>
  <c r="E282" i="3"/>
  <c r="N6" i="3"/>
  <c r="E347" i="3"/>
  <c r="AA6" i="3"/>
  <c r="E399" i="3"/>
  <c r="E280" i="3"/>
  <c r="E124" i="3"/>
  <c r="E270" i="3"/>
  <c r="E533" i="3"/>
  <c r="AR6" i="3"/>
  <c r="E561" i="3"/>
  <c r="E538" i="3"/>
  <c r="E439" i="3"/>
  <c r="E380" i="3"/>
  <c r="E231" i="3"/>
  <c r="E216" i="3"/>
  <c r="E185" i="3"/>
  <c r="E135" i="3"/>
  <c r="E161" i="3"/>
  <c r="E149" i="3"/>
  <c r="E215" i="3"/>
  <c r="E165" i="3"/>
  <c r="E501" i="3"/>
  <c r="E305" i="3"/>
  <c r="E510" i="3"/>
  <c r="E358" i="3"/>
  <c r="E407" i="3"/>
  <c r="E130" i="3"/>
  <c r="E212" i="3"/>
  <c r="E141" i="3"/>
  <c r="K6" i="3"/>
  <c r="E560" i="3"/>
  <c r="E472" i="3"/>
  <c r="E481" i="3"/>
  <c r="E406" i="3"/>
  <c r="E424" i="3"/>
  <c r="E465" i="3"/>
  <c r="E344" i="3"/>
  <c r="E587" i="3"/>
  <c r="AE6" i="3"/>
  <c r="E577" i="3"/>
  <c r="E429" i="3"/>
  <c r="E468" i="3"/>
  <c r="E496" i="3"/>
  <c r="E454" i="3"/>
  <c r="E55" i="3"/>
  <c r="E106" i="3"/>
  <c r="E73" i="3"/>
  <c r="E146" i="3"/>
  <c r="E203" i="3"/>
  <c r="E171" i="3"/>
  <c r="E256" i="3"/>
  <c r="E214" i="3"/>
  <c r="E274" i="3"/>
  <c r="E524" i="3"/>
  <c r="E265" i="3"/>
  <c r="E176" i="3"/>
  <c r="E20" i="3"/>
  <c r="E364" i="3"/>
  <c r="E289" i="3"/>
  <c r="E123" i="3"/>
  <c r="E36" i="3"/>
  <c r="AQ6" i="3"/>
  <c r="E325" i="3"/>
  <c r="E299" i="3"/>
  <c r="E234" i="3"/>
  <c r="E137" i="3"/>
  <c r="E100" i="3"/>
  <c r="E79" i="3"/>
  <c r="E15" i="3"/>
  <c r="E409" i="3"/>
  <c r="E32" i="3"/>
  <c r="E74" i="3"/>
  <c r="E580" i="3"/>
  <c r="E362" i="3"/>
  <c r="E394" i="3"/>
  <c r="E315" i="3"/>
  <c r="E243" i="3"/>
  <c r="E225" i="3"/>
  <c r="E198" i="3"/>
  <c r="E41" i="3"/>
  <c r="E26" i="3"/>
  <c r="E470" i="3"/>
  <c r="E494" i="3"/>
  <c r="E497" i="3"/>
  <c r="E360" i="3"/>
  <c r="E408" i="3"/>
  <c r="E469" i="3"/>
  <c r="E405" i="3"/>
  <c r="E534" i="3"/>
  <c r="E369" i="3"/>
  <c r="E204" i="3"/>
  <c r="E91" i="3"/>
  <c r="E335" i="3"/>
  <c r="E570" i="3"/>
  <c r="E227" i="3"/>
  <c r="E328" i="3"/>
  <c r="E319" i="3"/>
  <c r="E217" i="3"/>
  <c r="E526" i="3"/>
  <c r="E268" i="3"/>
  <c r="E322" i="3"/>
  <c r="AJ6" i="3"/>
  <c r="E583" i="3"/>
  <c r="X6" i="3"/>
  <c r="E336" i="3"/>
  <c r="E246" i="3"/>
  <c r="E293" i="3"/>
  <c r="E390" i="3"/>
  <c r="S6" i="3"/>
  <c r="E523" i="3"/>
  <c r="E506" i="3"/>
  <c r="E418" i="3"/>
  <c r="E338" i="3"/>
  <c r="E321" i="3"/>
  <c r="E298" i="3"/>
  <c r="E169" i="3"/>
  <c r="E61" i="3"/>
  <c r="E290" i="3"/>
  <c r="E11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69" i="3"/>
  <c r="E278" i="3"/>
  <c r="E563" i="3"/>
  <c r="E172" i="3"/>
  <c r="E445" i="3"/>
  <c r="E535" i="3"/>
  <c r="E509" i="3"/>
  <c r="E579" i="3"/>
  <c r="E431" i="3"/>
  <c r="E247" i="3"/>
  <c r="E201" i="3"/>
  <c r="E353" i="3"/>
  <c r="E495" i="3"/>
  <c r="AN6" i="3"/>
  <c r="E586" i="3"/>
  <c r="E402" i="3"/>
  <c r="E350" i="3"/>
  <c r="E303" i="3"/>
  <c r="E301" i="3"/>
  <c r="E159" i="3"/>
  <c r="E99" i="3"/>
  <c r="E228" i="3"/>
  <c r="E157" i="3"/>
  <c r="E85" i="3"/>
  <c r="E238" i="3"/>
  <c r="E116" i="3"/>
  <c r="E105" i="3"/>
  <c r="E379" i="3"/>
  <c r="E585" i="3"/>
  <c r="U6" i="3"/>
  <c r="E515"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14" i="3"/>
  <c r="E415" i="3"/>
  <c r="E395" i="3"/>
  <c r="E260" i="3"/>
  <c r="E550" i="3"/>
  <c r="E239" i="3"/>
  <c r="E516" i="3"/>
  <c r="E569" i="3"/>
  <c r="E396" i="3"/>
  <c r="E229" i="3"/>
  <c r="E151" i="3"/>
  <c r="E385" i="3"/>
  <c r="E518" i="3"/>
  <c r="AI6" i="3"/>
  <c r="E578" i="3"/>
  <c r="E423" i="3"/>
  <c r="E382" i="3"/>
  <c r="E263" i="3"/>
  <c r="E245" i="3"/>
  <c r="E191" i="3"/>
  <c r="E188" i="3"/>
  <c r="E181" i="3"/>
  <c r="E140" i="3"/>
  <c r="E223" i="3"/>
  <c r="E197" i="3"/>
  <c r="E173" i="3"/>
  <c r="E327" i="3"/>
  <c r="E576" i="3"/>
  <c r="Z6" i="3"/>
  <c r="AG6" i="3"/>
  <c r="AO6"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V13" i="71"/>
  <c r="E12" i="71"/>
  <c r="E11" i="71" s="1"/>
  <c r="E10" i="71" s="1"/>
  <c r="E9" i="71" s="1"/>
  <c r="D57" i="71"/>
  <c r="T57" i="71"/>
  <c r="D29" i="71"/>
  <c r="T29" i="71"/>
  <c r="E119" i="3"/>
  <c r="E22" i="3"/>
  <c r="K14" i="1"/>
  <c r="E30" i="6"/>
  <c r="E31" i="6" s="1"/>
  <c r="K21" i="6"/>
  <c r="M21" i="6" s="1"/>
  <c r="I21" i="6" s="1"/>
  <c r="S21" i="6" s="1"/>
  <c r="K22" i="6"/>
  <c r="M22" i="6" s="1"/>
  <c r="I22" i="6" s="1"/>
  <c r="S22" i="6" s="1"/>
  <c r="D53" i="71"/>
  <c r="T53" i="71"/>
  <c r="C23" i="71"/>
  <c r="D23" i="71" s="1"/>
  <c r="D24" i="71"/>
  <c r="K20" i="6"/>
  <c r="M20" i="6" s="1"/>
  <c r="I20" i="6" s="1"/>
  <c r="S20" i="6" s="1"/>
  <c r="F69" i="67"/>
  <c r="C15" i="67"/>
  <c r="C18" i="67"/>
  <c r="C24" i="79"/>
  <c r="C53" i="79"/>
  <c r="C48" i="79" s="1"/>
  <c r="C10" i="79"/>
  <c r="C5" i="79" s="1"/>
  <c r="J24" i="79"/>
  <c r="J26" i="79"/>
  <c r="AR7" i="1"/>
  <c r="T7" i="1"/>
  <c r="AQ7" i="1"/>
  <c r="U7" i="37"/>
  <c r="E6" i="70"/>
  <c r="E2" i="70" s="1"/>
  <c r="AC10" i="40"/>
  <c r="W10" i="39"/>
  <c r="AQ6" i="1"/>
  <c r="T6" i="1"/>
  <c r="AR6" i="1"/>
  <c r="S16" i="1"/>
  <c r="AA10" i="40"/>
  <c r="AB10" i="40"/>
  <c r="M19" i="6"/>
  <c r="C15" i="12"/>
  <c r="C12" i="12"/>
  <c r="F45" i="69"/>
  <c r="C29" i="69"/>
  <c r="D27" i="69" s="1"/>
  <c r="C47" i="69"/>
  <c r="D45" i="69" s="1"/>
  <c r="E3" i="6"/>
  <c r="AY6" i="3"/>
  <c r="D41" i="71"/>
  <c r="T41" i="71"/>
  <c r="F45" i="68"/>
  <c r="C47" i="68"/>
  <c r="D45" i="68" s="1"/>
  <c r="C29" i="68"/>
  <c r="D27" i="68" s="1"/>
  <c r="C47" i="11"/>
  <c r="D45" i="11" s="1"/>
  <c r="C29" i="11"/>
  <c r="D27" i="11" s="1"/>
  <c r="C19" i="71"/>
  <c r="D20" i="71"/>
  <c r="C115" i="43"/>
  <c r="D113" i="43" s="1"/>
  <c r="Q62" i="71"/>
  <c r="Q63" i="71"/>
  <c r="B16" i="71"/>
  <c r="B15" i="71" s="1"/>
  <c r="B14" i="71" s="1"/>
  <c r="B13" i="71" s="1"/>
  <c r="S17"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79"/>
  <c r="F41" i="15"/>
  <c r="C14" i="79"/>
  <c r="K27" i="6" l="1"/>
  <c r="M14" i="1"/>
  <c r="C34" i="69"/>
  <c r="K16" i="1"/>
  <c r="AC6" i="3"/>
  <c r="H6" i="3"/>
  <c r="E8" i="71"/>
  <c r="E7" i="71" s="1"/>
  <c r="E6" i="71" s="1"/>
  <c r="E5" i="71" s="1"/>
  <c r="V9" i="71"/>
  <c r="F69" i="79"/>
  <c r="J29" i="79"/>
  <c r="C19" i="67"/>
  <c r="C20" i="67" s="1"/>
  <c r="C26" i="67" s="1"/>
  <c r="C15" i="79"/>
  <c r="C18" i="79"/>
  <c r="C66" i="79"/>
  <c r="C60" i="79"/>
  <c r="C38" i="79"/>
  <c r="C15" i="15"/>
  <c r="C18" i="15"/>
  <c r="T16" i="1"/>
  <c r="F69" i="15"/>
  <c r="J29" i="15"/>
  <c r="M27" i="6"/>
  <c r="I19" i="6"/>
  <c r="B12" i="71"/>
  <c r="B11" i="71" s="1"/>
  <c r="B10" i="71" s="1"/>
  <c r="B9" i="71" s="1"/>
  <c r="S13" i="7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D19" i="11"/>
  <c r="C19" i="11" s="1"/>
  <c r="C24" i="11" s="1"/>
  <c r="C17" i="4"/>
  <c r="B4" i="52" s="1"/>
  <c r="B43" i="72" s="1"/>
  <c r="L18" i="9"/>
  <c r="D3" i="37"/>
  <c r="D3" i="21"/>
  <c r="E6" i="6"/>
  <c r="D14" i="12"/>
  <c r="D37" i="11"/>
  <c r="C37" i="11" s="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B6" i="76"/>
  <c r="E6" i="76"/>
  <c r="E6" i="3" l="1"/>
  <c r="O14" i="1"/>
  <c r="O16" i="1" s="1"/>
  <c r="M16" i="1"/>
  <c r="C35" i="69"/>
  <c r="C38" i="69"/>
  <c r="C19" i="79"/>
  <c r="C23" i="67"/>
  <c r="C29" i="67" s="1"/>
  <c r="C36" i="67" s="1"/>
  <c r="C20" i="79"/>
  <c r="C26" i="79" s="1"/>
  <c r="C19" i="15"/>
  <c r="C20" i="15" s="1"/>
  <c r="C26" i="15" s="1"/>
  <c r="I27" i="6"/>
  <c r="S19" i="6"/>
  <c r="S27" i="6" s="1"/>
  <c r="B2" i="34"/>
  <c r="B3" i="34" s="1"/>
  <c r="D10" i="11"/>
  <c r="C10" i="11" s="1"/>
  <c r="D20" i="12"/>
  <c r="C20" i="12" s="1"/>
  <c r="D10" i="68"/>
  <c r="D10" i="69"/>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B8" i="71"/>
  <c r="B7" i="71" s="1"/>
  <c r="B6" i="71" s="1"/>
  <c r="B5" i="71" s="1"/>
  <c r="S9" i="71"/>
  <c r="C7" i="74"/>
  <c r="C8" i="74"/>
  <c r="D17" i="12"/>
  <c r="C17" i="12" s="1"/>
  <c r="C14" i="12"/>
  <c r="C16" i="12" s="1"/>
  <c r="C20" i="11"/>
  <c r="C25" i="11" s="1"/>
  <c r="C22" i="11" s="1"/>
  <c r="C17" i="71"/>
  <c r="D18"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N16" i="1" l="1"/>
  <c r="C34" i="68"/>
  <c r="C34" i="11"/>
  <c r="L16" i="1"/>
  <c r="J59" i="67"/>
  <c r="J60" i="67" s="1"/>
  <c r="Q48" i="67" s="1"/>
  <c r="C13" i="67"/>
  <c r="C56" i="67" s="1"/>
  <c r="C65" i="67" s="1"/>
  <c r="C57" i="67"/>
  <c r="C61" i="67" s="1"/>
  <c r="C33" i="67"/>
  <c r="Q49" i="67"/>
  <c r="J19" i="67"/>
  <c r="J14" i="67"/>
  <c r="J22" i="67" s="1"/>
  <c r="C23" i="79"/>
  <c r="C29" i="79" s="1"/>
  <c r="H27" i="6"/>
  <c r="C23" i="15"/>
  <c r="C29" i="15" s="1"/>
  <c r="J59" i="15" s="1"/>
  <c r="J60" i="15" s="1"/>
  <c r="Q48" i="15" s="1"/>
  <c r="D16" i="6"/>
  <c r="D30" i="6"/>
  <c r="R25" i="6"/>
  <c r="C16" i="71"/>
  <c r="T17" i="71"/>
  <c r="D17" i="71"/>
  <c r="U17" i="71" s="1"/>
  <c r="C28" i="11"/>
  <c r="C27" i="11" s="1"/>
  <c r="C31" i="11" s="1"/>
  <c r="R26" i="6"/>
  <c r="D7" i="74"/>
  <c r="D8" i="74"/>
  <c r="R20" i="6"/>
  <c r="R7" i="1" s="1"/>
  <c r="R21" i="6"/>
  <c r="C10" i="69"/>
  <c r="C8" i="69" s="1"/>
  <c r="C5" i="69" s="1"/>
  <c r="D19" i="69"/>
  <c r="R23" i="6"/>
  <c r="A7" i="51"/>
  <c r="B7" i="72" s="1"/>
  <c r="C4" i="52"/>
  <c r="B45" i="72" s="1"/>
  <c r="A10" i="51"/>
  <c r="B9" i="72" s="1"/>
  <c r="D27" i="6"/>
  <c r="D31" i="6" s="1"/>
  <c r="R19" i="6"/>
  <c r="R24" i="6"/>
  <c r="R22" i="6"/>
  <c r="C10" i="68"/>
  <c r="B29" i="1" s="1"/>
  <c r="C8" i="68" s="1"/>
  <c r="C5" i="68" s="1"/>
  <c r="C23" i="68" s="1"/>
  <c r="D19" i="68"/>
  <c r="I69" i="39"/>
  <c r="J67" i="39"/>
  <c r="B3" i="76"/>
  <c r="I63" i="40"/>
  <c r="H65" i="40"/>
  <c r="I58" i="21"/>
  <c r="J58" i="21" s="1"/>
  <c r="K58" i="21" s="1"/>
  <c r="L58" i="21" s="1"/>
  <c r="M58" i="21" s="1"/>
  <c r="N58" i="21" s="1"/>
  <c r="O58" i="21" s="1"/>
  <c r="H7" i="21" s="1"/>
  <c r="J7" i="21"/>
  <c r="F7" i="21"/>
  <c r="J48" i="35"/>
  <c r="C37" i="67"/>
  <c r="F35" i="67"/>
  <c r="M21" i="67"/>
  <c r="C35" i="68" l="1"/>
  <c r="C38" i="68"/>
  <c r="C35" i="11"/>
  <c r="C38" i="11"/>
  <c r="F50" i="11"/>
  <c r="F50" i="69"/>
  <c r="F50" i="68"/>
  <c r="L46" i="67"/>
  <c r="C75" i="67"/>
  <c r="Q70" i="67"/>
  <c r="C64" i="67"/>
  <c r="J13" i="67"/>
  <c r="J23" i="67" s="1"/>
  <c r="J20" i="67"/>
  <c r="J17" i="67" s="1"/>
  <c r="F63" i="67"/>
  <c r="C62" i="67" s="1"/>
  <c r="C59" i="67" s="1"/>
  <c r="C34" i="67"/>
  <c r="C31" i="67" s="1"/>
  <c r="C30" i="67" s="1"/>
  <c r="C39" i="67" s="1"/>
  <c r="J14" i="79"/>
  <c r="J19" i="79"/>
  <c r="Q49" i="79"/>
  <c r="C57" i="79"/>
  <c r="C36" i="79"/>
  <c r="J59" i="79"/>
  <c r="J60" i="79" s="1"/>
  <c r="C13" i="79"/>
  <c r="C36" i="15"/>
  <c r="J19" i="15"/>
  <c r="C13" i="15"/>
  <c r="C56" i="15" s="1"/>
  <c r="C65" i="15" s="1"/>
  <c r="C57" i="15"/>
  <c r="J14" i="15"/>
  <c r="Q49" i="15"/>
  <c r="L46" i="15"/>
  <c r="C18" i="12"/>
  <c r="C21" i="12" s="1"/>
  <c r="C22" i="12" s="1"/>
  <c r="C30" i="12" s="1"/>
  <c r="C28" i="12" s="1"/>
  <c r="R27" i="6"/>
  <c r="R6" i="1"/>
  <c r="C19" i="68"/>
  <c r="D37" i="68"/>
  <c r="C37" i="68" s="1"/>
  <c r="C33" i="68" s="1"/>
  <c r="C23" i="69"/>
  <c r="C15" i="71"/>
  <c r="D16" i="71"/>
  <c r="I5" i="6"/>
  <c r="I6" i="6"/>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M21" i="79"/>
  <c r="F35" i="79"/>
  <c r="L51" i="67"/>
  <c r="M21" i="15"/>
  <c r="F35" i="15"/>
  <c r="C33" i="11" l="1"/>
  <c r="C39" i="11" s="1"/>
  <c r="C43" i="11" s="1"/>
  <c r="C58" i="67"/>
  <c r="C67" i="67" s="1"/>
  <c r="C68" i="67" s="1"/>
  <c r="C71" i="67" s="1"/>
  <c r="J16" i="67"/>
  <c r="J25" i="67" s="1"/>
  <c r="C75" i="15"/>
  <c r="C80" i="67"/>
  <c r="C79" i="67" s="1"/>
  <c r="C40" i="67"/>
  <c r="D2" i="67" s="1"/>
  <c r="Q69" i="67"/>
  <c r="Q68" i="67" s="1"/>
  <c r="L46" i="79"/>
  <c r="Q48" i="79"/>
  <c r="C64" i="79"/>
  <c r="C61" i="79"/>
  <c r="C75" i="79"/>
  <c r="C56" i="79"/>
  <c r="C65" i="79" s="1"/>
  <c r="Q70" i="79"/>
  <c r="C37" i="79"/>
  <c r="J22" i="79"/>
  <c r="J13" i="79"/>
  <c r="J23" i="79" s="1"/>
  <c r="J20" i="79"/>
  <c r="J17" i="79" s="1"/>
  <c r="F63" i="79"/>
  <c r="C62" i="79" s="1"/>
  <c r="C59" i="79" s="1"/>
  <c r="C34" i="79"/>
  <c r="C31" i="79" s="1"/>
  <c r="C61" i="15"/>
  <c r="C64" i="15"/>
  <c r="J22" i="15"/>
  <c r="J13" i="15"/>
  <c r="J23" i="15" s="1"/>
  <c r="Q70" i="15"/>
  <c r="C37" i="15"/>
  <c r="J7" i="35"/>
  <c r="AC7" i="35" s="1"/>
  <c r="V38" i="35" s="1"/>
  <c r="I38" i="35" s="1"/>
  <c r="F63" i="15"/>
  <c r="C62" i="15" s="1"/>
  <c r="C34" i="15"/>
  <c r="C31" i="15" s="1"/>
  <c r="J20" i="15"/>
  <c r="J17" i="15" s="1"/>
  <c r="R16" i="1"/>
  <c r="C27" i="12"/>
  <c r="C25" i="12" s="1"/>
  <c r="C32" i="12" s="1"/>
  <c r="B2" i="12" s="1"/>
  <c r="B3" i="12" s="1"/>
  <c r="C39" i="69"/>
  <c r="C43" i="69" s="1"/>
  <c r="C42" i="69"/>
  <c r="C20" i="68"/>
  <c r="C25" i="68" s="1"/>
  <c r="C24" i="68"/>
  <c r="C14" i="71"/>
  <c r="D15" i="71"/>
  <c r="C20" i="69"/>
  <c r="C39" i="68"/>
  <c r="C42" i="68"/>
  <c r="L67" i="39"/>
  <c r="K69" i="39"/>
  <c r="W7" i="35"/>
  <c r="J65" i="40"/>
  <c r="K63" i="40"/>
  <c r="I52" i="21"/>
  <c r="J52" i="21" s="1"/>
  <c r="U7" i="35"/>
  <c r="AB7" i="35"/>
  <c r="T38" i="35" s="1"/>
  <c r="G38" i="35" s="1"/>
  <c r="R49" i="21"/>
  <c r="E48" i="21"/>
  <c r="G52" i="21"/>
  <c r="H52" i="21" s="1"/>
  <c r="G53" i="21"/>
  <c r="H53" i="21" s="1"/>
  <c r="F7" i="35"/>
  <c r="Q67" i="67"/>
  <c r="L57" i="67"/>
  <c r="L60" i="67" s="1"/>
  <c r="C45" i="67" l="1"/>
  <c r="C46" i="67" s="1"/>
  <c r="C42" i="11"/>
  <c r="C46" i="11"/>
  <c r="C45" i="11" s="1"/>
  <c r="C41" i="11"/>
  <c r="C43" i="67"/>
  <c r="Q65" i="67"/>
  <c r="C30" i="79"/>
  <c r="C39" i="79" s="1"/>
  <c r="Q69" i="79" s="1"/>
  <c r="Q68" i="79" s="1"/>
  <c r="Q47" i="67"/>
  <c r="Q53" i="67" s="1"/>
  <c r="C83" i="67"/>
  <c r="C82" i="67" s="1"/>
  <c r="Q56" i="67"/>
  <c r="C58" i="79"/>
  <c r="C67" i="79" s="1"/>
  <c r="C68" i="79" s="1"/>
  <c r="C71" i="79" s="1"/>
  <c r="J16" i="79"/>
  <c r="J25" i="79" s="1"/>
  <c r="J16" i="15"/>
  <c r="J25" i="15" s="1"/>
  <c r="C30" i="15"/>
  <c r="C39" i="15" s="1"/>
  <c r="C40" i="15" s="1"/>
  <c r="C59" i="15"/>
  <c r="C58" i="15" s="1"/>
  <c r="C67" i="15" s="1"/>
  <c r="C68" i="15" s="1"/>
  <c r="C71" i="15" s="1"/>
  <c r="L57" i="15"/>
  <c r="L60" i="15" s="1"/>
  <c r="Q66" i="15" s="1"/>
  <c r="C22" i="68"/>
  <c r="C41" i="69"/>
  <c r="C28" i="69"/>
  <c r="C27" i="69" s="1"/>
  <c r="C25" i="69"/>
  <c r="C22" i="69" s="1"/>
  <c r="C13" i="71"/>
  <c r="D14" i="71"/>
  <c r="C28" i="68"/>
  <c r="C27" i="68" s="1"/>
  <c r="C46" i="69"/>
  <c r="C45" i="69" s="1"/>
  <c r="C49" i="69" s="1"/>
  <c r="C51" i="69" s="1"/>
  <c r="C46" i="68"/>
  <c r="C45" i="68" s="1"/>
  <c r="C43" i="68"/>
  <c r="C4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L51" i="79"/>
  <c r="C49" i="11" l="1"/>
  <c r="C51" i="11" s="1"/>
  <c r="C52" i="11" s="1"/>
  <c r="B2" i="11" s="1"/>
  <c r="B3" i="11" s="1"/>
  <c r="Q62" i="67"/>
  <c r="Q75" i="67"/>
  <c r="C40" i="79"/>
  <c r="Q65" i="79" s="1"/>
  <c r="Q75" i="79" s="1"/>
  <c r="C80" i="79"/>
  <c r="C79" i="79" s="1"/>
  <c r="Q67" i="79"/>
  <c r="Q69" i="15"/>
  <c r="Q68" i="15" s="1"/>
  <c r="C80" i="15"/>
  <c r="C79" i="15" s="1"/>
  <c r="C31" i="68"/>
  <c r="Q57" i="15"/>
  <c r="Q56" i="15"/>
  <c r="C43" i="15"/>
  <c r="C83" i="15"/>
  <c r="C82" i="15" s="1"/>
  <c r="B2" i="15"/>
  <c r="Q65" i="15"/>
  <c r="Q75" i="15" s="1"/>
  <c r="Q47" i="15"/>
  <c r="Q53" i="15" s="1"/>
  <c r="C46" i="15"/>
  <c r="C49" i="68"/>
  <c r="C51" i="68" s="1"/>
  <c r="C31" i="69"/>
  <c r="C52" i="69" s="1"/>
  <c r="B2" i="69" s="1"/>
  <c r="B3" i="69" s="1"/>
  <c r="C12" i="71"/>
  <c r="T13" i="71"/>
  <c r="D13" i="71"/>
  <c r="U13" i="71" s="1"/>
  <c r="M69" i="39"/>
  <c r="N67" i="39"/>
  <c r="R39" i="35"/>
  <c r="E38" i="35"/>
  <c r="M63" i="40"/>
  <c r="L65" i="40"/>
  <c r="AO6" i="1"/>
  <c r="L51" i="15"/>
  <c r="C56" i="11" l="1"/>
  <c r="C57" i="11" s="1"/>
  <c r="C83" i="79"/>
  <c r="C82" i="79" s="1"/>
  <c r="Q47" i="79"/>
  <c r="Q53" i="79" s="1"/>
  <c r="Q56" i="79"/>
  <c r="Q62" i="79" s="1"/>
  <c r="C46" i="79"/>
  <c r="B2" i="79"/>
  <c r="C43" i="79"/>
  <c r="Q67" i="15"/>
  <c r="B3" i="15"/>
  <c r="C52" i="68"/>
  <c r="B2" i="68" s="1"/>
  <c r="Q62" i="15"/>
  <c r="B6" i="70"/>
  <c r="D12" i="71"/>
  <c r="C11" i="71"/>
  <c r="C57" i="69"/>
  <c r="C56" i="69" s="1"/>
  <c r="O67" i="39"/>
  <c r="O69" i="39" s="1"/>
  <c r="N69" i="39"/>
  <c r="F7" i="39"/>
  <c r="C39" i="35"/>
  <c r="B2" i="35" s="1"/>
  <c r="B3" i="35" s="1"/>
  <c r="C38" i="35"/>
  <c r="N63" i="40"/>
  <c r="M65" i="40"/>
  <c r="E43" i="35"/>
  <c r="F43" i="35" s="1"/>
  <c r="E42" i="35"/>
  <c r="F42" i="35" s="1"/>
  <c r="I43" i="35"/>
  <c r="J43" i="35" s="1"/>
  <c r="D19" i="9"/>
  <c r="C19" i="9"/>
  <c r="AO7" i="1"/>
  <c r="B7" i="70" l="1"/>
  <c r="B2" i="70" s="1"/>
  <c r="B3" i="70" s="1"/>
  <c r="B3" i="79"/>
  <c r="D102" i="9"/>
  <c r="D21" i="9"/>
  <c r="D22" i="9"/>
  <c r="C102" i="9"/>
  <c r="G19" i="9"/>
  <c r="G21" i="9" s="1"/>
  <c r="C21" i="9"/>
  <c r="B3" i="68"/>
  <c r="C57" i="68"/>
  <c r="C56" i="68" s="1"/>
  <c r="C10" i="71"/>
  <c r="D11" i="71"/>
  <c r="H7" i="39"/>
  <c r="J7" i="39"/>
  <c r="S7" i="39"/>
  <c r="AA7" i="39"/>
  <c r="R47" i="39" s="1"/>
  <c r="O63" i="40"/>
  <c r="O65" i="40" s="1"/>
  <c r="N65" i="40"/>
  <c r="D20" i="9"/>
  <c r="D34" i="9"/>
  <c r="C20" i="9"/>
  <c r="D35" i="9"/>
  <c r="D103" i="9" l="1"/>
  <c r="C103" i="9"/>
  <c r="G20" i="9"/>
  <c r="C32" i="9" s="1"/>
  <c r="C9" i="71"/>
  <c r="D10" i="71"/>
  <c r="W7" i="39"/>
  <c r="AC7" i="39"/>
  <c r="V47" i="39" s="1"/>
  <c r="I47" i="39" s="1"/>
  <c r="E47" i="39"/>
  <c r="R48" i="39"/>
  <c r="U7" i="39"/>
  <c r="AB7" i="39"/>
  <c r="T47" i="39" s="1"/>
  <c r="G47" i="39" s="1"/>
  <c r="J7" i="40"/>
  <c r="F7" i="40"/>
  <c r="H7" i="40"/>
  <c r="C35" i="9" l="1"/>
  <c r="C34" i="9" s="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D118" i="9"/>
  <c r="H118" i="9"/>
  <c r="H4" i="52" s="1"/>
  <c r="F4" i="52" l="1"/>
  <c r="B51" i="72" s="1"/>
  <c r="X3" i="78"/>
  <c r="D119" i="9"/>
  <c r="D5" i="52" s="1"/>
  <c r="B49" i="72" s="1"/>
  <c r="V3" i="78"/>
  <c r="AB17" i="78" s="1"/>
  <c r="D4" i="52"/>
  <c r="B47" i="72" s="1"/>
  <c r="H101" i="9"/>
  <c r="M48" i="9" s="1"/>
  <c r="I118" i="9"/>
  <c r="H102" i="9" s="1"/>
  <c r="D7" i="53" s="1"/>
  <c r="B21" i="72" s="1"/>
  <c r="C104" i="9"/>
  <c r="F119" i="9"/>
  <c r="F5" i="52" s="1"/>
  <c r="B53" i="72" s="1"/>
  <c r="G118" i="9"/>
  <c r="G4" i="52" s="1"/>
  <c r="B52" i="72" s="1"/>
  <c r="H119" i="9"/>
  <c r="H5" i="52" s="1"/>
  <c r="D14" i="74"/>
  <c r="T3" i="78" s="1"/>
  <c r="H107" i="9" l="1"/>
  <c r="H108" i="9" s="1"/>
  <c r="D15" i="53" s="1"/>
  <c r="B31" i="72" s="1"/>
  <c r="C105" i="9"/>
  <c r="D5" i="53"/>
  <c r="D6" i="53" s="1"/>
  <c r="B22" i="72" s="1"/>
  <c r="I4" i="52"/>
  <c r="D45" i="9"/>
  <c r="D53" i="9" s="1"/>
  <c r="E14" i="74"/>
  <c r="B5" i="74"/>
  <c r="F14" i="74"/>
  <c r="E118" i="9"/>
  <c r="E4" i="52" s="1"/>
  <c r="B48" i="72" s="1"/>
  <c r="B20" i="72" l="1"/>
  <c r="D122" i="9"/>
  <c r="D123" i="9" s="1"/>
  <c r="D9" i="52" s="1"/>
  <c r="D13" i="53"/>
  <c r="B30" i="72" s="1"/>
  <c r="C85" i="9"/>
  <c r="C72" i="9"/>
  <c r="C78" i="9"/>
  <c r="C73" i="9" s="1"/>
  <c r="C93" i="9"/>
  <c r="C86" i="9" s="1"/>
  <c r="D52" i="9"/>
  <c r="C64" i="9"/>
  <c r="C63" i="9" s="1"/>
  <c r="C67" i="9" s="1"/>
  <c r="C68" i="9" s="1"/>
  <c r="D54" i="9" s="1"/>
  <c r="D55" i="9"/>
  <c r="M53" i="9" s="1"/>
  <c r="C5" i="74"/>
  <c r="D5" i="74"/>
  <c r="G14" i="74" l="1"/>
  <c r="B6" i="74" s="1"/>
  <c r="D6" i="74" s="1"/>
  <c r="D14" i="53"/>
  <c r="B32" i="72" s="1"/>
  <c r="D8" i="52"/>
  <c r="D59" i="9"/>
  <c r="M55" i="9" s="1"/>
  <c r="C79" i="9"/>
  <c r="C95" i="9"/>
  <c r="C96" i="9" s="1"/>
  <c r="E96" i="9" s="1"/>
  <c r="E97" i="9" s="1"/>
  <c r="C80" i="9"/>
  <c r="E80" i="9" s="1"/>
  <c r="E81" i="9" s="1"/>
  <c r="C6" i="74" l="1"/>
  <c r="C97" i="9"/>
  <c r="D58" i="9" s="1"/>
  <c r="D56" i="9" s="1"/>
  <c r="M54" i="9" s="1"/>
  <c r="N57" i="9" s="1"/>
  <c r="N59" i="9" s="1"/>
  <c r="N61" i="9" s="1"/>
  <c r="C81" i="9"/>
  <c r="N60" i="9" l="1"/>
  <c r="N58" i="9"/>
  <c r="P57" i="9"/>
  <c r="T12" i="78" l="1"/>
  <c r="T11" i="78"/>
  <c r="T10" i="78"/>
  <c r="T9" i="78"/>
  <c r="T8" i="78"/>
  <c r="T7" i="78"/>
  <c r="T6" i="78"/>
  <c r="T5" i="78"/>
  <c r="U8" i="78" l="1"/>
  <c r="AD12" i="78"/>
  <c r="U12" i="78"/>
  <c r="U5" i="78"/>
  <c r="U7" i="78"/>
  <c r="U9" i="78"/>
  <c r="AD11" i="78"/>
  <c r="U11" i="78"/>
  <c r="U6" i="78"/>
  <c r="AD10" i="78"/>
  <c r="U10" i="78"/>
  <c r="AD16" i="78" l="1"/>
  <c r="AE10" i="78"/>
  <c r="AE11" i="78"/>
  <c r="AE12" i="78"/>
  <c r="AD17" i="78" l="1"/>
  <c r="AE17" i="78" s="1"/>
  <c r="AE5" i="78" s="1"/>
  <c r="AC5" i="78" s="1"/>
  <c r="AB5" i="78" s="1"/>
  <c r="AD5" i="78" s="1"/>
  <c r="AE16" i="78"/>
  <c r="AE6" i="78" l="1"/>
  <c r="AC6" i="78" s="1"/>
  <c r="AB6" i="78" s="1"/>
  <c r="AD6" i="78" s="1"/>
  <c r="AE7" i="78"/>
  <c r="AC7" i="78" s="1"/>
  <c r="AB7" i="78" s="1"/>
  <c r="AD7" i="78" s="1"/>
  <c r="AE9" i="78"/>
  <c r="AC9" i="78" s="1"/>
  <c r="AB9" i="78" s="1"/>
  <c r="AD9" i="78" s="1"/>
  <c r="AE8" i="78"/>
  <c r="AC8" i="78" s="1"/>
  <c r="AB8" i="78" s="1"/>
  <c r="AD8" i="78" s="1"/>
  <c r="AD4" i="78" l="1"/>
  <c r="AB4" i="78"/>
  <c r="V7" i="78" s="1"/>
  <c r="W7" i="78" s="1"/>
  <c r="Y7" i="78" s="1"/>
  <c r="V9" i="78" l="1"/>
  <c r="W9" i="78" s="1"/>
  <c r="Y9" i="78" s="1"/>
  <c r="X7" i="78"/>
  <c r="X9" i="78"/>
  <c r="V5" i="78"/>
  <c r="W5" i="78" s="1"/>
  <c r="Y5" i="78" s="1"/>
  <c r="V12" i="78"/>
  <c r="X12" i="78" s="1"/>
  <c r="V10" i="78"/>
  <c r="X10" i="78" s="1"/>
  <c r="V6" i="78"/>
  <c r="X6" i="78" s="1"/>
  <c r="V11" i="78"/>
  <c r="X11" i="78" s="1"/>
  <c r="V8" i="78"/>
  <c r="X5" i="78"/>
  <c r="W10" i="78" l="1"/>
  <c r="Y10" i="78" s="1"/>
  <c r="W6" i="78"/>
  <c r="Y6" i="78" s="1"/>
  <c r="W12" i="78"/>
  <c r="Y12" i="78" s="1"/>
  <c r="W11" i="78"/>
  <c r="Y11" i="78" s="1"/>
  <c r="X8" i="78"/>
  <c r="W8" i="78"/>
  <c r="Y8"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<sst xmlns="http://schemas.openxmlformats.org/spreadsheetml/2006/main" count="8177" uniqueCount="3315">
  <si>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</si>
  <si>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</si>
  <si>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</si>
  <si>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</si>
  <si>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</si>
  <si>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</si>
  <si>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</si>
  <si>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</si>
  <si>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</si>
  <si>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</si>
  <si>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</si>
  <si>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</si>
  <si>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</si>
  <si>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</si>
  <si>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</si>
  <si>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</si>
  <si>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</si>
  <si>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</si>
  <si>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</si>
  <si>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</si>
  <si>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</si>
  <si>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</si>
  <si>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</si>
  <si>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</si>
  <si>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</si>
  <si>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</si>
  <si>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</si>
  <si>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</si>
  <si>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</si>
  <si>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</si>
  <si>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</si>
  <si>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</si>
  <si>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</si>
  <si>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</si>
  <si>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</si>
  <si>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</si>
  <si>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</si>
  <si>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</si>
  <si>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</si>
  <si>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</si>
  <si>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</si>
  <si>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</si>
  <si>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</si>
  <si>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</si>
  <si>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</si>
  <si>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</si>
  <si>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</si>
  <si>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</si>
  <si>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</si>
  <si>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</si>
  <si>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</si>
  <si>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</si>
  <si>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</si>
  <si>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</si>
  <si>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</si>
  <si>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</si>
  <si>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</si>
  <si>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</si>
  <si>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</si>
  <si>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</si>
  <si>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</si>
  <si>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</si>
  <si>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</si>
  <si>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</si>
  <si>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</si>
  <si>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</si>
  <si>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</si>
  <si>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</si>
  <si>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</si>
  <si>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</si>
  <si>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</si>
  <si>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</si>
  <si>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</si>
  <si>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</si>
  <si>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</si>
  <si>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</si>
  <si>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</si>
  <si>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</si>
  <si>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</si>
  <si>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</si>
  <si>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</si>
  <si>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</si>
  <si>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</si>
  <si>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</si>
  <si>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</si>
  <si>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</si>
  <si>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</si>
  <si>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</si>
  <si>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</si>
  <si>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</si>
  <si>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</si>
  <si>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</si>
  <si>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</si>
  <si>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</si>
  <si>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</si>
  <si>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</si>
  <si>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</si>
  <si>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</si>
  <si>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</si>
  <si>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</si>
  <si>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</si>
  <si>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</si>
  <si>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</si>
  <si>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</si>
  <si>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</si>
  <si>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</si>
  <si>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</si>
  <si>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</si>
  <si>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</si>
  <si>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</si>
  <si>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</si>
  <si>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</si>
  <si>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</si>
  <si>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</si>
  <si>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</si>
  <si>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</si>
  <si>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</si>
  <si>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</si>
  <si>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</si>
  <si>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</si>
  <si>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</si>
  <si>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</si>
  <si>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</si>
  <si>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</si>
  <si>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</si>
  <si>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</si>
  <si>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</si>
  <si>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</si>
  <si>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</si>
  <si>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</si>
  <si>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</si>
  <si>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</si>
  <si>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</si>
  <si>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</si>
  <si>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</si>
  <si>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</si>
  <si>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</si>
  <si>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</si>
  <si>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</si>
  <si>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</si>
  <si>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</si>
  <si>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</si>
  <si>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</si>
  <si>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</si>
  <si>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</si>
  <si>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</si>
  <si>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</si>
  <si>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</si>
  <si>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</si>
  <si>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</si>
  <si>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</si>
  <si>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</si>
  <si>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</si>
  <si>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</si>
  <si>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</si>
  <si>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</si>
  <si>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</si>
  <si>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</si>
  <si>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</si>
  <si>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</si>
  <si>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</si>
  <si>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</si>
  <si>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</si>
  <si>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</si>
  <si>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</si>
  <si>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</si>
  <si>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</si>
  <si>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</si>
  <si>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</si>
  <si>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</si>
  <si>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</si>
  <si>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</si>
  <si>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</si>
  <si>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</si>
  <si>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</si>
  <si>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</si>
  <si>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</si>
  <si>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</si>
  <si>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</si>
  <si>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</si>
  <si>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</si>
  <si>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</si>
  <si>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</si>
  <si>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</si>
  <si>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</si>
  <si>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</si>
  <si>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</si>
  <si>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</si>
  <si>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</si>
  <si>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</si>
  <si>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</si>
  <si>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</si>
  <si>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</si>
  <si>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</si>
  <si>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</si>
  <si>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</si>
  <si>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</si>
  <si>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</si>
  <si>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</si>
  <si>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</si>
  <si>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</si>
  <si>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</si>
  <si>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</si>
  <si>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</si>
  <si>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</si>
  <si>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</si>
  <si>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</si>
  <si>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</si>
  <si>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</si>
  <si>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</si>
  <si>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</si>
  <si>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</si>
  <si>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</si>
  <si>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</si>
  <si>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</si>
  <si>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</si>
  <si>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</si>
  <si>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</si>
  <si>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</si>
  <si>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</si>
  <si>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</si>
  <si>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</si>
  <si>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</si>
  <si>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</si>
  <si>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</si>
  <si>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</si>
  <si>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</si>
  <si>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</si>
  <si>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</si>
  <si>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</si>
  <si>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</si>
  <si>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</si>
  <si>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</si>
  <si>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</si>
  <si>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</si>
  <si>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</si>
  <si>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</si>
  <si>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</si>
  <si>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</si>
  <si>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</si>
  <si>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</si>
  <si>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</si>
  <si>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</si>
  <si>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</si>
  <si>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</si>
  <si>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</si>
  <si>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</si>
  <si>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</si>
  <si>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</si>
  <si>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</si>
  <si>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</si>
  <si>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</si>
  <si>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</si>
  <si>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</si>
  <si>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</si>
  <si>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</si>
  <si>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</si>
  <si>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</si>
  <si>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</si>
  <si>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</si>
  <si>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</si>
  <si>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</si>
  <si>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</si>
  <si>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</si>
  <si>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</si>
  <si>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</si>
  <si>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</si>
  <si>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</si>
  <si>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</si>
  <si>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</si>
  <si>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</si>
  <si>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</si>
  <si>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</si>
  <si>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</si>
  <si>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</si>
  <si>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</si>
  <si>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</si>
  <si>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</si>
  <si>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</si>
  <si>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</si>
  <si>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</si>
  <si>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</si>
  <si>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</si>
  <si>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</si>
  <si>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</si>
  <si>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</si>
  <si>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</si>
  <si>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</si>
  <si>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</si>
  <si>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</si>
  <si>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</si>
  <si>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</si>
  <si>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</si>
  <si>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</si>
  <si>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</si>
  <si>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</si>
  <si>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</si>
  <si>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</si>
  <si>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</si>
  <si>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</si>
  <si>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</si>
  <si>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</si>
  <si>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</si>
  <si>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</si>
  <si>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</si>
  <si>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</si>
  <si>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</si>
  <si>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</si>
  <si>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</si>
  <si>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</si>
  <si>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</si>
  <si>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</si>
  <si>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</si>
  <si>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</si>
  <si>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</si>
  <si>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</si>
  <si>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</si>
  <si>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</si>
  <si>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</si>
  <si>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</si>
  <si>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</si>
  <si>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</si>
  <si>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</si>
  <si>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</si>
  <si>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</si>
  <si>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</si>
  <si>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</si>
  <si>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</si>
  <si>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</si>
  <si>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</si>
  <si>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</si>
  <si>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</si>
  <si>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</si>
  <si>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</si>
  <si>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</si>
  <si>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</si>
  <si>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</si>
  <si>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</si>
  <si>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</si>
  <si>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</si>
  <si>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</si>
  <si>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</si>
  <si>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</si>
  <si>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</si>
  <si>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</si>
  <si>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</si>
  <si>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</si>
  <si>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</si>
  <si>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</si>
  <si>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</si>
  <si>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</si>
  <si>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</si>
  <si>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</si>
  <si>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</si>
  <si>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</si>
  <si>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</si>
  <si>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</si>
  <si>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</si>
  <si>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</si>
  <si>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</si>
  <si>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</si>
  <si>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</si>
  <si>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</si>
  <si>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</si>
  <si>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</si>
  <si>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</si>
  <si>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</si>
  <si>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</si>
  <si>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</si>
  <si>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</si>
  <si>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</si>
  <si>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</si>
  <si>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</si>
  <si>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</si>
  <si>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</si>
  <si>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</si>
  <si>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</si>
  <si>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</si>
  <si>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</si>
  <si>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</si>
  <si>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</si>
  <si>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</si>
  <si>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</si>
  <si>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</si>
  <si>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</si>
  <si>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</si>
  <si>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</si>
  <si>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</si>
  <si>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</si>
  <si>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</si>
  <si>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</si>
  <si>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</si>
  <si>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</si>
  <si>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</si>
  <si>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</si>
  <si>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</si>
  <si>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</si>
  <si>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</si>
  <si>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</si>
  <si>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</si>
  <si>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</si>
  <si>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</si>
  <si>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</si>
  <si>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</si>
  <si>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</si>
  <si>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</si>
  <si>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</si>
  <si>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</si>
  <si>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</si>
  <si>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</si>
  <si>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</si>
  <si>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</si>
  <si>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</si>
  <si>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</si>
  <si>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</si>
  <si>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</si>
  <si>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</si>
  <si>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</si>
  <si>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</si>
  <si>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</si>
  <si>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</si>
  <si>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</si>
  <si>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</si>
  <si>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</si>
  <si>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</si>
  <si>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</si>
  <si>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</si>
  <si>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</si>
  <si>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</si>
  <si>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</si>
  <si>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</si>
  <si>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</si>
  <si>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</si>
  <si>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</si>
  <si>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</si>
  <si>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</si>
  <si>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</si>
  <si>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</si>
  <si>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</si>
  <si>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</si>
  <si>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</si>
  <si>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</si>
  <si>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</si>
  <si>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</si>
  <si>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</si>
  <si>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</si>
  <si>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</si>
  <si>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</si>
  <si>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</si>
  <si>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</si>
  <si>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</si>
  <si>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</si>
  <si>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</si>
  <si>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</si>
  <si>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</si>
  <si>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</si>
  <si>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</si>
  <si>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</si>
  <si>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</si>
  <si>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</si>
  <si>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</si>
  <si>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</si>
  <si>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</si>
  <si>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</si>
  <si>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</si>
  <si>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</si>
  <si>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</si>
  <si>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</si>
  <si>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</si>
  <si>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</si>
  <si>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</si>
  <si>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</si>
  <si>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</si>
  <si>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</si>
  <si>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</si>
  <si>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</si>
  <si>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</si>
  <si>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</si>
  <si>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</si>
  <si>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</si>
  <si>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</si>
  <si>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</si>
  <si>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</si>
  <si>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</si>
  <si>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</si>
  <si>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</si>
  <si>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</si>
  <si>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</si>
  <si>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</si>
  <si>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</si>
  <si>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</si>
  <si>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</si>
  <si>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</si>
  <si>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</si>
  <si>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</si>
  <si>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</si>
  <si>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</si>
  <si>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</si>
  <si>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</si>
  <si>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</si>
  <si>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</si>
  <si>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</si>
  <si>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</si>
  <si>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</si>
  <si>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</si>
  <si>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</si>
  <si>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</si>
  <si>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</si>
  <si>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</si>
  <si>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</si>
  <si>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</si>
  <si>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</si>
  <si>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</si>
  <si>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</si>
  <si>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</si>
  <si>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</si>
  <si>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</si>
  <si>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</si>
  <si>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</si>
  <si>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</si>
  <si>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</si>
  <si>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</si>
  <si>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</si>
  <si>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</si>
  <si>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</si>
  <si>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</si>
  <si>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</si>
  <si>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</si>
  <si>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</si>
  <si>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</si>
  <si>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</si>
  <si>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</si>
  <si>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</si>
  <si>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</si>
  <si>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</si>
  <si>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</si>
  <si>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</si>
  <si>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</si>
  <si>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</si>
  <si>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</si>
  <si>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</si>
  <si>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</si>
  <si>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</si>
  <si>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</si>
  <si>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</si>
  <si>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</si>
  <si>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</si>
  <si>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</si>
  <si>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</si>
  <si>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</si>
  <si>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</si>
  <si>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</si>
  <si>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</si>
  <si>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</si>
  <si>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</si>
  <si>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</si>
  <si>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</si>
  <si>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</si>
  <si>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</si>
  <si>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</si>
  <si>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</si>
  <si>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</si>
  <si>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</si>
  <si>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</si>
  <si>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</si>
  <si>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</si>
  <si>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</si>
  <si>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</si>
  <si>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</si>
  <si>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</si>
  <si>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</si>
  <si>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</si>
  <si>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</si>
  <si>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</si>
  <si>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</si>
  <si>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</si>
  <si>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</si>
  <si>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</si>
  <si>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</si>
  <si>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</si>
  <si>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</si>
  <si>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</si>
  <si>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</si>
  <si>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</si>
  <si>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</si>
  <si>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</si>
  <si>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</si>
  <si>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</si>
  <si>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</si>
  <si>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</si>
  <si>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</si>
  <si>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</si>
  <si>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</si>
  <si>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</si>
  <si>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</si>
  <si>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</si>
  <si>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</si>
  <si>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</si>
  <si>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</si>
  <si>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</si>
  <si>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</si>
  <si>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</si>
  <si>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</si>
  <si>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</si>
  <si>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</si>
  <si>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</si>
  <si>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</si>
  <si>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</si>
  <si>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</si>
  <si>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</si>
  <si>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</si>
  <si>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</si>
  <si>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</si>
  <si>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</si>
  <si>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</si>
  <si>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</si>
  <si>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</si>
  <si>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</si>
  <si>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</si>
  <si>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</si>
  <si>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</si>
  <si>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</si>
  <si>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</si>
  <si>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</si>
  <si>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</si>
  <si>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</si>
  <si>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</si>
  <si>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</si>
  <si>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</si>
  <si>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</si>
  <si>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</si>
  <si>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</si>
  <si>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</si>
  <si>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</si>
  <si>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</si>
  <si>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</si>
  <si>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</si>
  <si>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</si>
  <si>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</si>
  <si>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</si>
  <si>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</si>
  <si>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</si>
  <si>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</si>
  <si>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</si>
  <si>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</si>
  <si>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</si>
  <si>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</si>
  <si>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</si>
  <si>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</si>
  <si>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</si>
  <si>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</si>
  <si>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</si>
  <si>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</si>
  <si>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</si>
  <si>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</si>
  <si>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</si>
  <si>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</si>
  <si>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</si>
  <si>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</si>
  <si>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</si>
  <si>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</si>
  <si>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</si>
  <si>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</si>
  <si>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</si>
  <si>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</si>
  <si>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</si>
  <si>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</si>
  <si>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</si>
  <si>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</si>
  <si>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</si>
  <si>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</si>
  <si>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</si>
  <si>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</si>
  <si>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</si>
  <si>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</si>
  <si>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</si>
  <si>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</si>
  <si>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</si>
  <si>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</si>
  <si>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</si>
  <si>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</si>
  <si>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</si>
  <si>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</si>
  <si>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</si>
  <si>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</si>
  <si>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</si>
  <si>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</si>
  <si>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</si>
  <si>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</si>
  <si>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</si>
  <si>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</si>
  <si>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</si>
  <si>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</si>
  <si>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</si>
  <si>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</si>
  <si>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</si>
  <si>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</si>
  <si>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</si>
  <si>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</si>
  <si>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</si>
  <si>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</si>
  <si>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</si>
  <si>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</si>
  <si>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</si>
  <si>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</si>
  <si>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</si>
  <si>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</si>
  <si>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</si>
  <si>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</si>
  <si>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</si>
  <si>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</si>
  <si>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</si>
  <si>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</si>
  <si>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</si>
  <si>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</si>
  <si>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</si>
  <si>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</si>
  <si>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</si>
  <si>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</si>
  <si>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</si>
  <si>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</si>
  <si>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</si>
  <si>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</si>
  <si>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</si>
  <si>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</si>
  <si>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</si>
  <si>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</si>
  <si>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</si>
  <si>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</si>
  <si>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</si>
  <si>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</si>
  <si>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</si>
  <si>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</si>
  <si>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</si>
  <si>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</si>
  <si>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</si>
  <si>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</si>
  <si>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</si>
  <si>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</si>
  <si>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</si>
  <si>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</si>
  <si>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</si>
  <si>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</si>
  <si>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</si>
  <si>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</si>
  <si>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</si>
  <si>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</si>
  <si>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</si>
  <si>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</si>
  <si>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</si>
  <si>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</si>
  <si>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</si>
  <si>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</si>
  <si>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</si>
  <si>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</si>
  <si>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</si>
  <si>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</si>
  <si>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</si>
  <si>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</si>
  <si>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</si>
  <si>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</si>
  <si>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</si>
  <si>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</si>
  <si>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</si>
  <si>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</si>
  <si>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</si>
  <si>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</si>
  <si>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</si>
  <si>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</si>
  <si>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</si>
  <si>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</si>
  <si>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</si>
  <si>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</si>
  <si>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</si>
  <si>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</si>
  <si>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</si>
  <si>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</si>
  <si>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</si>
  <si>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</si>
  <si>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</si>
  <si>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</si>
  <si>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</si>
  <si>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</si>
  <si>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</si>
  <si>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</si>
  <si>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</si>
  <si>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</si>
  <si>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</si>
  <si>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</si>
  <si>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</si>
  <si>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</si>
  <si>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</si>
  <si>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</si>
  <si>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</si>
  <si>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</si>
  <si>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</si>
  <si>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</si>
  <si>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</si>
  <si>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</si>
  <si>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</si>
  <si>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</si>
  <si>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</si>
  <si>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</si>
  <si>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</si>
  <si>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</si>
  <si>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</si>
  <si>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</si>
  <si>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</si>
  <si>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</si>
  <si>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</si>
  <si>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</si>
  <si>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</si>
  <si>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</si>
  <si>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</si>
  <si>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</si>
  <si>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</si>
  <si>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</si>
  <si>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</si>
  <si>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</si>
  <si>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</si>
  <si>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</si>
  <si>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</si>
  <si>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</si>
  <si>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</si>
  <si>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</si>
  <si>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</si>
  <si>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</si>
  <si>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</si>
  <si>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</si>
  <si>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</si>
  <si>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</si>
  <si>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</si>
  <si>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</si>
  <si>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</si>
  <si>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</si>
  <si>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</si>
  <si>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</si>
  <si>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</si>
  <si>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</si>
  <si>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</si>
  <si>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</si>
  <si>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</si>
  <si>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</si>
  <si>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</si>
  <si>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</si>
  <si>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</si>
  <si>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</si>
  <si>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</si>
  <si>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</si>
  <si>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</si>
  <si>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</si>
  <si>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</si>
  <si>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</si>
  <si>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</si>
  <si>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</si>
  <si>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</si>
  <si>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</si>
  <si>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</si>
  <si>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</si>
  <si>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</si>
  <si>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</si>
  <si>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</si>
  <si>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</si>
  <si>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</si>
  <si>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</si>
  <si>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</si>
  <si>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</si>
  <si>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</si>
  <si>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</si>
  <si>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</si>
  <si>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</si>
  <si>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</si>
  <si>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</si>
  <si>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</si>
  <si>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</si>
  <si>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</si>
  <si>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</si>
  <si>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</si>
  <si>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</si>
  <si>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</si>
  <si>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</si>
  <si>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</si>
  <si>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</si>
  <si>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</si>
  <si>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</si>
  <si>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</si>
  <si>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</si>
  <si>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</si>
  <si>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</si>
  <si>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</si>
  <si>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</si>
  <si>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</si>
  <si>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</si>
  <si>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</si>
  <si>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</si>
  <si>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</si>
  <si>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</si>
  <si>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</si>
  <si>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</si>
  <si>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</si>
  <si>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</si>
  <si>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</si>
  <si>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</si>
  <si>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</si>
  <si>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</si>
  <si>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</si>
  <si>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</si>
  <si>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</si>
  <si>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</si>
  <si>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</si>
  <si>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</si>
  <si>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</si>
  <si>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</si>
  <si>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</si>
  <si>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</si>
  <si>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</si>
  <si>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</si>
  <si>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</si>
  <si>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</si>
  <si>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</si>
  <si>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</si>
  <si>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</si>
  <si>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</si>
  <si>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</si>
  <si>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</si>
  <si>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</si>
  <si>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</si>
  <si>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</si>
  <si>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</si>
  <si>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</si>
  <si>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</si>
  <si>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</si>
  <si>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</si>
  <si>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</si>
  <si>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</si>
  <si>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</si>
  <si>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</si>
  <si>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</si>
  <si>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</si>
  <si>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</si>
  <si>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</si>
  <si>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</si>
  <si>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</si>
  <si>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</si>
  <si>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</si>
  <si>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</si>
  <si>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</si>
  <si>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</si>
  <si>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</si>
  <si>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</si>
  <si>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</si>
  <si>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</si>
  <si>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</si>
  <si>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</si>
  <si>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</si>
  <si>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</si>
  <si>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</si>
  <si>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</si>
  <si>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</si>
  <si>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</si>
  <si>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</si>
  <si>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</si>
  <si>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</si>
  <si>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</si>
  <si>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</si>
  <si>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</si>
  <si>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</si>
  <si>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</si>
  <si>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</si>
  <si>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</si>
  <si>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</si>
  <si>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</si>
  <si>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</si>
  <si>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</si>
  <si>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</si>
  <si>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</si>
  <si>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</si>
  <si>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</si>
  <si>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</si>
  <si>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</si>
  <si>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</si>
  <si>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</si>
  <si>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</si>
  <si>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</si>
  <si>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</si>
  <si>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</si>
  <si>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</si>
  <si>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</si>
  <si>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</si>
  <si>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</si>
  <si>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</si>
  <si>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</si>
  <si>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</si>
  <si>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</si>
  <si>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</si>
  <si>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</si>
  <si>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</si>
  <si>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</si>
  <si>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</si>
  <si>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</si>
  <si>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</si>
  <si>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</si>
  <si>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</si>
  <si>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</si>
  <si>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</si>
  <si>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</si>
  <si>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</si>
  <si>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</si>
  <si>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</si>
  <si>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</si>
  <si>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</si>
  <si>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</si>
  <si>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</si>
  <si>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</si>
  <si>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</si>
  <si>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</si>
  <si>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</si>
  <si>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</si>
  <si>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</si>
  <si>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</si>
  <si>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</si>
  <si>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</si>
  <si>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</si>
  <si>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</si>
  <si>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</si>
  <si>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</si>
  <si>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</si>
  <si>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</si>
  <si>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</si>
  <si>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</si>
  <si>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</si>
  <si>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</si>
  <si>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</si>
  <si>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</si>
  <si>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</si>
  <si>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</si>
  <si>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</si>
  <si>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</si>
  <si>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</si>
  <si>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</si>
  <si>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</si>
  <si>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</si>
  <si>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</si>
  <si>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</si>
  <si>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</si>
  <si>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</si>
  <si>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</si>
  <si>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</si>
  <si>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</si>
  <si>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</si>
  <si>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</si>
  <si>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</si>
  <si>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</si>
  <si>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</si>
  <si>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</si>
  <si>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</si>
  <si>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</si>
  <si>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</si>
  <si>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</si>
  <si>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</si>
  <si>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</si>
  <si>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</si>
  <si>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</si>
  <si>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</si>
  <si>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</si>
  <si>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</si>
  <si>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</si>
  <si>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</si>
  <si>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</si>
  <si>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</si>
  <si>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</si>
  <si>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</si>
  <si>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</si>
  <si>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</si>
  <si>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</si>
  <si>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</si>
  <si>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</si>
  <si>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</si>
  <si>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</si>
  <si>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</si>
  <si>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</si>
  <si>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</si>
  <si>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</si>
  <si>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</si>
  <si>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</si>
  <si>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</si>
  <si>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</si>
  <si>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</si>
  <si>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</si>
  <si>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</si>
  <si>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</si>
  <si>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</si>
  <si>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</si>
  <si>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</si>
  <si>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</si>
  <si>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</si>
  <si>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</si>
  <si>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</si>
  <si>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</si>
  <si>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</si>
  <si>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</si>
  <si>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</si>
  <si>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</si>
  <si>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</si>
  <si>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</si>
  <si>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</si>
  <si>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</si>
  <si>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</si>
  <si>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</si>
  <si>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</si>
  <si>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</si>
  <si>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</si>
  <si>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</si>
  <si>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</si>
  <si>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</si>
  <si>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</si>
  <si>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</si>
  <si>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</si>
  <si>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</si>
  <si>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</si>
  <si>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</si>
  <si>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</si>
  <si>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</si>
  <si>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</si>
  <si>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</si>
  <si>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</si>
  <si>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</si>
  <si>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</si>
  <si>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</si>
  <si>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</si>
  <si>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</si>
  <si>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</si>
  <si>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</si>
  <si>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</si>
  <si>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</si>
  <si>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</si>
  <si>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</si>
  <si>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</si>
  <si>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</si>
  <si>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</si>
  <si>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</si>
  <si>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</si>
  <si>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</si>
  <si>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</si>
  <si>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</si>
  <si>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</si>
  <si>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</si>
  <si>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</si>
  <si>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</si>
  <si>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</si>
  <si>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</si>
  <si>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</si>
  <si>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</si>
  <si>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</si>
  <si>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</si>
  <si>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</si>
  <si>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</si>
  <si>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</si>
  <si>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</si>
  <si>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</si>
  <si>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</si>
  <si>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</si>
  <si>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</si>
  <si>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</si>
  <si>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</si>
  <si>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</si>
  <si>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</si>
  <si>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</si>
  <si>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</si>
  <si>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</si>
  <si>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</si>
  <si>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</si>
  <si>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</si>
  <si>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</si>
  <si>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</si>
  <si>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</si>
  <si>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</si>
  <si>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</si>
  <si>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</si>
  <si>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</si>
  <si>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</si>
  <si>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</si>
  <si>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</si>
  <si>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</si>
  <si>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</si>
  <si>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</si>
  <si>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</si>
  <si>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</si>
  <si>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</si>
  <si>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</si>
  <si>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</si>
  <si>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</si>
  <si>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</si>
  <si>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</si>
  <si>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</si>
  <si>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</si>
  <si>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</si>
  <si>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</si>
  <si>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</si>
  <si>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</si>
  <si>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</si>
  <si>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</si>
  <si>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</si>
  <si>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</si>
  <si>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</si>
  <si>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</si>
  <si>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</si>
  <si>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</si>
  <si>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</si>
  <si>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</si>
  <si>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</si>
  <si>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</si>
  <si>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</si>
  <si>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</si>
  <si>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</si>
  <si>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</si>
  <si>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</si>
  <si>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</si>
  <si>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</si>
  <si>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</si>
  <si>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</si>
  <si>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</si>
  <si>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</si>
  <si>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</si>
  <si>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</si>
  <si>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</si>
  <si>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</si>
  <si>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</si>
  <si>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</si>
  <si>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</si>
  <si>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</si>
  <si>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</si>
  <si>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</si>
  <si>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</si>
  <si>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</si>
  <si>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</si>
  <si>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</si>
  <si>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</si>
  <si>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</si>
  <si>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</si>
  <si>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</si>
  <si>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</si>
  <si>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</si>
  <si>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</si>
  <si>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</si>
  <si>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</si>
  <si>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</si>
  <si>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</si>
  <si>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</si>
  <si>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</si>
  <si>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</si>
  <si>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</si>
  <si>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</si>
  <si>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</si>
  <si>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</si>
  <si>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</si>
  <si>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</si>
  <si>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</si>
  <si>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</si>
  <si>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</si>
  <si>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</si>
  <si>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</si>
  <si>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</si>
  <si>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</si>
  <si>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</si>
  <si>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</si>
  <si>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</si>
  <si>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</si>
  <si>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</si>
  <si>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</si>
  <si>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</si>
  <si>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</si>
  <si>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</si>
  <si>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</si>
  <si>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</si>
  <si>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</si>
  <si>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</si>
  <si>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</si>
  <si>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</si>
  <si>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</si>
  <si>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</si>
  <si>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</si>
  <si>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</si>
  <si>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</si>
  <si>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</si>
  <si>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</si>
  <si>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</si>
  <si>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</si>
  <si>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</si>
  <si>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</si>
  <si>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</si>
  <si>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</si>
  <si>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</si>
  <si>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</si>
  <si>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</si>
  <si>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</si>
  <si>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</si>
  <si>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</si>
  <si>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</si>
  <si>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</si>
  <si>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</si>
  <si>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</si>
  <si>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</si>
  <si>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</si>
  <si>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</si>
  <si>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</si>
  <si>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</si>
  <si>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</si>
  <si>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</si>
  <si>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</si>
  <si>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</si>
  <si>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</si>
  <si>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</si>
  <si>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</si>
  <si>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</si>
  <si>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</si>
  <si>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</si>
  <si>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</si>
  <si>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</si>
  <si>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</si>
  <si>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</si>
  <si>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</si>
  <si>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</si>
  <si>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</si>
  <si>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</si>
  <si>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</si>
  <si>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</si>
  <si>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</si>
  <si>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</si>
  <si>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</si>
  <si>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</si>
  <si>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</si>
  <si>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</si>
  <si>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</si>
  <si>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</si>
  <si>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</si>
  <si>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</si>
  <si>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</si>
  <si>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</si>
  <si>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</si>
  <si>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</si>
  <si>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</si>
  <si>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</si>
  <si>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</si>
  <si>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</si>
  <si>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</si>
  <si>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</si>
  <si>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</si>
  <si>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</si>
  <si>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</si>
  <si>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</si>
  <si>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</si>
  <si>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</si>
  <si>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</si>
  <si>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</si>
  <si>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</si>
  <si>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</si>
  <si>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</si>
  <si>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</si>
  <si>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</si>
  <si>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</si>
  <si>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</si>
  <si>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</si>
  <si>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</si>
  <si>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</si>
  <si>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</si>
  <si>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</si>
  <si>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</si>
  <si>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</si>
  <si>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</si>
  <si>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</si>
  <si>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</si>
  <si>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</si>
  <si>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</si>
  <si>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</si>
  <si>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</si>
  <si>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</si>
  <si>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</si>
  <si>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</si>
  <si>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</si>
  <si>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</si>
  <si>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</si>
  <si>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</si>
  <si>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</si>
  <si>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</si>
  <si>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</si>
  <si>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</si>
  <si>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</si>
  <si>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</si>
  <si>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</si>
  <si>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</si>
  <si>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</si>
  <si>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</si>
  <si>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</si>
  <si>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</si>
  <si>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</si>
  <si>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</si>
  <si>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</si>
  <si>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</si>
  <si>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</si>
  <si>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</si>
  <si>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</si>
  <si>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</si>
  <si>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</si>
  <si>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</si>
  <si>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</si>
  <si>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</si>
  <si>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</si>
  <si>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</si>
  <si>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</si>
  <si>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</si>
  <si>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</si>
  <si>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</si>
  <si>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</si>
  <si>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</si>
  <si>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</si>
  <si>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</si>
  <si>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</si>
  <si>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</si>
  <si>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</si>
  <si>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</si>
  <si>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</si>
  <si>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</si>
  <si>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</si>
  <si>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</si>
  <si>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</si>
  <si>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</si>
  <si>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</si>
  <si>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</si>
  <si>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</si>
  <si>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</si>
  <si>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</si>
  <si>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</si>
  <si>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</si>
  <si>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</si>
  <si>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</si>
  <si>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</si>
  <si>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</si>
  <si>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</si>
  <si>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</si>
  <si>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</si>
  <si>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</si>
  <si>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</si>
  <si>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</si>
  <si>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</si>
  <si>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</si>
  <si>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</si>
  <si>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</si>
  <si>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</si>
  <si>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</si>
  <si>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</si>
  <si>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</si>
  <si>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</si>
  <si>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</si>
  <si>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</si>
  <si>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</si>
  <si>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</si>
  <si>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</si>
  <si>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</si>
  <si>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</si>
  <si>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</si>
  <si>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</si>
  <si>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</si>
  <si>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</si>
  <si>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</si>
  <si>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</si>
  <si>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</si>
  <si>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</si>
  <si>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</si>
  <si>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</si>
  <si>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</si>
  <si>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</si>
  <si>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</si>
  <si>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</si>
  <si>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</si>
  <si>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</si>
  <si>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</si>
  <si>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</si>
  <si>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</si>
  <si>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</si>
  <si>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</si>
  <si>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</si>
  <si>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</si>
  <si>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</si>
  <si>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</si>
  <si>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</si>
  <si>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</si>
  <si>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</si>
  <si>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</si>
  <si>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</si>
  <si>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</si>
  <si>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</si>
  <si>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</si>
  <si>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</si>
  <si>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</si>
  <si>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</si>
  <si>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</si>
  <si>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</si>
  <si>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</si>
  <si>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</si>
  <si>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</si>
  <si>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</si>
  <si>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</si>
  <si>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</si>
  <si>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</si>
  <si>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</si>
  <si>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</si>
  <si>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</si>
  <si>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</si>
  <si>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</si>
  <si>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</si>
  <si>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</si>
  <si>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</si>
  <si>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</si>
  <si>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</si>
  <si>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</si>
  <si>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</si>
  <si>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</si>
  <si>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</si>
  <si>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</si>
  <si>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</si>
  <si>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</si>
  <si>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</si>
  <si>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</si>
  <si>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</si>
  <si>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</si>
  <si>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</si>
  <si>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</si>
  <si>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</si>
  <si>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</si>
  <si>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</si>
  <si>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</si>
  <si>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</si>
  <si>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</si>
  <si>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</si>
  <si>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</si>
  <si>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</si>
  <si>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</si>
  <si>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</si>
  <si>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</si>
  <si>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</si>
  <si>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</si>
  <si>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</si>
  <si>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</si>
  <si>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</si>
  <si>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</si>
  <si>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</si>
  <si>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</si>
  <si>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</si>
  <si>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</si>
  <si>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</si>
  <si>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</si>
  <si>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</si>
  <si>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</si>
  <si>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</si>
  <si>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</si>
  <si>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</si>
  <si>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</si>
  <si>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</si>
  <si>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</si>
  <si>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</si>
  <si>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</si>
  <si>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</si>
  <si>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</si>
  <si>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</si>
  <si>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</si>
  <si>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</si>
  <si>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</si>
  <si>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</si>
  <si>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</si>
  <si>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</si>
  <si>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</si>
  <si>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</si>
  <si>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</si>
  <si>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</si>
  <si>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</si>
  <si>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</si>
  <si>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</si>
  <si>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</si>
  <si>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</si>
  <si>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</si>
  <si>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</si>
  <si>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</si>
  <si>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</si>
  <si>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</si>
  <si>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</si>
  <si>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</si>
  <si>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</si>
  <si>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</si>
  <si>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</si>
  <si>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</si>
  <si>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</si>
  <si>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</si>
  <si>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</si>
  <si>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</si>
  <si>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</si>
  <si>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</si>
  <si>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</si>
  <si>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</si>
  <si>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</si>
  <si>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</si>
  <si>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</si>
  <si>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</si>
  <si>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</si>
  <si>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</si>
  <si>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</si>
  <si>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</si>
  <si>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</si>
  <si>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</si>
  <si>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</si>
  <si>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</si>
  <si>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</si>
  <si>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</si>
  <si>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</si>
  <si>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</si>
  <si>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</si>
  <si>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</si>
  <si>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</si>
  <si>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</si>
  <si>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</si>
  <si>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</si>
  <si>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</si>
  <si>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</si>
  <si>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</si>
  <si>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</si>
  <si>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</si>
  <si>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</si>
  <si>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</si>
  <si>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</si>
  <si>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</si>
  <si>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</si>
  <si>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</si>
  <si>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</si>
  <si>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</si>
  <si>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</si>
  <si>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</si>
  <si>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</si>
  <si>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</si>
  <si>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</si>
  <si>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</si>
  <si>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</si>
  <si>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</si>
  <si>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</si>
  <si>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</si>
  <si>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</si>
  <si>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</si>
  <si>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</si>
  <si>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</si>
  <si>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</si>
  <si>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</si>
  <si>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</si>
  <si>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</si>
  <si>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</si>
  <si>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</si>
  <si>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</si>
  <si>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</si>
  <si>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</si>
  <si>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</si>
  <si>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</si>
  <si>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</si>
  <si>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</si>
  <si>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</si>
  <si>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</si>
  <si>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</si>
  <si>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</si>
  <si>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</si>
  <si>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</si>
  <si>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</si>
  <si>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</si>
  <si>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</si>
  <si>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</si>
  <si>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</si>
  <si>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</si>
  <si>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</si>
  <si>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</si>
  <si>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</si>
  <si>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</si>
  <si>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</si>
  <si>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</si>
  <si>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</si>
  <si>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</si>
  <si>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</si>
  <si>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</si>
  <si>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</si>
  <si>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</si>
  <si>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</si>
  <si>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</si>
  <si>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</si>
  <si>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</si>
  <si>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</si>
  <si>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</si>
  <si>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</si>
  <si>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</si>
  <si>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</si>
  <si>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</si>
  <si>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</si>
  <si>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</si>
  <si>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</si>
  <si>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</si>
  <si>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</si>
  <si>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</si>
  <si>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</si>
  <si>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</si>
  <si>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</si>
  <si>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</si>
  <si>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</si>
  <si>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</si>
  <si>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</si>
  <si>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</si>
  <si>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</si>
  <si>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</si>
  <si>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</si>
  <si>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</si>
  <si>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</si>
  <si>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</si>
  <si>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</si>
  <si>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</si>
  <si>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</si>
  <si>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</si>
  <si>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</si>
  <si>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</si>
  <si>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</si>
  <si>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</si>
  <si>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</si>
  <si>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</si>
  <si>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</si>
  <si>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</si>
  <si>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</si>
  <si>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</si>
  <si>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</si>
  <si>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</si>
  <si>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</si>
  <si>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</si>
  <si>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</si>
  <si>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</si>
  <si>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</si>
  <si>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</si>
  <si>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</si>
  <si>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</si>
  <si>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</si>
  <si>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</si>
  <si>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</si>
  <si>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</si>
  <si>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</si>
  <si>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</si>
  <si>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</si>
  <si>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</si>
  <si>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</si>
  <si>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</si>
  <si>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</si>
  <si>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</si>
  <si>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</si>
  <si>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</si>
  <si>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</si>
  <si>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</si>
  <si>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</si>
  <si>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</si>
  <si>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</si>
  <si>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</si>
  <si>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</si>
  <si>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</si>
  <si>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</si>
  <si>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</si>
  <si>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</si>
  <si>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</si>
  <si>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</si>
  <si>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</si>
  <si>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</si>
  <si>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</si>
  <si>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</si>
  <si>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</si>
  <si>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</si>
  <si>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</si>
  <si>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</si>
  <si>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</si>
  <si>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</si>
  <si>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</si>
  <si>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</si>
  <si>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</si>
  <si>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</si>
  <si>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</si>
  <si>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</si>
  <si>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</si>
  <si>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</si>
  <si>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</si>
  <si>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</si>
  <si>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</si>
  <si>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</si>
  <si>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</si>
  <si>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</si>
  <si>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</si>
  <si>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</si>
  <si>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</si>
  <si>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</si>
  <si>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</si>
  <si>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</si>
  <si>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</si>
  <si>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</si>
  <si>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</si>
  <si>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</si>
  <si>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</si>
  <si>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</si>
  <si>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</si>
  <si>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</si>
  <si>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</si>
  <si>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</si>
  <si>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</si>
  <si>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</si>
  <si>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</si>
  <si>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</si>
  <si>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</si>
  <si>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</si>
  <si>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</si>
  <si>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</si>
  <si>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</si>
  <si>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</si>
  <si>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</si>
  <si>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</si>
  <si>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</si>
  <si>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</si>
  <si>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</si>
  <si>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</si>
  <si>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</si>
  <si>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</si>
  <si>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</si>
  <si>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</si>
  <si>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</si>
  <si>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</si>
  <si>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</si>
  <si>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</si>
  <si>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</si>
  <si>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</si>
  <si>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</si>
  <si>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</si>
  <si>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</si>
  <si>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</si>
  <si>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</si>
  <si>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</si>
  <si>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</si>
  <si>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</si>
  <si>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</si>
  <si>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</si>
  <si>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</si>
  <si>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</si>
  <si>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</si>
  <si>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</si>
  <si>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</si>
  <si>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</si>
  <si>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</si>
  <si>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</si>
  <si>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</si>
  <si>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</si>
  <si>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</si>
  <si>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</si>
  <si>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</si>
  <si>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</si>
  <si>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</si>
  <si>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</si>
  <si>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</si>
  <si>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</si>
  <si>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</si>
  <si>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</si>
  <si>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</si>
  <si>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</si>
  <si>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</si>
  <si>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</si>
  <si>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</si>
  <si>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</si>
  <si>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</si>
  <si>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</si>
  <si>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</si>
  <si>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</si>
  <si>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</si>
  <si>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</si>
  <si>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</si>
  <si>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</si>
  <si>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</si>
  <si>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</si>
  <si>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</si>
  <si>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</si>
  <si>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</si>
  <si>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</si>
  <si>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</si>
  <si>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</si>
  <si>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</si>
  <si>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</si>
  <si>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</si>
  <si>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</si>
  <si>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</si>
  <si>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</si>
  <si>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</si>
  <si>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</si>
  <si>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</si>
  <si>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</si>
  <si>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</si>
  <si>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</si>
  <si>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</si>
  <si>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</si>
  <si>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</si>
  <si>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</si>
  <si>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</si>
  <si>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</si>
  <si>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</si>
  <si>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</si>
  <si>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</si>
  <si>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</si>
  <si>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</si>
  <si>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</si>
  <si>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</si>
  <si>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</si>
  <si>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</si>
  <si>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</si>
  <si>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</si>
  <si>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</si>
  <si>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</si>
  <si>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</si>
  <si>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</si>
  <si>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</si>
  <si>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</si>
  <si>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</si>
  <si>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</si>
  <si>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</si>
  <si>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</si>
  <si>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</si>
  <si>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</si>
  <si>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</si>
  <si>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</si>
  <si>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</si>
  <si>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</si>
  <si>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</si>
  <si>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</si>
  <si>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</si>
  <si>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</si>
  <si>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</si>
  <si>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</si>
  <si>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</si>
  <si>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</si>
  <si>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</si>
  <si>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</si>
  <si>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</si>
  <si>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</si>
  <si>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</si>
  <si>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</si>
  <si>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</si>
  <si>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</si>
  <si>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</si>
  <si>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</si>
  <si>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</si>
  <si>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</si>
  <si>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</si>
  <si>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</si>
  <si>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</si>
  <si>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</si>
  <si>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</si>
  <si>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</si>
  <si>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</si>
  <si>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</si>
  <si>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</si>
  <si>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</si>
  <si>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</si>
  <si>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</si>
  <si>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</si>
  <si>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</si>
  <si>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</si>
  <si>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</si>
  <si>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</si>
  <si>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</si>
  <si>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</si>
  <si>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</si>
  <si>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</si>
  <si>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</si>
  <si>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</si>
  <si>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</si>
  <si>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</si>
  <si>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</si>
  <si>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</si>
  <si>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</si>
  <si>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</si>
  <si>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</si>
  <si>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</si>
  <si>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</si>
  <si>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</si>
  <si>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</si>
  <si>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</si>
  <si>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</si>
  <si>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</si>
  <si>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</si>
  <si>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</si>
  <si>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</si>
  <si>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</si>
  <si>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</si>
  <si>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</si>
  <si>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</si>
  <si>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</si>
  <si>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</si>
  <si>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</si>
  <si>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</si>
  <si>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</si>
  <si>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</si>
  <si>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</si>
  <si>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</si>
  <si>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</si>
  <si>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</si>
  <si>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</si>
  <si>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</si>
  <si>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</si>
  <si>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</si>
  <si>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</si>
  <si>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</si>
  <si>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</si>
  <si>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</si>
  <si>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</si>
  <si>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</si>
  <si>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</si>
  <si>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</si>
  <si>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</si>
  <si>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</si>
  <si>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</si>
  <si>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</si>
  <si>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</si>
  <si>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</si>
  <si>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</si>
  <si>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</si>
  <si>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</si>
  <si>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</si>
  <si>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</si>
  <si>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</si>
  <si>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</si>
  <si>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</si>
  <si>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</si>
  <si>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</si>
  <si>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</si>
  <si>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</si>
  <si>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</si>
  <si>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</si>
  <si>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</si>
  <si>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</si>
  <si>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</si>
  <si>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</si>
  <si>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</si>
  <si>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</si>
  <si>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</si>
  <si>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</si>
  <si>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</si>
  <si>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</si>
  <si>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</si>
  <si>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</si>
  <si>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</si>
  <si>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</si>
  <si>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</si>
  <si>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</si>
  <si>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</si>
  <si>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</si>
  <si>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</si>
  <si>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</si>
  <si>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</si>
  <si>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</si>
  <si>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</si>
  <si>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</si>
  <si>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</si>
  <si>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</si>
  <si>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</si>
  <si>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</si>
  <si>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</si>
  <si>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</si>
  <si>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</si>
  <si>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</si>
  <si>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</si>
  <si>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</si>
  <si>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</si>
  <si>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</si>
  <si>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</si>
  <si>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</si>
  <si>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</si>
  <si>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</si>
  <si>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</si>
  <si>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</si>
  <si>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</si>
  <si>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</si>
  <si>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</si>
  <si>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</si>
  <si>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</si>
  <si>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</si>
  <si>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</si>
  <si>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</si>
  <si>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</si>
  <si>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</si>
  <si>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</si>
  <si>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</si>
  <si>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</si>
  <si>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</si>
  <si>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</si>
  <si>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</si>
  <si>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</si>
  <si>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</si>
  <si>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</si>
  <si>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</si>
  <si>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</si>
  <si>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</si>
  <si>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</si>
  <si>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</si>
  <si>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</si>
  <si>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</si>
  <si>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</si>
  <si>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</si>
  <si>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</si>
  <si>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</si>
  <si>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</si>
  <si>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</si>
  <si>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</si>
  <si>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</si>
  <si>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</si>
  <si>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</si>
  <si>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</si>
  <si>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</si>
  <si>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</si>
  <si>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</si>
  <si>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</si>
  <si>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</si>
  <si>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</si>
  <si>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</si>
  <si>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</si>
  <si>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</si>
  <si>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</si>
  <si>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</si>
  <si>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</si>
  <si>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</si>
  <si>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</si>
  <si>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</si>
  <si>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</si>
  <si>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</si>
  <si>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</si>
  <si>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</si>
  <si>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</si>
  <si>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</si>
  <si>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</si>
  <si>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</si>
  <si>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</si>
  <si>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</si>
  <si>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</si>
  <si>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</si>
  <si>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</si>
  <si>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</si>
  <si>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</si>
  <si>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</si>
  <si>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</si>
  <si>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</si>
  <si>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</si>
  <si>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</si>
  <si>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</si>
  <si>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</si>
  <si>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</si>
  <si>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</si>
  <si>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</si>
  <si>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</si>
  <si>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</si>
  <si>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</si>
  <si>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</si>
  <si>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</si>
  <si>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</si>
  <si>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</si>
  <si>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</si>
  <si>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</si>
  <si>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</si>
  <si>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</si>
  <si>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</si>
  <si>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</si>
  <si>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</si>
  <si>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</si>
  <si>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</si>
  <si>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</si>
  <si>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</si>
  <si>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</si>
  <si>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</si>
  <si>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</si>
  <si>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</si>
  <si>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</si>
  <si>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</si>
  <si>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</si>
  <si>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</si>
  <si>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</si>
  <si>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</si>
  <si>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</si>
  <si>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</si>
  <si>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</si>
  <si>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</si>
  <si>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</si>
  <si>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</si>
  <si>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</si>
  <si>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</si>
  <si>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</si>
  <si>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</si>
  <si>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</si>
  <si>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</si>
  <si>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</si>
  <si>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</si>
  <si>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</si>
  <si>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</si>
  <si>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</si>
  <si>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</si>
  <si>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</si>
  <si>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</si>
  <si>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</si>
  <si>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</si>
  <si>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</si>
  <si>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</si>
  <si>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</si>
  <si>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</si>
  <si>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</si>
  <si>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</si>
  <si>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</si>
  <si>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</si>
  <si>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</si>
  <si>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</si>
  <si>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</si>
  <si>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</si>
  <si>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</si>
  <si>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</si>
  <si>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</si>
  <si>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</si>
  <si>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</si>
  <si>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</si>
  <si>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</si>
  <si>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</si>
  <si>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</si>
  <si>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</si>
  <si>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</si>
  <si>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</si>
  <si>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</si>
  <si>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</si>
  <si>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</si>
  <si>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</si>
  <si>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</si>
  <si>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</si>
  <si>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</si>
  <si>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</si>
  <si>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</si>
  <si>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</si>
  <si>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</si>
  <si>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</si>
  <si>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</si>
  <si>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</si>
  <si>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</si>
  <si>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</si>
  <si>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</si>
  <si>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</si>
  <si>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</si>
  <si>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</si>
  <si>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</si>
  <si>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</si>
  <si>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</si>
  <si>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</si>
  <si>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</si>
  <si>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</si>
  <si>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</si>
  <si>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</si>
  <si>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</si>
  <si>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</si>
  <si>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</si>
  <si>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</si>
  <si>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</si>
  <si>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</si>
  <si>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</si>
  <si>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</si>
  <si>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</si>
  <si>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</si>
  <si>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</si>
  <si>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</si>
  <si>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</si>
  <si>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</si>
  <si>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</si>
  <si>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</si>
  <si>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</si>
  <si>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</si>
  <si>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</si>
  <si>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</si>
  <si>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</si>
  <si>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</si>
  <si>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</si>
  <si>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</si>
  <si>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</si>
  <si>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</si>
  <si>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</si>
  <si>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</si>
  <si>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</si>
  <si>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</si>
  <si>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</si>
  <si>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</si>
  <si>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</si>
  <si>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</si>
  <si>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</si>
  <si>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</si>
  <si>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</si>
  <si>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</si>
  <si>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</si>
  <si>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</si>
  <si>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</si>
  <si>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</si>
  <si>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</si>
  <si>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</si>
  <si>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</si>
  <si>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</si>
  <si>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</si>
  <si>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</si>
  <si>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</si>
  <si>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</si>
  <si>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</si>
  <si>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</si>
  <si>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</si>
  <si>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</si>
  <si>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</si>
  <si>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</si>
  <si>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</si>
  <si>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</si>
  <si>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</si>
  <si>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</si>
  <si>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</si>
  <si>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</si>
  <si>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</si>
  <si>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</si>
  <si>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</si>
  <si>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</si>
  <si>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</si>
  <si>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</si>
  <si>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</si>
  <si>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</si>
  <si>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</si>
  <si>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</si>
  <si>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</si>
  <si>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</si>
  <si>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</si>
  <si>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</si>
  <si>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</si>
  <si>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</si>
  <si>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</si>
  <si>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</si>
  <si>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</si>
  <si>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</si>
  <si>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</si>
  <si>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</si>
  <si>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</si>
  <si>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</si>
  <si>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</si>
  <si>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</si>
  <si>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</si>
  <si>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</si>
  <si>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</si>
  <si>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</si>
  <si>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</si>
  <si>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</si>
  <si>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</si>
  <si>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</si>
  <si>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</si>
  <si>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</si>
  <si>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</si>
  <si>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</si>
  <si>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</si>
  <si>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</si>
  <si>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</si>
  <si>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</si>
  <si>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</si>
  <si>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</si>
  <si>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</si>
  <si>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</si>
  <si>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</si>
  <si>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</si>
  <si>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</si>
  <si>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</si>
  <si>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</si>
  <si>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</si>
  <si>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</si>
  <si>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</si>
  <si>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</si>
  <si>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</si>
  <si>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</si>
  <si>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</si>
  <si>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</si>
  <si>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</si>
  <si>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</si>
  <si>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</si>
  <si>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</si>
  <si>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</si>
  <si>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</si>
  <si>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</si>
  <si>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</si>
  <si>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</si>
  <si>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</si>
  <si>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</si>
  <si>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</si>
  <si>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</si>
  <si>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</si>
  <si>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</si>
  <si>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</si>
  <si>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</si>
  <si>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</si>
  <si>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</si>
  <si>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</si>
  <si>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</si>
  <si>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</si>
  <si>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</si>
  <si>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</si>
  <si>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</si>
  <si>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</si>
  <si>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</si>
  <si>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</si>
  <si>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</si>
  <si>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</si>
  <si>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</si>
  <si>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</si>
  <si>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</si>
  <si>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</si>
  <si>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</si>
  <si>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</si>
  <si>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</si>
  <si>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</si>
  <si>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</si>
  <si>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</si>
  <si>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</si>
  <si>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</si>
  <si>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</si>
  <si>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</si>
  <si>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</si>
  <si>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</si>
  <si>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</si>
  <si>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</si>
  <si>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</si>
  <si>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</si>
  <si>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</si>
  <si>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</si>
  <si>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</si>
  <si>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</si>
  <si>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</si>
  <si>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</si>
  <si>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</si>
  <si>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</si>
  <si>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</si>
  <si>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</si>
  <si>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</si>
  <si>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</si>
  <si>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</si>
  <si>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</si>
  <si>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</si>
  <si>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</si>
  <si>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</si>
  <si>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</si>
  <si>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</si>
  <si>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</si>
  <si>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</si>
  <si>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</si>
  <si>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</si>
  <si>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</si>
  <si>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</si>
  <si>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</si>
  <si>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</si>
  <si>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</si>
  <si>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</si>
  <si>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</si>
  <si>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</si>
  <si>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</si>
  <si>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</si>
  <si>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</si>
  <si>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</si>
  <si>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</si>
  <si>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</si>
  <si>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</si>
  <si>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</si>
  <si>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</si>
  <si>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</si>
  <si>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</si>
  <si>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</si>
  <si>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</si>
  <si>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</si>
  <si>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</si>
  <si>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</si>
  <si>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</si>
  <si>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</si>
  <si>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</si>
  <si>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</si>
  <si>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</si>
  <si>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</si>
  <si>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</si>
  <si>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</si>
  <si>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</si>
  <si>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</si>
  <si>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</si>
  <si>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</si>
  <si>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</si>
  <si>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</si>
  <si>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</si>
  <si>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</si>
  <si>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</si>
  <si>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</si>
  <si>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</si>
  <si>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</si>
  <si>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</si>
  <si>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</si>
  <si>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</si>
  <si>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</si>
  <si>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</si>
  <si>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</si>
  <si>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</si>
  <si>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</si>
  <si>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</si>
  <si>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</si>
  <si>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</si>
  <si>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</si>
  <si>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</si>
  <si>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</si>
  <si>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</si>
  <si>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</si>
  <si>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</si>
  <si>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</si>
  <si>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</si>
  <si>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</si>
  <si>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</si>
  <si>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</si>
  <si>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</si>
  <si>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</si>
  <si>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</si>
  <si>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</si>
  <si>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</si>
  <si>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</si>
  <si>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</si>
  <si>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</si>
  <si>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</si>
  <si>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</si>
  <si>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</si>
  <si>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</si>
  <si>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</si>
  <si>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</si>
  <si>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</si>
  <si>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</si>
  <si>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</si>
  <si>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</si>
  <si>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</si>
  <si>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</si>
  <si>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</si>
  <si>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</si>
  <si>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</si>
  <si>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</si>
  <si>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</si>
  <si>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</si>
  <si>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</si>
  <si>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</si>
  <si>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</si>
  <si>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</si>
  <si>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</si>
  <si>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</si>
  <si>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</si>
  <si>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</si>
  <si>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</si>
  <si>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</si>
  <si>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</si>
  <si>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</si>
  <si>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</si>
  <si>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</si>
  <si>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</si>
  <si>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</si>
  <si>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</si>
  <si>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</si>
  <si>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</si>
  <si>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</si>
  <si>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</si>
  <si>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</si>
  <si>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</si>
  <si>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</si>
  <si>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</si>
  <si>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</si>
  <si>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</si>
  <si>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</si>
  <si>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</si>
  <si>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</si>
  <si>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</si>
  <si>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</si>
  <si>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</si>
  <si>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</si>
  <si>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</si>
  <si>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</si>
  <si>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</si>
  <si>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</si>
  <si>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</si>
  <si>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</si>
  <si>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</si>
  <si>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</si>
  <si>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</si>
  <si>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</si>
  <si>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</si>
  <si>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</si>
  <si>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</si>
  <si>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</si>
  <si>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</si>
  <si>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</si>
  <si>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</si>
  <si>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</si>
  <si>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</si>
  <si>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</si>
  <si>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</si>
  <si>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</si>
  <si>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</si>
  <si>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</si>
  <si>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</si>
  <si>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</si>
  <si>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</si>
  <si>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</si>
  <si>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</si>
  <si>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</si>
  <si>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</si>
  <si>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</si>
  <si>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</si>
  <si>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</si>
  <si>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</si>
  <si>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</si>
  <si>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</si>
  <si>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</si>
  <si>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</si>
  <si>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</si>
  <si>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</si>
  <si>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</si>
  <si>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</si>
  <si>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</si>
  <si>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</si>
  <si>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</si>
  <si>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</si>
  <si>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</si>
  <si>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</si>
  <si>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</si>
  <si>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</si>
  <si>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</si>
  <si>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</si>
  <si>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</si>
  <si>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</si>
  <si>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</si>
  <si>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</si>
  <si>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</si>
  <si>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</si>
  <si>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</si>
  <si>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</si>
  <si>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</si>
  <si>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</si>
  <si>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</si>
  <si>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</si>
  <si>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</si>
  <si>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</si>
  <si>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</si>
  <si>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</si>
  <si>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</si>
  <si>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</si>
  <si>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</si>
  <si>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</si>
  <si>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</si>
  <si>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</si>
  <si>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</si>
  <si>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</si>
  <si>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</si>
  <si>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</si>
  <si>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</si>
  <si>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</si>
  <si>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</si>
  <si>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</si>
  <si>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</si>
  <si>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</si>
  <si>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</si>
  <si>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</si>
  <si>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</si>
  <si>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</si>
  <si>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</si>
  <si>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</si>
  <si>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</si>
  <si>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</si>
  <si>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</si>
  <si>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</si>
  <si>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</si>
  <si>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</si>
  <si>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</si>
  <si>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</si>
  <si>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</si>
  <si>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</si>
  <si>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</si>
  <si>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</si>
  <si>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</si>
  <si>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</si>
  <si>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</si>
  <si>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</si>
  <si>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</si>
  <si>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</si>
  <si>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</si>
  <si>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</si>
  <si>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</si>
  <si>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</si>
  <si>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</si>
  <si>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</si>
  <si>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</si>
  <si>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</si>
  <si>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</si>
  <si>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</si>
  <si>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</si>
  <si>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</si>
  <si>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</si>
  <si>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</si>
  <si>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</si>
  <si>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</si>
  <si>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</si>
  <si>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</si>
  <si>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</si>
  <si>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</si>
  <si>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</si>
  <si>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</si>
  <si>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</si>
  <si>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</si>
  <si>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</si>
  <si>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</si>
  <si>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</si>
  <si>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</si>
  <si>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</si>
  <si>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</si>
  <si>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</si>
  <si>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</si>
  <si>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</si>
  <si>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</si>
  <si>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</si>
  <si>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</si>
  <si>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</si>
  <si>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</si>
  <si>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</si>
  <si>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</si>
  <si>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</si>
  <si>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</si>
  <si>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</si>
  <si>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</si>
  <si>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</si>
  <si>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</si>
  <si>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</si>
  <si>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</si>
  <si>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</si>
  <si>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</si>
  <si>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</si>
  <si>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</si>
  <si>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</si>
  <si>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</si>
  <si>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</si>
  <si>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</si>
  <si>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</si>
  <si>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</si>
  <si>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</si>
  <si>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</si>
  <si>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</si>
  <si>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</si>
  <si>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</si>
  <si>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</si>
  <si>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</si>
  <si>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</si>
  <si>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</si>
  <si>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</si>
  <si>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</si>
  <si>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</si>
  <si>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</si>
  <si>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</si>
  <si>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</si>
  <si>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</si>
  <si>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</si>
  <si>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</si>
  <si>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</si>
  <si>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</si>
  <si>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</si>
  <si>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</si>
  <si>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</si>
  <si>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</si>
  <si>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</si>
  <si>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</si>
  <si>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</si>
  <si>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</si>
  <si>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</si>
  <si>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</si>
  <si>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</si>
  <si>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</si>
  <si>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</si>
  <si>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</si>
  <si>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</si>
  <si>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</si>
  <si>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</si>
  <si>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</si>
  <si>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</si>
  <si>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</si>
  <si>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</si>
  <si>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</si>
  <si>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</si>
  <si>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</si>
  <si>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</si>
  <si>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</si>
  <si>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</si>
  <si>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</si>
  <si>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</si>
  <si>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</si>
  <si>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</si>
  <si>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</si>
  <si>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</si>
  <si>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</si>
  <si>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</si>
  <si>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</si>
  <si>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</si>
  <si>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</si>
  <si>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</si>
  <si>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</si>
  <si>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</si>
  <si>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</si>
  <si>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</si>
  <si>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</si>
  <si>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</si>
  <si>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</si>
  <si>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</si>
  <si>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</si>
  <si>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</si>
  <si>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</si>
  <si>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</si>
  <si>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</si>
  <si>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</si>
  <si>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</si>
  <si>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</si>
  <si>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</si>
  <si>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</si>
  <si>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</si>
  <si>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</si>
  <si>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</si>
  <si>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</si>
  <si>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</si>
  <si>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</si>
  <si>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</si>
  <si>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</si>
  <si>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</si>
  <si>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</si>
  <si>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</si>
  <si>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</si>
  <si>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</si>
  <si>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</si>
  <si>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</si>
  <si>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</si>
  <si>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</si>
  <si>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</si>
  <si>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</si>
  <si>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</si>
  <si>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</si>
  <si>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</si>
  <si>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</si>
  <si>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</si>
  <si>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</si>
  <si>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</si>
  <si>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</si>
  <si>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</si>
  <si>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</si>
  <si>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</si>
  <si>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</si>
  <si>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</si>
  <si>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</si>
  <si>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</si>
  <si>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</si>
  <si>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</si>
  <si>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</si>
  <si>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</si>
  <si>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</si>
  <si>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</si>
  <si>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</si>
  <si>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</si>
  <si>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</si>
  <si>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</si>
  <si>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</si>
  <si>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</si>
  <si>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</si>
  <si>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</si>
  <si>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</si>
  <si>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</si>
  <si>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</si>
  <si>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</si>
  <si>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</si>
  <si>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</si>
  <si>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</si>
  <si>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</si>
  <si>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</si>
  <si>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</si>
  <si>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</si>
  <si>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</si>
  <si>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</si>
  <si>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</si>
  <si>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</si>
  <si>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</si>
  <si>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</si>
  <si>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</si>
  <si>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</si>
  <si>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</si>
  <si>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</si>
  <si>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</si>
  <si>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</si>
  <si>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</si>
  <si>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</si>
  <si>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</si>
  <si>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</si>
  <si>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</si>
  <si>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</si>
  <si>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</si>
  <si>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</si>
  <si>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</si>
  <si>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</si>
  <si>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</si>
  <si>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</si>
  <si>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</si>
  <si>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</si>
  <si>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</si>
  <si>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</si>
  <si>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</si>
  <si>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</si>
  <si>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</si>
  <si>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</si>
  <si>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</si>
  <si>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</si>
  <si>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</si>
  <si>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</si>
  <si>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</si>
  <si>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</si>
  <si>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</si>
  <si>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</si>
  <si>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</si>
  <si>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</si>
  <si>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</si>
  <si>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</si>
  <si>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</si>
  <si>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</si>
  <si>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</si>
  <si>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</si>
  <si>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</si>
  <si>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</si>
  <si>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</si>
  <si>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</si>
  <si>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</si>
  <si>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</si>
  <si>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</si>
  <si>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</si>
  <si>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</si>
  <si>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</si>
  <si>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</si>
  <si>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</si>
  <si>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</si>
  <si>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</si>
  <si>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</si>
  <si>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</si>
  <si>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</si>
  <si>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</si>
  <si>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</si>
  <si>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</si>
  <si>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</si>
  <si>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</si>
  <si>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</si>
  <si>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</si>
  <si>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</si>
  <si>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</si>
  <si>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</si>
  <si>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</si>
  <si>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</si>
  <si>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</si>
  <si>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</si>
  <si>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</si>
  <si>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</si>
  <si>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</si>
  <si>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</si>
  <si>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</si>
  <si>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</si>
  <si>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</si>
  <si>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</si>
  <si>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</si>
  <si>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</si>
  <si>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</si>
  <si>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</si>
  <si>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</si>
  <si>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</si>
  <si>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</si>
  <si>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</si>
  <si>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</si>
  <si>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</si>
  <si>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</si>
  <si>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</si>
  <si>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</si>
  <si>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</si>
  <si>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</si>
  <si>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</si>
  <si>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</si>
  <si>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</si>
  <si>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</si>
  <si>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</si>
  <si>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</si>
  <si>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</si>
  <si>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</si>
  <si>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</si>
  <si>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</si>
  <si>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</si>
  <si>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</si>
  <si>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</si>
  <si>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</si>
  <si>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</si>
  <si>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</si>
  <si>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</si>
  <si>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</si>
  <si>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</si>
  <si>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</si>
  <si>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</si>
  <si>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</si>
  <si>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</si>
  <si>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</si>
  <si>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</si>
  <si>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</si>
  <si>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</si>
  <si>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</si>
  <si>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</si>
  <si>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</si>
  <si>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</si>
  <si>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</si>
  <si>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</si>
  <si>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</si>
  <si>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</si>
  <si>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</si>
  <si>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</si>
  <si>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</si>
  <si>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</si>
  <si>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</si>
  <si>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</si>
  <si>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</si>
  <si>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</si>
  <si>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</si>
  <si>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</si>
  <si>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</si>
  <si>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</si>
  <si>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</si>
  <si>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</si>
  <si>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</si>
  <si>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</si>
  <si>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</si>
  <si>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</si>
  <si>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</si>
  <si>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</si>
  <si>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</si>
  <si>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</si>
  <si>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</si>
  <si>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</si>
  <si>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</si>
  <si>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</si>
  <si>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</si>
  <si>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</si>
  <si>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</si>
  <si>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</si>
  <si>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</si>
  <si>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</si>
  <si>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</si>
  <si>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</si>
  <si>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</si>
  <si>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</si>
  <si>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</si>
  <si>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</si>
  <si>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</si>
  <si>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</si>
  <si>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</si>
  <si>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</si>
  <si>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</si>
  <si>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</si>
  <si>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</si>
  <si>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</si>
  <si>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</si>
  <si>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</si>
  <si>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</si>
  <si>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</si>
  <si>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</si>
  <si>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</si>
  <si>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</si>
  <si>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</si>
  <si>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</si>
  <si>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</si>
  <si>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</si>
  <si>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</si>
  <si>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</si>
  <si>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</si>
  <si>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</si>
  <si>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</si>
  <si>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</si>
  <si>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</si>
  <si>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</si>
  <si>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</si>
  <si>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</si>
  <si>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</si>
  <si>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</si>
  <si>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</si>
  <si>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</si>
  <si>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</si>
  <si>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</si>
  <si>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</si>
  <si>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</si>
  <si>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</si>
  <si>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</si>
  <si>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</si>
  <si>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</si>
  <si>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</si>
  <si>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</si>
  <si>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</si>
  <si>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</si>
  <si>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</si>
  <si>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</si>
  <si>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</si>
  <si>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</si>
  <si>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</si>
  <si>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</si>
  <si>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</si>
  <si>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</si>
  <si>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</si>
  <si>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</si>
  <si>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</si>
  <si>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</si>
  <si>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</si>
  <si>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</si>
  <si>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</si>
  <si>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</si>
  <si>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</si>
  <si>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</si>
  <si>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</si>
  <si>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</si>
  <si>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</si>
  <si>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</si>
  <si>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</si>
  <si>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</si>
  <si>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</si>
  <si>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</si>
  <si>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</si>
  <si>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</si>
  <si>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</si>
  <si>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</si>
  <si>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</si>
  <si>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</si>
  <si>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</si>
  <si>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</si>
  <si>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</si>
  <si>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</si>
  <si>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</si>
  <si>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</si>
  <si>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</si>
  <si>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</si>
  <si>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</si>
  <si>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</si>
  <si>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</si>
  <si>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</si>
  <si>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</si>
  <si>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</si>
  <si>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</si>
  <si>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</si>
  <si>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</si>
  <si>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</si>
  <si>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</si>
  <si>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</si>
  <si>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</si>
  <si>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</si>
  <si>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</si>
  <si>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</si>
  <si>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</si>
  <si>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</si>
  <si>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</si>
  <si>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</si>
  <si>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</si>
  <si>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</si>
  <si>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</si>
  <si>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</si>
  <si>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</si>
  <si>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</si>
  <si>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</si>
  <si>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</si>
  <si>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</si>
  <si>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</si>
  <si>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</si>
  <si>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</si>
  <si>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</si>
  <si>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</si>
  <si>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</si>
  <si>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</si>
  <si>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抵押</t>
  </si>
  <si>
    <t>房地产抵押价值</t>
  </si>
  <si>
    <t>北京市</t>
  </si>
  <si>
    <t>企业</t>
  </si>
  <si>
    <t>出让</t>
  </si>
  <si>
    <t>2层</t>
    <phoneticPr fontId="141" type="noConversion"/>
  </si>
  <si>
    <t>1层</t>
    <phoneticPr fontId="141" type="noConversion"/>
  </si>
  <si>
    <t>负1层</t>
    <phoneticPr fontId="141" type="noConversion"/>
  </si>
  <si>
    <t>商业</t>
    <phoneticPr fontId="141" type="noConversion"/>
  </si>
  <si>
    <t>自行车库</t>
    <phoneticPr fontId="141" type="noConversion"/>
  </si>
  <si>
    <t>备用间</t>
    <phoneticPr fontId="141" type="noConversion"/>
  </si>
  <si>
    <t>负2层</t>
    <phoneticPr fontId="141" type="noConversion"/>
  </si>
  <si>
    <t>负3层</t>
    <phoneticPr fontId="141" type="noConversion"/>
  </si>
  <si>
    <t>负4层</t>
    <phoneticPr fontId="141" type="noConversion"/>
  </si>
  <si>
    <t>车位</t>
    <phoneticPr fontId="141" type="noConversion"/>
  </si>
  <si>
    <t>备用间</t>
    <phoneticPr fontId="141" type="noConversion"/>
  </si>
  <si>
    <t>车位</t>
    <phoneticPr fontId="141" type="noConversion"/>
  </si>
  <si>
    <t>-4-1</t>
    <phoneticPr fontId="141" type="noConversion"/>
  </si>
  <si>
    <r>
      <t>-4-2</t>
    </r>
    <r>
      <rPr>
        <sz val="11"/>
        <color theme="1"/>
        <rFont val="宋体"/>
        <family val="2"/>
        <charset val="134"/>
        <scheme val="minor"/>
      </rPr>
      <t/>
    </r>
  </si>
  <si>
    <r>
      <t>-4-3</t>
    </r>
    <r>
      <rPr>
        <sz val="11"/>
        <color theme="1"/>
        <rFont val="宋体"/>
        <family val="2"/>
        <charset val="134"/>
        <scheme val="minor"/>
      </rPr>
      <t/>
    </r>
  </si>
  <si>
    <r>
      <t>-4-4</t>
    </r>
    <r>
      <rPr>
        <sz val="11"/>
        <color theme="1"/>
        <rFont val="宋体"/>
        <family val="2"/>
        <charset val="134"/>
        <scheme val="minor"/>
      </rPr>
      <t/>
    </r>
  </si>
  <si>
    <r>
      <t>-4-5</t>
    </r>
    <r>
      <rPr>
        <sz val="11"/>
        <color theme="1"/>
        <rFont val="宋体"/>
        <family val="2"/>
        <charset val="134"/>
        <scheme val="minor"/>
      </rPr>
      <t/>
    </r>
  </si>
  <si>
    <r>
      <t>-4-6</t>
    </r>
    <r>
      <rPr>
        <sz val="11"/>
        <color theme="1"/>
        <rFont val="宋体"/>
        <family val="2"/>
        <charset val="134"/>
        <scheme val="minor"/>
      </rPr>
      <t/>
    </r>
  </si>
  <si>
    <r>
      <t>-4-7</t>
    </r>
    <r>
      <rPr>
        <sz val="11"/>
        <color theme="1"/>
        <rFont val="宋体"/>
        <family val="2"/>
        <charset val="134"/>
        <scheme val="minor"/>
      </rPr>
      <t/>
    </r>
  </si>
  <si>
    <r>
      <t>-4-8</t>
    </r>
    <r>
      <rPr>
        <sz val="11"/>
        <color theme="1"/>
        <rFont val="宋体"/>
        <family val="2"/>
        <charset val="134"/>
        <scheme val="minor"/>
      </rPr>
      <t/>
    </r>
  </si>
  <si>
    <t>-3-1</t>
    <phoneticPr fontId="141" type="noConversion"/>
  </si>
  <si>
    <r>
      <t>-3-2</t>
    </r>
    <r>
      <rPr>
        <sz val="11"/>
        <color theme="1"/>
        <rFont val="宋体"/>
        <family val="2"/>
        <charset val="134"/>
        <scheme val="minor"/>
      </rPr>
      <t/>
    </r>
  </si>
  <si>
    <r>
      <t>-3-3</t>
    </r>
    <r>
      <rPr>
        <sz val="11"/>
        <color theme="1"/>
        <rFont val="宋体"/>
        <family val="2"/>
        <charset val="134"/>
        <scheme val="minor"/>
      </rPr>
      <t/>
    </r>
  </si>
  <si>
    <r>
      <t>-3-4</t>
    </r>
    <r>
      <rPr>
        <sz val="11"/>
        <color theme="1"/>
        <rFont val="宋体"/>
        <family val="2"/>
        <charset val="134"/>
        <scheme val="minor"/>
      </rPr>
      <t/>
    </r>
  </si>
  <si>
    <r>
      <t>-3-5</t>
    </r>
    <r>
      <rPr>
        <sz val="11"/>
        <color theme="1"/>
        <rFont val="宋体"/>
        <family val="2"/>
        <charset val="134"/>
        <scheme val="minor"/>
      </rPr>
      <t/>
    </r>
  </si>
  <si>
    <r>
      <t>-3-6</t>
    </r>
    <r>
      <rPr>
        <sz val="11"/>
        <color theme="1"/>
        <rFont val="宋体"/>
        <family val="2"/>
        <charset val="134"/>
        <scheme val="minor"/>
      </rPr>
      <t/>
    </r>
  </si>
  <si>
    <r>
      <t>-3-7</t>
    </r>
    <r>
      <rPr>
        <sz val="11"/>
        <color theme="1"/>
        <rFont val="宋体"/>
        <family val="2"/>
        <charset val="134"/>
        <scheme val="minor"/>
      </rPr>
      <t/>
    </r>
  </si>
  <si>
    <r>
      <t>-3-8</t>
    </r>
    <r>
      <rPr>
        <sz val="11"/>
        <color theme="1"/>
        <rFont val="宋体"/>
        <family val="2"/>
        <charset val="134"/>
        <scheme val="minor"/>
      </rPr>
      <t/>
    </r>
  </si>
  <si>
    <r>
      <t>-3-9</t>
    </r>
    <r>
      <rPr>
        <sz val="11"/>
        <color theme="1"/>
        <rFont val="宋体"/>
        <family val="2"/>
        <charset val="134"/>
        <scheme val="minor"/>
      </rPr>
      <t/>
    </r>
  </si>
  <si>
    <r>
      <t>-3-10</t>
    </r>
    <r>
      <rPr>
        <sz val="11"/>
        <color theme="1"/>
        <rFont val="宋体"/>
        <family val="2"/>
        <charset val="134"/>
        <scheme val="minor"/>
      </rPr>
      <t/>
    </r>
  </si>
  <si>
    <r>
      <t>-3-11</t>
    </r>
    <r>
      <rPr>
        <sz val="11"/>
        <color theme="1"/>
        <rFont val="宋体"/>
        <family val="2"/>
        <charset val="134"/>
        <scheme val="minor"/>
      </rPr>
      <t/>
    </r>
  </si>
  <si>
    <r>
      <t>-3-12</t>
    </r>
    <r>
      <rPr>
        <sz val="11"/>
        <color theme="1"/>
        <rFont val="宋体"/>
        <family val="2"/>
        <charset val="134"/>
        <scheme val="minor"/>
      </rPr>
      <t/>
    </r>
  </si>
  <si>
    <r>
      <t>-3-13</t>
    </r>
    <r>
      <rPr>
        <sz val="11"/>
        <color theme="1"/>
        <rFont val="宋体"/>
        <family val="2"/>
        <charset val="134"/>
        <scheme val="minor"/>
      </rPr>
      <t/>
    </r>
  </si>
  <si>
    <r>
      <t>-3-14</t>
    </r>
    <r>
      <rPr>
        <sz val="11"/>
        <color theme="1"/>
        <rFont val="宋体"/>
        <family val="2"/>
        <charset val="134"/>
        <scheme val="minor"/>
      </rPr>
      <t/>
    </r>
  </si>
  <si>
    <r>
      <t>-3-15</t>
    </r>
    <r>
      <rPr>
        <sz val="11"/>
        <color theme="1"/>
        <rFont val="宋体"/>
        <family val="2"/>
        <charset val="134"/>
        <scheme val="minor"/>
      </rPr>
      <t/>
    </r>
  </si>
  <si>
    <r>
      <t>-3-16</t>
    </r>
    <r>
      <rPr>
        <sz val="11"/>
        <color theme="1"/>
        <rFont val="宋体"/>
        <family val="2"/>
        <charset val="134"/>
        <scheme val="minor"/>
      </rPr>
      <t/>
    </r>
  </si>
  <si>
    <r>
      <t>-3-17</t>
    </r>
    <r>
      <rPr>
        <sz val="11"/>
        <color theme="1"/>
        <rFont val="宋体"/>
        <family val="2"/>
        <charset val="134"/>
        <scheme val="minor"/>
      </rPr>
      <t/>
    </r>
  </si>
  <si>
    <r>
      <t>-3-18</t>
    </r>
    <r>
      <rPr>
        <sz val="11"/>
        <color theme="1"/>
        <rFont val="宋体"/>
        <family val="2"/>
        <charset val="134"/>
        <scheme val="minor"/>
      </rPr>
      <t/>
    </r>
  </si>
  <si>
    <r>
      <t>-3-19</t>
    </r>
    <r>
      <rPr>
        <sz val="11"/>
        <color theme="1"/>
        <rFont val="宋体"/>
        <family val="2"/>
        <charset val="134"/>
        <scheme val="minor"/>
      </rPr>
      <t/>
    </r>
  </si>
  <si>
    <r>
      <t>-3-20</t>
    </r>
    <r>
      <rPr>
        <sz val="11"/>
        <color theme="1"/>
        <rFont val="宋体"/>
        <family val="2"/>
        <charset val="134"/>
        <scheme val="minor"/>
      </rPr>
      <t/>
    </r>
  </si>
  <si>
    <r>
      <t>-3-21</t>
    </r>
    <r>
      <rPr>
        <sz val="11"/>
        <color theme="1"/>
        <rFont val="宋体"/>
        <family val="2"/>
        <charset val="134"/>
        <scheme val="minor"/>
      </rPr>
      <t/>
    </r>
  </si>
  <si>
    <t>-2-1</t>
    <phoneticPr fontId="141" type="noConversion"/>
  </si>
  <si>
    <r>
      <t>-2-2</t>
    </r>
    <r>
      <rPr>
        <sz val="11"/>
        <color theme="1"/>
        <rFont val="宋体"/>
        <family val="2"/>
        <charset val="134"/>
        <scheme val="minor"/>
      </rPr>
      <t/>
    </r>
  </si>
  <si>
    <r>
      <t>-2-3</t>
    </r>
    <r>
      <rPr>
        <sz val="11"/>
        <color theme="1"/>
        <rFont val="宋体"/>
        <family val="2"/>
        <charset val="134"/>
        <scheme val="minor"/>
      </rPr>
      <t/>
    </r>
  </si>
  <si>
    <r>
      <t>-2-4</t>
    </r>
    <r>
      <rPr>
        <sz val="11"/>
        <color theme="1"/>
        <rFont val="宋体"/>
        <family val="2"/>
        <charset val="134"/>
        <scheme val="minor"/>
      </rPr>
      <t/>
    </r>
  </si>
  <si>
    <r>
      <t>-2-5</t>
    </r>
    <r>
      <rPr>
        <sz val="11"/>
        <color theme="1"/>
        <rFont val="宋体"/>
        <family val="2"/>
        <charset val="134"/>
        <scheme val="minor"/>
      </rPr>
      <t/>
    </r>
  </si>
  <si>
    <r>
      <t>-2-6</t>
    </r>
    <r>
      <rPr>
        <sz val="11"/>
        <color theme="1"/>
        <rFont val="宋体"/>
        <family val="2"/>
        <charset val="134"/>
        <scheme val="minor"/>
      </rPr>
      <t/>
    </r>
  </si>
  <si>
    <r>
      <t>-2-7</t>
    </r>
    <r>
      <rPr>
        <sz val="11"/>
        <color theme="1"/>
        <rFont val="宋体"/>
        <family val="2"/>
        <charset val="134"/>
        <scheme val="minor"/>
      </rPr>
      <t/>
    </r>
  </si>
  <si>
    <r>
      <t>-2-8</t>
    </r>
    <r>
      <rPr>
        <sz val="11"/>
        <color theme="1"/>
        <rFont val="宋体"/>
        <family val="2"/>
        <charset val="134"/>
        <scheme val="minor"/>
      </rPr>
      <t/>
    </r>
  </si>
  <si>
    <r>
      <t>-2-9</t>
    </r>
    <r>
      <rPr>
        <sz val="11"/>
        <color theme="1"/>
        <rFont val="宋体"/>
        <family val="2"/>
        <charset val="134"/>
        <scheme val="minor"/>
      </rPr>
      <t/>
    </r>
  </si>
  <si>
    <r>
      <t>-2-10</t>
    </r>
    <r>
      <rPr>
        <sz val="11"/>
        <color theme="1"/>
        <rFont val="宋体"/>
        <family val="2"/>
        <charset val="134"/>
        <scheme val="minor"/>
      </rPr>
      <t/>
    </r>
  </si>
  <si>
    <r>
      <t>-2-11</t>
    </r>
    <r>
      <rPr>
        <sz val="11"/>
        <color theme="1"/>
        <rFont val="宋体"/>
        <family val="2"/>
        <charset val="134"/>
        <scheme val="minor"/>
      </rPr>
      <t/>
    </r>
  </si>
  <si>
    <r>
      <t>-2-12</t>
    </r>
    <r>
      <rPr>
        <sz val="11"/>
        <color theme="1"/>
        <rFont val="宋体"/>
        <family val="2"/>
        <charset val="134"/>
        <scheme val="minor"/>
      </rPr>
      <t/>
    </r>
  </si>
  <si>
    <r>
      <t>-2-13</t>
    </r>
    <r>
      <rPr>
        <sz val="11"/>
        <color theme="1"/>
        <rFont val="宋体"/>
        <family val="2"/>
        <charset val="134"/>
        <scheme val="minor"/>
      </rPr>
      <t/>
    </r>
  </si>
  <si>
    <r>
      <t>-2-14</t>
    </r>
    <r>
      <rPr>
        <sz val="11"/>
        <color theme="1"/>
        <rFont val="宋体"/>
        <family val="2"/>
        <charset val="134"/>
        <scheme val="minor"/>
      </rPr>
      <t/>
    </r>
  </si>
  <si>
    <r>
      <t>-2-15</t>
    </r>
    <r>
      <rPr>
        <sz val="11"/>
        <color theme="1"/>
        <rFont val="宋体"/>
        <family val="2"/>
        <charset val="134"/>
        <scheme val="minor"/>
      </rPr>
      <t/>
    </r>
  </si>
  <si>
    <r>
      <t>-2-16</t>
    </r>
    <r>
      <rPr>
        <sz val="11"/>
        <color theme="1"/>
        <rFont val="宋体"/>
        <family val="2"/>
        <charset val="134"/>
        <scheme val="minor"/>
      </rPr>
      <t/>
    </r>
  </si>
  <si>
    <r>
      <t>-2-17</t>
    </r>
    <r>
      <rPr>
        <sz val="11"/>
        <color theme="1"/>
        <rFont val="宋体"/>
        <family val="2"/>
        <charset val="134"/>
        <scheme val="minor"/>
      </rPr>
      <t/>
    </r>
  </si>
  <si>
    <r>
      <t>-2-18</t>
    </r>
    <r>
      <rPr>
        <sz val="11"/>
        <color theme="1"/>
        <rFont val="宋体"/>
        <family val="2"/>
        <charset val="134"/>
        <scheme val="minor"/>
      </rPr>
      <t/>
    </r>
  </si>
  <si>
    <r>
      <t>-2-19</t>
    </r>
    <r>
      <rPr>
        <sz val="11"/>
        <color theme="1"/>
        <rFont val="宋体"/>
        <family val="2"/>
        <charset val="134"/>
        <scheme val="minor"/>
      </rPr>
      <t/>
    </r>
  </si>
  <si>
    <t>是</t>
  </si>
  <si>
    <t>地上</t>
  </si>
  <si>
    <t>地下</t>
  </si>
  <si>
    <t>车库—商业</t>
  </si>
  <si>
    <t>成新度</t>
  </si>
  <si>
    <t>地上商业</t>
    <phoneticPr fontId="4" type="noConversion"/>
  </si>
  <si>
    <t>地下商业</t>
    <phoneticPr fontId="4" type="noConversion"/>
  </si>
  <si>
    <t>其他</t>
    <phoneticPr fontId="4" type="noConversion"/>
  </si>
  <si>
    <t>面积</t>
    <phoneticPr fontId="4" type="noConversion"/>
  </si>
  <si>
    <t>建安单价</t>
    <phoneticPr fontId="4" type="noConversion"/>
  </si>
  <si>
    <t>收益法</t>
  </si>
  <si>
    <t>利息：取LPR加浮动点数</t>
  </si>
  <si>
    <t>押一</t>
  </si>
  <si>
    <t>按租金收入计税</t>
  </si>
  <si>
    <t>钢混</t>
  </si>
  <si>
    <t>非生产用房</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</si>
  <si>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</si>
  <si>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</si>
  <si>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rPr>
        <sz val="10"/>
        <color indexed="8"/>
        <rFont val="宋体"/>
        <family val="3"/>
        <charset val="134"/>
      </rPr>
      <t>负</t>
    </r>
    <r>
      <rPr>
        <sz val="10"/>
        <color indexed="8"/>
        <rFont val="Arial"/>
        <family val="2"/>
      </rPr>
      <t>1</t>
    </r>
    <r>
      <rPr>
        <sz val="10"/>
        <color indexed="8"/>
        <rFont val="宋体"/>
        <family val="3"/>
        <charset val="134"/>
      </rPr>
      <t>层</t>
    </r>
    <phoneticPr fontId="4" type="noConversion"/>
  </si>
  <si>
    <t>面积</t>
    <phoneticPr fontId="4" type="noConversion"/>
  </si>
  <si>
    <t>租金</t>
    <phoneticPr fontId="4" type="noConversion"/>
  </si>
  <si>
    <t>系数</t>
    <phoneticPr fontId="4" type="noConversion"/>
  </si>
  <si>
    <t>成本法</t>
  </si>
  <si>
    <t>华辰公寓抵押物清单</t>
  </si>
  <si>
    <t>楼层</t>
  </si>
  <si>
    <t>部位及房号</t>
  </si>
  <si>
    <t>建筑面积（平方米）</t>
  </si>
  <si>
    <t>土地使用面积（平方米）</t>
  </si>
  <si>
    <t>规划用途</t>
  </si>
  <si>
    <t>4号楼</t>
  </si>
  <si>
    <t>-1层</t>
  </si>
  <si>
    <t>-1-10</t>
  </si>
  <si>
    <t>1层</t>
  </si>
  <si>
    <t>1-1</t>
  </si>
  <si>
    <t>1-2</t>
  </si>
  <si>
    <t>2层</t>
  </si>
  <si>
    <t>2-1</t>
  </si>
  <si>
    <t>2-2</t>
  </si>
  <si>
    <t>-2层</t>
  </si>
  <si>
    <t>车位</t>
  </si>
  <si>
    <t>-3层</t>
  </si>
  <si>
    <t>-4层</t>
  </si>
  <si>
    <t>注：-1至2层商业建筑面积13463.41平方米,-4至-2车位建筑面积10112.9平方米，共计车位164个</t>
    <phoneticPr fontId="141" type="noConversion"/>
  </si>
  <si>
    <t>地下车库</t>
    <phoneticPr fontId="4" type="noConversion"/>
  </si>
  <si>
    <t>面积或个数</t>
    <phoneticPr fontId="4" type="noConversion"/>
  </si>
  <si>
    <t>年租金</t>
    <phoneticPr fontId="4" type="noConversion"/>
  </si>
  <si>
    <t>商业</t>
    <phoneticPr fontId="4" type="noConversion"/>
  </si>
  <si>
    <t>单价</t>
    <phoneticPr fontId="4" type="noConversion"/>
  </si>
  <si>
    <r>
      <rPr>
        <sz val="10"/>
        <color indexed="8"/>
        <rFont val="宋体"/>
        <family val="3"/>
        <charset val="134"/>
      </rPr>
      <t>一层</t>
    </r>
    <r>
      <rPr>
        <sz val="10"/>
        <color indexed="8"/>
        <rFont val="Arial"/>
        <family val="2"/>
      </rPr>
      <t>8-10</t>
    </r>
    <phoneticPr fontId="4" type="noConversion"/>
  </si>
  <si>
    <r>
      <rPr>
        <sz val="10"/>
        <color indexed="8"/>
        <rFont val="宋体"/>
        <family val="3"/>
        <charset val="134"/>
      </rPr>
      <t>二层</t>
    </r>
    <r>
      <rPr>
        <sz val="10"/>
        <color indexed="8"/>
        <rFont val="Arial"/>
        <family val="2"/>
      </rPr>
      <t>5-6</t>
    </r>
    <phoneticPr fontId="4" type="noConversion"/>
  </si>
  <si>
    <t>吴薇</t>
  </si>
  <si>
    <t>崔锴</t>
  </si>
  <si>
    <t>1层</t>
    <phoneticPr fontId="141" type="noConversion"/>
  </si>
  <si>
    <t>2层</t>
    <phoneticPr fontId="141" type="noConversion"/>
  </si>
  <si>
    <t>负1层</t>
    <phoneticPr fontId="141" type="noConversion"/>
  </si>
  <si>
    <t>负2层</t>
  </si>
  <si>
    <t>负3层</t>
  </si>
  <si>
    <t>负4层</t>
  </si>
  <si>
    <t>未包含在土地购买价格中</t>
  </si>
  <si>
    <t>全部缴纳</t>
  </si>
  <si>
    <t>已包含在土地取得成本中</t>
  </si>
  <si>
    <t>地下车库</t>
    <phoneticPr fontId="4" type="noConversion"/>
  </si>
  <si>
    <t>否</t>
  </si>
  <si>
    <t>总价</t>
  </si>
  <si>
    <t>商业</t>
    <phoneticPr fontId="8" type="noConversion"/>
  </si>
  <si>
    <t>成本比率</t>
  </si>
  <si>
    <t>单价</t>
    <phoneticPr fontId="141" type="noConversion"/>
  </si>
  <si>
    <t>总价</t>
    <phoneticPr fontId="141" type="noConversion"/>
  </si>
  <si>
    <t>基准地价</t>
    <phoneticPr fontId="141" type="noConversion"/>
  </si>
  <si>
    <t>总值</t>
    <phoneticPr fontId="141" type="noConversion"/>
  </si>
  <si>
    <t>单价</t>
    <phoneticPr fontId="141" type="noConversion"/>
  </si>
  <si>
    <t>土地</t>
    <phoneticPr fontId="141" type="noConversion"/>
  </si>
  <si>
    <t>建筑物</t>
    <phoneticPr fontId="141" type="noConversion"/>
  </si>
  <si>
    <t>车库合计</t>
    <phoneticPr fontId="141" type="noConversion"/>
  </si>
  <si>
    <t>商业合计</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</si>
</sst>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112" fillId="0" borderId="1" xfId="0" applyFont="1" applyBorder="1" applyAlignment="1">
      <alignment horizontal="right" vertical="center"/>
    </xf>
    <xf numFmtId="0" fontId="112" fillId="0" borderId="0" xfId="0" applyFont="1" applyAlignment="1">
      <alignment horizontal="right" vertical="center"/>
    </xf>
    <xf numFmtId="0" fontId="112" fillId="9" borderId="0" xfId="0" applyFont="1" applyFill="1" applyAlignment="1">
      <alignment horizontal="right" vertical="center"/>
    </xf>
    <xf numFmtId="0" fontId="112" fillId="21" borderId="0" xfId="0" applyFont="1" applyFill="1" applyAlignment="1">
      <alignment horizontal="right" vertical="center"/>
    </xf>
    <xf numFmtId="0" fontId="112" fillId="20" borderId="0" xfId="0" applyFont="1" applyFill="1" applyAlignment="1">
      <alignment horizontal="right" vertical="center"/>
    </xf>
    <xf numFmtId="49" fontId="112" fillId="0" borderId="0" xfId="0" applyNumberFormat="1" applyFont="1" applyAlignment="1">
      <alignment horizontal="right" vertical="center"/>
    </xf>
    <xf numFmtId="0" fontId="80" fillId="12" borderId="0" xfId="0" applyFont="1" applyFill="1" applyAlignment="1" applyProtection="1">
      <alignment horizontal="center" vertical="center"/>
      <protection locked="0"/>
    </xf>
    <xf numFmtId="0" fontId="80" fillId="12"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12" fillId="0" borderId="1" xfId="0" applyFont="1" applyBorder="1" applyAlignment="1">
      <alignment horizontal="center" vertical="center"/>
    </xf>
    <xf numFmtId="0" fontId="112" fillId="0" borderId="1" xfId="0" applyFont="1" applyFill="1" applyBorder="1" applyAlignment="1">
      <alignment horizontal="center" vertical="center"/>
    </xf>
    <xf numFmtId="49" fontId="112" fillId="0" borderId="1" xfId="0" applyNumberFormat="1" applyFont="1" applyBorder="1" applyAlignment="1">
      <alignment horizontal="center" vertical="center"/>
    </xf>
    <xf numFmtId="179" fontId="112" fillId="0" borderId="1" xfId="0" applyNumberFormat="1" applyFont="1" applyBorder="1" applyAlignment="1">
      <alignment horizontal="center" vertical="center"/>
    </xf>
    <xf numFmtId="49" fontId="112" fillId="0" borderId="2" xfId="0" applyNumberFormat="1" applyFont="1" applyBorder="1" applyAlignment="1">
      <alignment horizontal="center" vertical="center"/>
    </xf>
    <xf numFmtId="0" fontId="112" fillId="0" borderId="0" xfId="0" applyFont="1">
      <alignment vertical="center"/>
    </xf>
    <xf numFmtId="0" fontId="112" fillId="15" borderId="1" xfId="0" applyFont="1" applyFill="1" applyBorder="1" applyAlignment="1">
      <alignment horizontal="center" vertical="center"/>
    </xf>
    <xf numFmtId="0" fontId="112" fillId="15" borderId="1" xfId="0" applyFont="1" applyFill="1" applyBorder="1" applyAlignment="1">
      <alignment horizontal="right" vertical="center"/>
    </xf>
    <xf numFmtId="0" fontId="112" fillId="13" borderId="1" xfId="0" applyFont="1" applyFill="1" applyBorder="1" applyAlignment="1">
      <alignment horizontal="center" vertical="center"/>
    </xf>
    <xf numFmtId="0" fontId="112" fillId="13" borderId="1" xfId="0" applyFont="1" applyFill="1" applyBorder="1" applyAlignment="1">
      <alignment horizontal="right" vertical="center"/>
    </xf>
    <xf numFmtId="0" fontId="112" fillId="22" borderId="1" xfId="0" applyFont="1" applyFill="1" applyBorder="1" applyAlignment="1">
      <alignment horizontal="center" vertical="center"/>
    </xf>
    <xf numFmtId="0" fontId="112" fillId="22" borderId="1" xfId="0" applyFont="1" applyFill="1" applyBorder="1" applyAlignment="1">
      <alignment horizontal="right" vertical="center"/>
    </xf>
    <xf numFmtId="0" fontId="112" fillId="23" borderId="1" xfId="0" applyFont="1" applyFill="1" applyBorder="1" applyAlignment="1">
      <alignment horizontal="center" vertical="center"/>
    </xf>
    <xf numFmtId="0" fontId="112" fillId="23" borderId="1" xfId="0" applyFont="1" applyFill="1" applyBorder="1" applyAlignment="1">
      <alignment horizontal="right" vertical="center"/>
    </xf>
    <xf numFmtId="0" fontId="112" fillId="8" borderId="0" xfId="0" applyFont="1" applyFill="1" applyAlignment="1">
      <alignment horizontal="right" vertical="center"/>
    </xf>
    <xf numFmtId="49" fontId="112" fillId="0" borderId="0" xfId="0" applyNumberFormat="1" applyFont="1" applyFill="1" applyBorder="1" applyAlignment="1">
      <alignment vertical="center"/>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2" fontId="112" fillId="0" borderId="0" xfId="0" applyNumberFormat="1" applyFont="1" applyAlignment="1">
      <alignment horizontal="right" vertical="center"/>
    </xf>
    <xf numFmtId="177" fontId="50" fillId="18" borderId="1" xfId="1" applyNumberFormat="1" applyFont="1" applyFill="1" applyBorder="1" applyAlignment="1" applyProtection="1">
      <alignment horizontal="center" vertical="center"/>
      <protection locked="0"/>
    </xf>
    <xf numFmtId="10" fontId="50" fillId="18" borderId="61" xfId="0" applyNumberFormat="1" applyFont="1" applyFill="1" applyBorder="1" applyAlignment="1" applyProtection="1">
      <alignment horizontal="center" vertical="center"/>
    </xf>
    <xf numFmtId="0" fontId="47" fillId="18" borderId="23" xfId="0" applyFont="1" applyFill="1" applyBorder="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17"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2" fillId="0" borderId="60" xfId="0" applyFont="1" applyBorder="1" applyAlignment="1">
      <alignment horizontal="center" vertical="center"/>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12"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122;&#22885;&#35266;&#20856;&#21830;&#19994;&#22522;&#20934;&#22320;&#20215;-&#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28214</v>
          </cell>
        </row>
        <row r="42">
          <cell r="C42">
            <v>2990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 ca="1">'预评函-封皮'!B46</f>
        <v>吴薇（注册号：1419970001)、崔锴（注册号：0)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估价对象为北京市房地产，为所有。根据《国有土地使用证》[]，估价对象（分摊）出让国有建设用地使用权面积为2435.9平方米，建筑面积为23576.31平方米。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估价对象为北京市房地产,属开发建设的，该项目尚在开发建设中。根据《国有土地使用证》[]，估价对象（分摊）出让国有建设用地使用权面积为2435.9平方米，规划建筑面积为23576.31平方米。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2022年9月14日</v>
      </c>
    </row>
    <row r="13" spans="1:2" s="1317" customFormat="1">
      <c r="A13" s="1315" t="s">
        <v>954</v>
      </c>
      <c r="B13" s="1316" t="str">
        <f>'预评函-1'!A18</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50123</v>
      </c>
    </row>
    <row r="21" spans="1:2" s="1317" customFormat="1">
      <c r="A21" s="1315" t="s">
        <v>962</v>
      </c>
      <c r="B21" s="1316">
        <f ca="1">'预评函-2'!D7</f>
        <v>21260</v>
      </c>
    </row>
    <row r="22" spans="1:2" s="1317" customFormat="1">
      <c r="A22" s="1315" t="s">
        <v>963</v>
      </c>
      <c r="B22" s="1316" t="str">
        <f ca="1">'预评函-2'!D6</f>
        <v>伍亿零壹佰贰拾叁万元整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50123</v>
      </c>
    </row>
    <row r="31" spans="1:2" s="1317" customFormat="1">
      <c r="A31" s="1315" t="s">
        <v>1001</v>
      </c>
      <c r="B31" s="1316">
        <f ca="1">'预评函-2'!D15</f>
        <v>21260</v>
      </c>
    </row>
    <row r="32" spans="1:2" s="1317" customFormat="1">
      <c r="A32" s="1315" t="s">
        <v>968</v>
      </c>
      <c r="B32" s="1316" t="str">
        <f ca="1">'预评函-2'!D14</f>
        <v>伍亿零壹佰贰拾叁万元整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23576.31</v>
      </c>
    </row>
    <row r="44" spans="1:2" s="1317" customFormat="1">
      <c r="A44" s="1315" t="s">
        <v>1000</v>
      </c>
      <c r="B44" s="1316" t="str">
        <f>'预评函-3'!C2</f>
        <v>(分摊)土地面积</v>
      </c>
    </row>
    <row r="45" spans="1:2" s="1317" customFormat="1">
      <c r="A45" s="1315" t="s">
        <v>972</v>
      </c>
      <c r="B45" s="1316">
        <f>'预评函-3'!C4</f>
        <v>2435.9</v>
      </c>
    </row>
    <row r="46" spans="1:2" s="1317" customFormat="1">
      <c r="A46" s="1315" t="s">
        <v>998</v>
      </c>
      <c r="B46" s="1316" t="str">
        <f>'预评函-3'!D2</f>
        <v>出让国有建设用地使用权价值</v>
      </c>
    </row>
    <row r="47" spans="1:2" s="1317" customFormat="1">
      <c r="A47" s="1315" t="s">
        <v>973</v>
      </c>
      <c r="B47" s="1316">
        <f ca="1">'预评函-3'!D4</f>
        <v>37793</v>
      </c>
    </row>
    <row r="48" spans="1:2" s="1317" customFormat="1">
      <c r="A48" s="1315" t="s">
        <v>974</v>
      </c>
      <c r="B48" s="1316">
        <f ca="1">'预评函-3'!E4</f>
        <v>16030</v>
      </c>
    </row>
    <row r="49" spans="1:2" s="1317" customFormat="1">
      <c r="A49" s="1315" t="s">
        <v>975</v>
      </c>
      <c r="B49" s="1316" t="str">
        <f ca="1">'预评函-3'!D5</f>
        <v>叁亿柒仟柒佰玖拾叁万元整</v>
      </c>
    </row>
    <row r="50" spans="1:2" s="1317" customFormat="1">
      <c r="A50" s="1315" t="s">
        <v>999</v>
      </c>
      <c r="B50" s="1316" t="str">
        <f>'预评函-3'!F2</f>
        <v>在建建筑物价值</v>
      </c>
    </row>
    <row r="51" spans="1:2" s="1317" customFormat="1">
      <c r="A51" s="1315" t="s">
        <v>976</v>
      </c>
      <c r="B51" s="1316">
        <f ca="1">'预评函-3'!F4</f>
        <v>12330</v>
      </c>
    </row>
    <row r="52" spans="1:2" s="1317" customFormat="1">
      <c r="A52" s="1315" t="s">
        <v>977</v>
      </c>
      <c r="B52" s="1316">
        <f ca="1">'预评函-3'!G4</f>
        <v>5230</v>
      </c>
    </row>
    <row r="53" spans="1:2" s="1317" customFormat="1">
      <c r="A53" s="1315" t="s">
        <v>1005</v>
      </c>
      <c r="B53" s="1316" t="str">
        <f ca="1">'预评函-3'!F5</f>
        <v>壹亿贰仟叁佰叁拾万元整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崔锴</v>
      </c>
    </row>
    <row r="73" spans="1:2" s="1311" customFormat="1" ht="15" thickBot="1">
      <c r="A73" s="1318" t="s">
        <v>990</v>
      </c>
      <c r="B73" s="1319">
        <f ca="1">'预评函-4'!B5</f>
        <v>0</v>
      </c>
    </row>
    <row r="74" spans="1:2" ht="15" thickTop="1">
      <c r="A74" s="1308" t="s">
        <v>1026</v>
      </c>
      <c r="B74" s="132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13"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689" t="s">
        <v>651</v>
      </c>
      <c r="C54" s="1686" t="s">
        <v>1008</v>
      </c>
    </row>
    <row r="55" spans="1:4">
      <c r="A55" s="3313"/>
      <c r="B55" s="1689" t="s">
        <v>652</v>
      </c>
      <c r="C55" s="1686" t="s">
        <v>1009</v>
      </c>
    </row>
    <row r="56" spans="1:4">
      <c r="A56" s="3313"/>
      <c r="B56" s="1689" t="s">
        <v>653</v>
      </c>
      <c r="C56" s="1686" t="s">
        <v>1013</v>
      </c>
    </row>
    <row r="57" spans="1:4">
      <c r="A57" s="3313"/>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11" sqref="N1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32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2671</v>
      </c>
      <c r="B3" s="2546"/>
      <c r="C3" s="2547" t="s">
        <v>2672</v>
      </c>
      <c r="D3" s="2546">
        <v>44818</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t="s">
        <v>3290</v>
      </c>
      <c r="C4" s="2549">
        <f ca="1">SUMIF(注册房地产估价师,B4,估价师及机构信息!B3:B24)</f>
        <v>1419970001</v>
      </c>
      <c r="D4" s="2548" t="s">
        <v>3291</v>
      </c>
      <c r="E4" s="2550">
        <f ca="1">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 ca="1">CONCATENATE(B4,"（注册号：",C4,")、",D4,"（注册号：",E4,")")</f>
        <v>吴薇（注册号：1419970001)、崔锴（注册号：0)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325" t="s">
        <v>2678</v>
      </c>
      <c r="E8" s="2564"/>
      <c r="F8" s="2565"/>
      <c r="G8" s="2839"/>
      <c r="H8" s="2839"/>
      <c r="I8" s="2839"/>
      <c r="J8" s="2614"/>
      <c r="K8" s="2789"/>
      <c r="L8" s="2788"/>
      <c r="M8" s="2788"/>
      <c r="N8" s="2614"/>
      <c r="O8" s="2625"/>
      <c r="P8" s="2614"/>
      <c r="Q8" s="2614"/>
      <c r="R8" s="2614"/>
    </row>
    <row r="9" spans="1:28" ht="13.5" thickBot="1">
      <c r="A9" s="2566" t="s">
        <v>2679</v>
      </c>
      <c r="B9" s="2567" t="s">
        <v>3176</v>
      </c>
      <c r="C9" s="2568"/>
      <c r="D9" s="3326"/>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6"/>
      <c r="E13" s="946">
        <v>51237</v>
      </c>
      <c r="F13" s="946">
        <v>54889</v>
      </c>
      <c r="G13" s="946">
        <v>54889</v>
      </c>
      <c r="H13" s="946"/>
      <c r="I13" s="946"/>
      <c r="J13" s="2614"/>
      <c r="K13" s="2791"/>
      <c r="L13" s="2788"/>
      <c r="M13" s="2788"/>
      <c r="N13" s="2614"/>
      <c r="O13" s="2625"/>
      <c r="P13" s="2614"/>
      <c r="Q13" s="2614"/>
      <c r="R13" s="2614"/>
    </row>
    <row r="14" spans="1:28">
      <c r="A14" s="1193"/>
      <c r="B14" s="2580"/>
      <c r="C14" s="2581" t="s">
        <v>2692</v>
      </c>
      <c r="D14" s="2582"/>
      <c r="E14" s="2582">
        <v>40</v>
      </c>
      <c r="F14" s="2582">
        <v>50</v>
      </c>
      <c r="G14" s="2582">
        <v>50</v>
      </c>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f>IF(B12="出让",IF(E13="","",ROUNDDOWN(MIN((E13-$D$3)/365,E14),2)),E14)</f>
        <v>17.579999999999998</v>
      </c>
      <c r="F15" s="2585">
        <f>IF(B12="出让",IF(F13="","",ROUNDDOWN(MIN((F13-$D$3)/365,F14),2)),F14)</f>
        <v>27.59</v>
      </c>
      <c r="G15" s="2585">
        <f>IF(B12="出让",IF(G13="","",ROUNDDOWN(MIN((G13-$D$3)/365,G14),2)),G14)</f>
        <v>27.59</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332"/>
      <c r="C16" s="3333"/>
      <c r="D16" s="3334"/>
      <c r="E16" s="2588" t="s">
        <v>2695</v>
      </c>
      <c r="F16" s="3335"/>
      <c r="G16" s="3336"/>
      <c r="H16" s="3336"/>
      <c r="I16" s="3337"/>
      <c r="J16" s="2614"/>
      <c r="K16" s="2793"/>
      <c r="L16" s="2626"/>
      <c r="M16" s="2626"/>
      <c r="N16" s="2684"/>
      <c r="O16" s="2626"/>
      <c r="P16" s="2684"/>
      <c r="Q16" s="2614"/>
      <c r="R16" s="2614"/>
    </row>
    <row r="17" spans="1:28">
      <c r="A17" s="319" t="s">
        <v>2696</v>
      </c>
      <c r="B17" s="308" t="s">
        <v>2697</v>
      </c>
      <c r="C17" s="11">
        <f>'数据-汇总表'!E3</f>
        <v>23576.31</v>
      </c>
      <c r="D17" s="2495" t="s">
        <v>2698</v>
      </c>
      <c r="E17" s="3338" t="s">
        <v>2699</v>
      </c>
      <c r="F17" s="3339"/>
      <c r="G17" s="3339"/>
      <c r="H17" s="3339"/>
      <c r="I17" s="3340"/>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2435.9</v>
      </c>
      <c r="D18" s="1204" t="s">
        <v>2702</v>
      </c>
      <c r="E18" s="3341" t="s">
        <v>2703</v>
      </c>
      <c r="F18" s="3342"/>
      <c r="G18" s="3342"/>
      <c r="H18" s="3342"/>
      <c r="I18" s="3343"/>
      <c r="J18" s="2614"/>
      <c r="K18" s="2794"/>
      <c r="L18" s="2626"/>
      <c r="M18" s="2626"/>
      <c r="N18" s="2684"/>
      <c r="O18" s="2626"/>
      <c r="P18" s="2684"/>
      <c r="Q18" s="2614"/>
      <c r="R18" s="2614"/>
      <c r="S18" s="2614"/>
      <c r="T18" s="2614"/>
      <c r="U18" s="2614"/>
      <c r="V18" s="2614"/>
    </row>
    <row r="19" spans="1:28" ht="37.5" thickTop="1" thickBot="1">
      <c r="A19" s="333" t="s">
        <v>1500</v>
      </c>
      <c r="B19" s="313"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328" t="s">
        <v>2707</v>
      </c>
      <c r="C20" s="3329"/>
      <c r="D20" s="3330" t="s">
        <v>2708</v>
      </c>
      <c r="E20" s="3331"/>
      <c r="F20" s="2823" t="s">
        <v>1501</v>
      </c>
      <c r="G20" s="2840"/>
      <c r="H20" s="2840"/>
      <c r="I20" s="2840"/>
      <c r="J20" s="2614"/>
      <c r="K20" s="332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3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3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15"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15"/>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15"/>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16"/>
      <c r="B30" s="308" t="s">
        <v>2719</v>
      </c>
      <c r="C30" s="3317"/>
      <c r="D30" s="3318"/>
      <c r="E30" s="2840"/>
      <c r="F30" s="2840"/>
      <c r="G30" s="2840"/>
      <c r="H30" s="2840"/>
      <c r="I30" s="2840"/>
      <c r="J30" s="2614"/>
      <c r="K30" s="2791"/>
      <c r="L30" s="2788"/>
      <c r="M30" s="2788"/>
      <c r="N30" s="2614"/>
      <c r="O30" s="2625"/>
      <c r="P30" s="2614"/>
      <c r="Q30" s="2614"/>
      <c r="R30" s="2614"/>
      <c r="S30" s="2614"/>
      <c r="T30" s="2614"/>
      <c r="U30" s="2614"/>
      <c r="V30" s="2614"/>
    </row>
    <row r="31" spans="1:28">
      <c r="A31" s="3319"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4"/>
      <c r="C34" s="2164"/>
      <c r="D34" s="2164"/>
      <c r="E34" s="2164"/>
      <c r="F34" s="2164"/>
      <c r="G34" s="2164"/>
      <c r="H34" s="2164"/>
      <c r="I34" s="2840"/>
      <c r="J34" s="2614"/>
      <c r="K34" s="2602">
        <f>COUNTIF(B34:H34,"——")</f>
        <v>0</v>
      </c>
      <c r="L34" s="329" t="s">
        <v>2722</v>
      </c>
      <c r="M34" s="329" t="s">
        <v>2723</v>
      </c>
      <c r="N34" s="329" t="s">
        <v>2724</v>
      </c>
      <c r="O34" s="329" t="s">
        <v>2725</v>
      </c>
      <c r="P34" s="329" t="s">
        <v>2726</v>
      </c>
      <c r="Q34" s="329" t="s">
        <v>2727</v>
      </c>
      <c r="R34" s="329" t="s">
        <v>2728</v>
      </c>
      <c r="S34" s="3314" t="s">
        <v>2729</v>
      </c>
      <c r="T34" s="2603" t="str">
        <f>NUMBERSTRING(7-K34,1)&amp;"通"</f>
        <v>七通</v>
      </c>
      <c r="U34" s="2614"/>
      <c r="V34" s="2614"/>
    </row>
    <row r="35" spans="1:30">
      <c r="A35" s="2604"/>
      <c r="B35" s="3321" t="s">
        <v>2730</v>
      </c>
      <c r="C35" s="3321"/>
      <c r="D35" s="3321"/>
      <c r="E35" s="3321"/>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4"/>
      <c r="T35" s="335" t="str">
        <f>IF(T34="一通",L35,IF(T34="二通",M35,IF(T34="三通",N35,IF(T34="四通",O35,IF(T34="五通",P35,IF(T34="六通",Q35,R35))))))</f>
        <v>、、、、、、</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5"/>
      <c r="B44" s="1705"/>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5"/>
      <c r="B45" s="1705"/>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5"/>
      <c r="B46" s="1705"/>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5"/>
      <c r="B47" s="1705"/>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5"/>
      <c r="B48" s="1705"/>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5"/>
      <c r="B49" s="1705"/>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5"/>
      <c r="B50" s="1705"/>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5"/>
      <c r="B51" s="1705"/>
      <c r="C51" s="1163"/>
      <c r="D51" s="1163"/>
      <c r="E51" s="1163"/>
      <c r="F51" s="1163"/>
      <c r="G51" s="1163"/>
      <c r="H51" s="1163"/>
      <c r="I51" s="1163"/>
      <c r="J51" s="2612"/>
      <c r="K51" s="2613"/>
      <c r="L51" s="2613"/>
      <c r="M51" s="1163"/>
      <c r="N51" s="1163"/>
      <c r="O51" s="1163"/>
      <c r="P51" s="1163"/>
      <c r="Q51" s="1163"/>
      <c r="R51" s="1163"/>
    </row>
    <row r="52" spans="1:22" s="1879" customFormat="1">
      <c r="A52" s="1705"/>
      <c r="B52" s="1705"/>
      <c r="C52" s="1705"/>
      <c r="D52" s="1705"/>
      <c r="E52" s="1705"/>
      <c r="F52" s="1163"/>
      <c r="G52" s="1705"/>
      <c r="H52" s="1705"/>
      <c r="I52" s="1705"/>
      <c r="J52" s="2615"/>
      <c r="K52" s="2613"/>
      <c r="L52" s="2613"/>
      <c r="M52" s="2613"/>
      <c r="N52" s="1705"/>
      <c r="O52" s="1705"/>
      <c r="P52" s="1705"/>
      <c r="Q52" s="1705"/>
      <c r="R52" s="1705"/>
    </row>
    <row r="53" spans="1:22" s="1879" customFormat="1">
      <c r="A53" s="1705"/>
      <c r="B53" s="1705"/>
      <c r="C53" s="1705"/>
      <c r="D53" s="1705"/>
      <c r="E53" s="1705"/>
      <c r="F53" s="1163"/>
      <c r="G53" s="1705"/>
      <c r="H53" s="1705"/>
      <c r="I53" s="1705"/>
      <c r="J53" s="2615"/>
      <c r="K53" s="2613"/>
      <c r="L53" s="2613"/>
      <c r="M53" s="2613"/>
      <c r="N53" s="1705"/>
      <c r="O53" s="1705"/>
      <c r="P53" s="1705"/>
      <c r="Q53" s="1705"/>
      <c r="R53" s="1705"/>
    </row>
    <row r="54" spans="1:22" s="1879" customFormat="1">
      <c r="A54" s="1705"/>
      <c r="B54" s="1705"/>
      <c r="C54" s="1705"/>
      <c r="D54" s="1705"/>
      <c r="E54" s="1705"/>
      <c r="F54" s="1163"/>
      <c r="G54" s="1705"/>
      <c r="H54" s="1705"/>
      <c r="I54" s="1705"/>
      <c r="J54" s="2615"/>
      <c r="K54" s="2613"/>
      <c r="L54" s="2613"/>
      <c r="M54" s="2613"/>
      <c r="N54" s="1705"/>
      <c r="O54" s="1705"/>
      <c r="P54" s="1705"/>
      <c r="Q54" s="1705"/>
      <c r="R54" s="1705"/>
    </row>
    <row r="55" spans="1:22" s="1879" customFormat="1">
      <c r="A55" s="1705"/>
      <c r="B55" s="1705"/>
      <c r="C55" s="1705"/>
      <c r="D55" s="1705"/>
      <c r="E55" s="1705"/>
      <c r="F55" s="1163"/>
      <c r="G55" s="1705"/>
      <c r="H55" s="1705"/>
      <c r="I55" s="1705"/>
      <c r="J55" s="2615"/>
      <c r="K55" s="2613"/>
      <c r="L55" s="2613"/>
      <c r="M55" s="2613"/>
      <c r="N55" s="1705"/>
      <c r="O55" s="1705"/>
      <c r="P55" s="1705"/>
      <c r="Q55" s="1705"/>
      <c r="R55" s="1705"/>
    </row>
    <row r="56" spans="1:22" s="1879" customFormat="1">
      <c r="A56" s="1705"/>
      <c r="B56" s="1705"/>
      <c r="C56" s="1705"/>
      <c r="D56" s="1705"/>
      <c r="E56" s="1705"/>
      <c r="F56" s="1163"/>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f>Sheet1!P13</f>
        <v>2435.8994114548145</v>
      </c>
      <c r="B3" s="14">
        <f>IF(C3="否",G5-AT5,G5)</f>
        <v>23576.31</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23576.31</v>
      </c>
      <c r="H5" s="16">
        <f t="shared" ref="H5:AT5" si="0">SUM(H13:H656)</f>
        <v>23576.31</v>
      </c>
      <c r="I5" s="16">
        <f t="shared" si="0"/>
        <v>9808.48</v>
      </c>
      <c r="J5" s="16">
        <f t="shared" si="0"/>
        <v>0</v>
      </c>
      <c r="K5" s="16">
        <f t="shared" si="0"/>
        <v>3654.93</v>
      </c>
      <c r="L5" s="16">
        <f t="shared" si="0"/>
        <v>0</v>
      </c>
      <c r="M5" s="16">
        <f t="shared" si="0"/>
        <v>10112.900000000001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23576.31</v>
      </c>
      <c r="BA5" s="18">
        <f t="shared" si="1"/>
        <v>23576.31</v>
      </c>
      <c r="BB5" s="18">
        <f t="shared" si="1"/>
        <v>9808.48</v>
      </c>
      <c r="BC5" s="18">
        <f t="shared" si="1"/>
        <v>3654.93</v>
      </c>
      <c r="BD5" s="18">
        <f t="shared" si="1"/>
        <v>10112.900000000001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2435.8999999999996</v>
      </c>
      <c r="F6" s="16" t="s">
        <v>1</v>
      </c>
      <c r="G6" s="16" t="s">
        <v>2</v>
      </c>
      <c r="H6" s="20">
        <f>SUMIF(I$12:AB$12,"总值",I6:AB6)</f>
        <v>2435.8999999999996</v>
      </c>
      <c r="I6" s="16">
        <f t="shared" ref="I6:AB6" si="2">ROUND($A$3*I5/$B$3,2)</f>
        <v>1013.41</v>
      </c>
      <c r="J6" s="16">
        <f t="shared" si="2"/>
        <v>0</v>
      </c>
      <c r="K6" s="16">
        <f t="shared" si="2"/>
        <v>377.63</v>
      </c>
      <c r="L6" s="16">
        <f t="shared" si="2"/>
        <v>0</v>
      </c>
      <c r="M6" s="16">
        <f t="shared" si="2"/>
        <v>1044.8599999999999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2435.9</v>
      </c>
      <c r="AZ6" s="16" t="s">
        <v>3</v>
      </c>
      <c r="BA6" s="16">
        <f>ROUND($AY$6*BA5/$AZ$5,2)</f>
        <v>2435.9</v>
      </c>
      <c r="BB6" s="16">
        <f>ROUND($AY$6*BB5/$AZ$5,2)</f>
        <v>1013.41</v>
      </c>
      <c r="BC6" s="16">
        <f t="shared" ref="BC6:BH6" si="4">ROUND($AY$6*BC5/$AZ$5,2)</f>
        <v>377.63</v>
      </c>
      <c r="BD6" s="16">
        <f t="shared" si="4"/>
        <v>1044.8599999999999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3241</v>
      </c>
      <c r="J9" s="899"/>
      <c r="K9" s="1738" t="s">
        <v>3242</v>
      </c>
      <c r="L9" s="899"/>
      <c r="M9" s="1738" t="s">
        <v>3242</v>
      </c>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1102</v>
      </c>
      <c r="J10" s="899"/>
      <c r="K10" s="1744" t="s">
        <v>1102</v>
      </c>
      <c r="L10" s="899"/>
      <c r="M10" s="1744" t="s">
        <v>3243</v>
      </c>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商业</v>
      </c>
      <c r="BC11" s="1734" t="str">
        <f>K10</f>
        <v>商业</v>
      </c>
      <c r="BD11" s="1734" t="str">
        <f>M10</f>
        <v>车库—商业</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3240</v>
      </c>
      <c r="E13" s="16">
        <f>IF($C$3="是",ROUND($A$3*G13/$B$3,2),ROUND($A$3*(G13-AT13)/$B$3,2))</f>
        <v>2435.9</v>
      </c>
      <c r="F13" s="32"/>
      <c r="G13" s="33">
        <f>H13+AC13+AT13</f>
        <v>23576.31</v>
      </c>
      <c r="H13" s="20">
        <f>SUMIF(I$12:AB$12,"总值",I13:AB13)</f>
        <v>23576.31</v>
      </c>
      <c r="I13" s="1761">
        <f>Sheet1!D4+Sheet1!D5</f>
        <v>9808.48</v>
      </c>
      <c r="J13" s="1761"/>
      <c r="K13" s="1761">
        <f>Sheet1!D7</f>
        <v>3654.93</v>
      </c>
      <c r="L13" s="1761"/>
      <c r="M13" s="1761">
        <f>Sheet1!O10+Sheet1!O11+Sheet1!O12</f>
        <v>10112.900000000001</v>
      </c>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2435.9</v>
      </c>
      <c r="AZ13" s="16">
        <f>BA13+BL13</f>
        <v>23576.31</v>
      </c>
      <c r="BA13" s="16">
        <f>SUM(BB13:BK13)</f>
        <v>23576.31</v>
      </c>
      <c r="BB13" s="16">
        <f>IF($D13="是",I13-J13,0)</f>
        <v>9808.48</v>
      </c>
      <c r="BC13" s="16">
        <f>IF($D13="是",K13-L13,0)</f>
        <v>3654.93</v>
      </c>
      <c r="BD13" s="16">
        <f>IF($D13="是",M13-N13,0)</f>
        <v>10112.900000000001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28.5">
      <c r="A3" s="3344"/>
      <c r="B3" s="3344"/>
      <c r="C3" s="3344"/>
      <c r="D3" s="3345"/>
      <c r="E3" s="33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55" t="s">
        <v>1576</v>
      </c>
      <c r="B2" s="3355"/>
      <c r="C2" s="3355"/>
      <c r="D2" s="885" t="s">
        <v>1552</v>
      </c>
      <c r="E2" s="1774" t="s">
        <v>1553</v>
      </c>
      <c r="F2" s="2835"/>
      <c r="G2" s="2826"/>
      <c r="H2" s="2827"/>
      <c r="I2" s="2498" t="s">
        <v>1577</v>
      </c>
      <c r="J2" s="2835"/>
      <c r="K2" s="2835"/>
      <c r="L2" s="2835"/>
      <c r="M2" s="2835"/>
      <c r="N2" s="2837"/>
      <c r="O2" s="2835"/>
      <c r="P2" s="2835"/>
    </row>
    <row r="3" spans="1:16" ht="15.75" thickBot="1">
      <c r="A3" s="3356" t="s">
        <v>1550</v>
      </c>
      <c r="B3" s="3356"/>
      <c r="C3" s="3356"/>
      <c r="D3" s="46">
        <f>'数据-基础表'!AY6</f>
        <v>2435.9</v>
      </c>
      <c r="E3" s="46">
        <f>'数据-基础表'!AZ5</f>
        <v>23576.31</v>
      </c>
      <c r="F3" s="2835"/>
      <c r="G3" s="1259"/>
      <c r="H3" s="1138" t="s">
        <v>1551</v>
      </c>
      <c r="I3" s="945">
        <f>ROUND('数据-基础表'!B3/'数据-基础表'!A3,2)</f>
        <v>9.68</v>
      </c>
      <c r="J3" s="2835"/>
      <c r="K3" s="2835"/>
      <c r="L3" s="2835"/>
      <c r="M3" s="2835"/>
      <c r="N3" s="2837"/>
      <c r="O3" s="2835"/>
      <c r="P3" s="2835"/>
    </row>
    <row r="4" spans="1:16" ht="15">
      <c r="A4" s="3357"/>
      <c r="B4" s="3358"/>
      <c r="C4" s="3359"/>
      <c r="D4" s="1776" t="s">
        <v>1552</v>
      </c>
      <c r="E4" s="1777" t="s">
        <v>1553</v>
      </c>
      <c r="F4" s="2835"/>
      <c r="G4" s="2828" t="s">
        <v>1578</v>
      </c>
      <c r="H4" s="1138" t="s">
        <v>1558</v>
      </c>
      <c r="I4" s="945">
        <f>ROUND(SUMIF('数据-基础表'!I9:AS9,"地上",'数据-基础表'!I5:AS5)/'数据-基础表'!A3,2)</f>
        <v>4.03</v>
      </c>
      <c r="J4" s="2835"/>
      <c r="K4" s="2835"/>
      <c r="L4" s="2835"/>
      <c r="M4" s="2835"/>
      <c r="N4" s="2837"/>
      <c r="O4" s="2835"/>
      <c r="P4" s="2835"/>
    </row>
    <row r="5" spans="1:16">
      <c r="A5" s="47" t="s">
        <v>1554</v>
      </c>
      <c r="B5" s="3360" t="s">
        <v>1555</v>
      </c>
      <c r="C5" s="3360"/>
      <c r="D5" s="48">
        <f>ROUND($D$3*E5/$E$3,2)</f>
        <v>0</v>
      </c>
      <c r="E5" s="49">
        <f>SUMIF('数据-基础表'!$11:$11,"住宅",'数据-基础表'!$5:$5)</f>
        <v>0</v>
      </c>
      <c r="F5" s="2835"/>
      <c r="G5" s="1259"/>
      <c r="H5" s="1138" t="s">
        <v>1551</v>
      </c>
      <c r="I5" s="945">
        <f>ROUND(E31/D31,2)</f>
        <v>9.68</v>
      </c>
      <c r="J5" s="2835"/>
      <c r="K5" s="2835"/>
      <c r="L5" s="2835"/>
      <c r="M5" s="2835"/>
      <c r="N5" s="2835"/>
      <c r="O5" s="2835"/>
      <c r="P5" s="2835"/>
    </row>
    <row r="6" spans="1:16" ht="15" thickBot="1">
      <c r="A6" s="1779"/>
      <c r="B6" s="3360" t="s">
        <v>1556</v>
      </c>
      <c r="C6" s="3360"/>
      <c r="D6" s="48">
        <f>ROUND($D$3*E6/$E$3,2)</f>
        <v>2435.9</v>
      </c>
      <c r="E6" s="49">
        <f>E3-E5</f>
        <v>23576.31</v>
      </c>
      <c r="F6" s="2835"/>
      <c r="G6" s="2829" t="s">
        <v>1557</v>
      </c>
      <c r="H6" s="1260" t="s">
        <v>1558</v>
      </c>
      <c r="I6" s="2830">
        <f>ROUND(F31/D31,2)</f>
        <v>4.03</v>
      </c>
      <c r="J6" s="2835"/>
      <c r="K6" s="2835"/>
      <c r="L6" s="2835"/>
      <c r="M6" s="2835"/>
      <c r="N6" s="2835"/>
      <c r="O6" s="2835"/>
      <c r="P6" s="2835"/>
    </row>
    <row r="7" spans="1:16" ht="15.75" thickBot="1">
      <c r="A7" s="3352"/>
      <c r="B7" s="3353"/>
      <c r="C7" s="3354"/>
      <c r="D7" s="1776" t="s">
        <v>1552</v>
      </c>
      <c r="E7" s="1780" t="s">
        <v>1559</v>
      </c>
      <c r="F7" s="2835"/>
      <c r="G7" s="2831" t="s">
        <v>1560</v>
      </c>
      <c r="H7" s="2832"/>
      <c r="I7" s="2833">
        <v>6.65</v>
      </c>
      <c r="J7" s="2835"/>
      <c r="K7" s="2835"/>
      <c r="L7" s="2835"/>
      <c r="M7" s="2835"/>
      <c r="N7" s="2835"/>
      <c r="O7" s="2835"/>
      <c r="P7" s="2835"/>
    </row>
    <row r="8" spans="1:16">
      <c r="A8" s="47" t="s">
        <v>1561</v>
      </c>
      <c r="B8" s="50" t="s">
        <v>1562</v>
      </c>
      <c r="C8" s="48" t="s">
        <v>1563</v>
      </c>
      <c r="D8" s="48">
        <f t="shared" ref="D8:D15" si="0">ROUND($D$3*E8/$E$3,2)</f>
        <v>1013.41</v>
      </c>
      <c r="E8" s="51">
        <f>SUMIF('数据-基础表'!BB10:BK10,"地上",'数据-基础表'!BB5:BK5)</f>
        <v>9808.48</v>
      </c>
      <c r="F8" s="2835"/>
      <c r="G8" s="2836"/>
      <c r="H8" s="2836"/>
      <c r="I8" s="2835"/>
      <c r="J8" s="2835"/>
      <c r="K8" s="2835"/>
      <c r="L8" s="2835"/>
      <c r="M8" s="2835"/>
      <c r="N8" s="2835"/>
      <c r="O8" s="2835"/>
      <c r="P8" s="2835"/>
    </row>
    <row r="9" spans="1:16">
      <c r="A9" s="1781"/>
      <c r="B9" s="1782"/>
      <c r="C9" s="48" t="s">
        <v>1564</v>
      </c>
      <c r="D9" s="48">
        <f t="shared" si="0"/>
        <v>0</v>
      </c>
      <c r="E9" s="52">
        <v>0</v>
      </c>
      <c r="F9" s="2835"/>
      <c r="G9" s="2836"/>
      <c r="H9" s="2836"/>
      <c r="I9" s="2835"/>
      <c r="J9" s="2835"/>
      <c r="K9" s="2835"/>
      <c r="L9" s="2835"/>
      <c r="M9" s="2835"/>
      <c r="N9" s="2835"/>
      <c r="O9" s="2835"/>
      <c r="P9" s="2835"/>
    </row>
    <row r="10" spans="1:16">
      <c r="A10" s="1781"/>
      <c r="B10" s="1782"/>
      <c r="C10" s="48" t="s">
        <v>1573</v>
      </c>
      <c r="D10" s="48">
        <f t="shared" si="0"/>
        <v>377.63</v>
      </c>
      <c r="E10" s="51">
        <f>SUMPRODUCT(('数据-基础表'!BB10:BK10="地下")*('数据-基础表'!BB11:BK11="商业")*('数据-基础表'!BB5:BK5))</f>
        <v>3654.93</v>
      </c>
      <c r="F10" s="2835"/>
      <c r="G10" s="2836"/>
      <c r="H10" s="2836"/>
      <c r="I10" s="2835"/>
      <c r="J10" s="2835"/>
      <c r="K10" s="2835"/>
      <c r="L10" s="2835"/>
      <c r="M10" s="2835"/>
      <c r="N10" s="2835"/>
      <c r="O10" s="2835"/>
      <c r="P10" s="2835"/>
    </row>
    <row r="11" spans="1:16">
      <c r="A11" s="1781"/>
      <c r="B11" s="1782"/>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1579</v>
      </c>
      <c r="D14" s="48">
        <f t="shared" si="0"/>
        <v>1044.8599999999999</v>
      </c>
      <c r="E14" s="51">
        <f>SUMPRODUCT(('数据-基础表'!BB10:BK10="地下")*('数据-基础表'!BB11:BK11="车库—商业")*('数据-基础表'!BB5:BK5))</f>
        <v>10112.900000000001</v>
      </c>
      <c r="F14" s="2835"/>
      <c r="G14" s="2836"/>
      <c r="H14" s="2836"/>
      <c r="I14" s="2835"/>
      <c r="J14" s="2835"/>
      <c r="K14" s="2835"/>
      <c r="L14" s="2835"/>
      <c r="M14" s="2835"/>
      <c r="N14" s="2835"/>
      <c r="O14" s="2835"/>
      <c r="P14" s="2835"/>
    </row>
    <row r="15" spans="1:16" ht="15" thickBot="1">
      <c r="A15" s="1781"/>
      <c r="B15" s="1782"/>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1568</v>
      </c>
      <c r="D16" s="50">
        <f>SUM(D8:D15)</f>
        <v>2435.8999999999996</v>
      </c>
      <c r="E16" s="53">
        <f>SUM(E8:E15)</f>
        <v>23576.31</v>
      </c>
      <c r="F16" s="2835"/>
      <c r="G16" s="2836"/>
      <c r="H16" s="1783" t="s">
        <v>1580</v>
      </c>
      <c r="I16" s="1784"/>
      <c r="J16" s="1253"/>
      <c r="K16" s="3349" t="s">
        <v>1580</v>
      </c>
      <c r="L16" s="3350"/>
      <c r="M16" s="3350"/>
      <c r="N16" s="3350"/>
      <c r="O16" s="3350"/>
      <c r="P16" s="3351"/>
    </row>
    <row r="17" spans="1:19" ht="15">
      <c r="A17" s="1785" t="s">
        <v>1581</v>
      </c>
      <c r="B17" s="1786" t="s">
        <v>1582</v>
      </c>
      <c r="C17" s="1787" t="s">
        <v>1583</v>
      </c>
      <c r="D17" s="1788" t="s">
        <v>1571</v>
      </c>
      <c r="E17" s="1789" t="s">
        <v>1572</v>
      </c>
      <c r="F17" s="1790"/>
      <c r="G17" s="1791"/>
      <c r="H17" s="1792" t="s">
        <v>1584</v>
      </c>
      <c r="I17" s="1793" t="s">
        <v>1569</v>
      </c>
      <c r="J17" s="1253"/>
      <c r="K17" s="3346" t="s">
        <v>1585</v>
      </c>
      <c r="L17" s="3347"/>
      <c r="M17" s="3348"/>
      <c r="N17" s="3346" t="s">
        <v>1586</v>
      </c>
      <c r="O17" s="3347"/>
      <c r="P17" s="3348"/>
      <c r="R17" s="1775" t="s">
        <v>1587</v>
      </c>
      <c r="S17" s="60"/>
    </row>
    <row r="18" spans="1:19" ht="15">
      <c r="A18" s="1781"/>
      <c r="B18" s="1794"/>
      <c r="C18" s="1795"/>
      <c r="D18" s="1796"/>
      <c r="E18" s="1797" t="s">
        <v>1588</v>
      </c>
      <c r="F18" s="1798" t="s">
        <v>1589</v>
      </c>
      <c r="G18" s="1799" t="s">
        <v>1590</v>
      </c>
      <c r="H18" s="1153" t="s">
        <v>1591</v>
      </c>
      <c r="I18" s="1800" t="s">
        <v>1592</v>
      </c>
      <c r="J18" s="1253"/>
      <c r="K18" s="1153" t="s">
        <v>1593</v>
      </c>
      <c r="L18" s="1801" t="s">
        <v>1594</v>
      </c>
      <c r="M18" s="945" t="s">
        <v>1595</v>
      </c>
      <c r="N18" s="1153" t="s">
        <v>1593</v>
      </c>
      <c r="O18" s="1801" t="s">
        <v>1594</v>
      </c>
      <c r="P18" s="945" t="s">
        <v>1595</v>
      </c>
      <c r="R18" s="1138" t="s">
        <v>1596</v>
      </c>
      <c r="S18" s="1138" t="s">
        <v>1597</v>
      </c>
    </row>
    <row r="19" spans="1:19">
      <c r="A19" s="1802"/>
      <c r="B19" s="50" t="s">
        <v>1570</v>
      </c>
      <c r="C19" s="3238" t="s">
        <v>3304</v>
      </c>
      <c r="D19" s="48">
        <f>ROUND($D$3*E19/$E$3,2)</f>
        <v>2435.9</v>
      </c>
      <c r="E19" s="56">
        <f t="shared" ref="E19:E26" si="1">SUM(F19:G19)</f>
        <v>23576.31</v>
      </c>
      <c r="F19" s="2975">
        <f>'数据-基础表'!I13</f>
        <v>9808.48</v>
      </c>
      <c r="G19" s="2976">
        <f>'数据-基础表'!K13+'数据-基础表'!M13</f>
        <v>13767.830000000002</v>
      </c>
      <c r="H19" s="679">
        <f>ROUND($D$3*I19/$E$3,2)</f>
        <v>0</v>
      </c>
      <c r="I19" s="51">
        <f t="shared" ref="I19:I26" si="2">IF($I$17="自定义",P19,M19)</f>
        <v>0</v>
      </c>
      <c r="J19" s="1253"/>
      <c r="K19" s="1252">
        <f t="shared" ref="K19:K26" si="3">ROUND(E$28*E19/E$27,2)</f>
        <v>0</v>
      </c>
      <c r="L19" s="1138">
        <f t="shared" ref="L19:L26" si="4">ROUND(IF(COUNTIF(C19,"*住宅*")&gt;0,E$29*E19/E$32,0),2)</f>
        <v>0</v>
      </c>
      <c r="M19" s="1264">
        <f>K19+L19</f>
        <v>0</v>
      </c>
      <c r="N19" s="1804"/>
      <c r="O19" s="1805"/>
      <c r="P19" s="1264">
        <f>N19+O19</f>
        <v>0</v>
      </c>
      <c r="R19" s="1138">
        <f t="shared" ref="R19:S26" si="5">D19+H19</f>
        <v>2435.9</v>
      </c>
      <c r="S19" s="1139">
        <f t="shared" si="5"/>
        <v>23576.31</v>
      </c>
    </row>
    <row r="20" spans="1:19">
      <c r="A20" s="1806"/>
      <c r="B20" s="50" t="s">
        <v>1598</v>
      </c>
      <c r="C20" s="1803"/>
      <c r="D20" s="48">
        <f t="shared" ref="D20:D26" si="6">ROUND($D$3*E20/$E$3,2)</f>
        <v>0</v>
      </c>
      <c r="E20" s="56">
        <f t="shared" si="1"/>
        <v>0</v>
      </c>
      <c r="F20" s="2975"/>
      <c r="G20" s="2976"/>
      <c r="H20" s="679">
        <f t="shared" ref="H20:H26" si="7">ROUND($D$3*I20/$E$3,2)</f>
        <v>0</v>
      </c>
      <c r="I20" s="51">
        <f t="shared" si="2"/>
        <v>0</v>
      </c>
      <c r="J20" s="1253"/>
      <c r="K20" s="1252">
        <f t="shared" si="3"/>
        <v>0</v>
      </c>
      <c r="L20" s="1138">
        <f t="shared" si="4"/>
        <v>0</v>
      </c>
      <c r="M20" s="1264">
        <f t="shared" ref="M20:M26" si="8">K20+L20</f>
        <v>0</v>
      </c>
      <c r="N20" s="1804"/>
      <c r="O20" s="1805"/>
      <c r="P20" s="1264">
        <f t="shared" ref="P20:P26" si="9">N20+O20</f>
        <v>0</v>
      </c>
      <c r="R20" s="1138">
        <f t="shared" si="5"/>
        <v>0</v>
      </c>
      <c r="S20" s="1139">
        <f t="shared" si="5"/>
        <v>0</v>
      </c>
    </row>
    <row r="21" spans="1:19">
      <c r="A21" s="1806"/>
      <c r="B21" s="50" t="s">
        <v>1598</v>
      </c>
      <c r="C21" s="1803"/>
      <c r="D21" s="48">
        <f t="shared" si="6"/>
        <v>0</v>
      </c>
      <c r="E21" s="56">
        <f t="shared" si="1"/>
        <v>0</v>
      </c>
      <c r="F21" s="2975"/>
      <c r="G21" s="2976"/>
      <c r="H21" s="679">
        <f t="shared" si="7"/>
        <v>0</v>
      </c>
      <c r="I21" s="51">
        <f t="shared" si="2"/>
        <v>0</v>
      </c>
      <c r="J21" s="1253"/>
      <c r="K21" s="1252">
        <f t="shared" si="3"/>
        <v>0</v>
      </c>
      <c r="L21" s="1138">
        <f t="shared" si="4"/>
        <v>0</v>
      </c>
      <c r="M21" s="1264">
        <f t="shared" si="8"/>
        <v>0</v>
      </c>
      <c r="N21" s="1804"/>
      <c r="O21" s="1805"/>
      <c r="P21" s="1264">
        <f t="shared" si="9"/>
        <v>0</v>
      </c>
      <c r="R21" s="1138">
        <f t="shared" si="5"/>
        <v>0</v>
      </c>
      <c r="S21" s="1139">
        <f t="shared" si="5"/>
        <v>0</v>
      </c>
    </row>
    <row r="22" spans="1:19">
      <c r="A22" s="1806"/>
      <c r="B22" s="50" t="s">
        <v>1598</v>
      </c>
      <c r="C22" s="58"/>
      <c r="D22" s="48">
        <f t="shared" si="6"/>
        <v>0</v>
      </c>
      <c r="E22" s="56">
        <f t="shared" si="1"/>
        <v>0</v>
      </c>
      <c r="F22" s="2977"/>
      <c r="G22" s="2978"/>
      <c r="H22" s="679">
        <f t="shared" si="7"/>
        <v>0</v>
      </c>
      <c r="I22" s="51">
        <f t="shared" si="2"/>
        <v>0</v>
      </c>
      <c r="J22" s="1253"/>
      <c r="K22" s="1252">
        <f t="shared" si="3"/>
        <v>0</v>
      </c>
      <c r="L22" s="1138">
        <f t="shared" si="4"/>
        <v>0</v>
      </c>
      <c r="M22" s="1264">
        <f t="shared" si="8"/>
        <v>0</v>
      </c>
      <c r="N22" s="1804"/>
      <c r="O22" s="1805"/>
      <c r="P22" s="1264">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3"/>
      <c r="K23" s="1252">
        <f t="shared" si="3"/>
        <v>0</v>
      </c>
      <c r="L23" s="1138">
        <f t="shared" si="4"/>
        <v>0</v>
      </c>
      <c r="M23" s="1264">
        <f t="shared" si="8"/>
        <v>0</v>
      </c>
      <c r="N23" s="1804"/>
      <c r="O23" s="1805"/>
      <c r="P23" s="1264">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3"/>
      <c r="K24" s="1252">
        <f t="shared" si="3"/>
        <v>0</v>
      </c>
      <c r="L24" s="1138">
        <f t="shared" si="4"/>
        <v>0</v>
      </c>
      <c r="M24" s="1264">
        <f t="shared" si="8"/>
        <v>0</v>
      </c>
      <c r="N24" s="1804"/>
      <c r="O24" s="1805"/>
      <c r="P24" s="1264">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3"/>
      <c r="K25" s="1252">
        <f t="shared" si="3"/>
        <v>0</v>
      </c>
      <c r="L25" s="1138">
        <f t="shared" si="4"/>
        <v>0</v>
      </c>
      <c r="M25" s="1264">
        <f t="shared" si="8"/>
        <v>0</v>
      </c>
      <c r="N25" s="1804"/>
      <c r="O25" s="1805"/>
      <c r="P25" s="1264">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8">
        <f t="shared" si="5"/>
        <v>0</v>
      </c>
      <c r="S26" s="1139">
        <f t="shared" si="5"/>
        <v>0</v>
      </c>
    </row>
    <row r="27" spans="1:19" ht="15.75" thickBot="1">
      <c r="A27" s="1806"/>
      <c r="B27" s="48"/>
      <c r="C27" s="1809" t="s">
        <v>1599</v>
      </c>
      <c r="D27" s="1254">
        <f>SUM(D19:D26)</f>
        <v>2435.9</v>
      </c>
      <c r="E27" s="1255">
        <f>IF(SUM(E19:E26)='数据-基础表'!BA5,SUM(E19:E26),IF(F27="地上面积有误","面积有误","地下面积有误"))</f>
        <v>23576.31</v>
      </c>
      <c r="F27" s="1254">
        <f>IF(SUM(F19:F26)=E8,SUM(F19:F26),"地上面积有误")</f>
        <v>9808.48</v>
      </c>
      <c r="G27" s="1256">
        <f>SUM(G19:G26)</f>
        <v>13767.830000000002</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40">
        <f>IF(SUM(R19:R26)=$D$3,SUM(R19:R26),SUM(R19:R26)&amp;"误差"&amp;ROUND(SUM(R19:R26)-$D$3,2))</f>
        <v>2435.9</v>
      </c>
      <c r="S27" s="1138">
        <f>IF(SUM(S19:S26)=$E$3,SUM(S19:S26),SUM(S19:S26)&amp;"误差"&amp;ROUND(SUM(S19:S26)-E3,2))</f>
        <v>23576.31</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5" t="s">
        <v>1603</v>
      </c>
      <c r="D31" s="685">
        <f>D27+D30</f>
        <v>2435.9</v>
      </c>
      <c r="E31" s="685">
        <f>E27+E30</f>
        <v>23576.31</v>
      </c>
      <c r="F31" s="686">
        <f>F27+F30</f>
        <v>9808.48</v>
      </c>
      <c r="G31" s="687">
        <f>G27+G30</f>
        <v>13767.830000000002</v>
      </c>
      <c r="H31" s="2835"/>
      <c r="I31" s="2835"/>
      <c r="J31" s="2835"/>
      <c r="K31" s="2835"/>
      <c r="L31" s="2835"/>
      <c r="M31" s="2835"/>
      <c r="N31" s="2835"/>
      <c r="O31" s="2835"/>
      <c r="P31" s="2835"/>
    </row>
    <row r="32" spans="1:19">
      <c r="A32" s="1778"/>
      <c r="B32" s="1778" t="s">
        <v>1604</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2" sqref="N3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9"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7">
        <f>项目基本情况!D3</f>
        <v>44818</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3244</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商业</v>
      </c>
      <c r="B6" s="1849" t="str">
        <f>IF(A6=0,"","经营性")</f>
        <v>经营性</v>
      </c>
      <c r="C6" s="1850" t="s">
        <v>1102</v>
      </c>
      <c r="D6" s="948">
        <f>SUMIF(项目基本情况!D$12:I$12,C6,项目基本情况!D$14:I$14)</f>
        <v>40</v>
      </c>
      <c r="E6" s="947">
        <f>IF(B6="","",SUMIF(项目基本情况!D$12:I$12,C6,项目基本情况!D$13:I$13))</f>
        <v>51237</v>
      </c>
      <c r="F6" s="68">
        <f>SUMIF(项目基本情况!D$12:I$12,C6,项目基本情况!D$15:I$15)</f>
        <v>17.579999999999998</v>
      </c>
      <c r="G6" s="69">
        <f>IF(ISERROR(ROUND(POWER(1+H6,D6-F6)*(POWER(1+H6,F6)-1)/(POWER(1+H6,D6)-1),3)),0,ROUND(POWER(1+H6,D6-F6)*(POWER(1+H6,F6)-1)/(POWER(1+H6,D6)-1),3))</f>
        <v>0.67100000000000004</v>
      </c>
      <c r="H6" s="741">
        <v>0.05</v>
      </c>
      <c r="I6" s="741">
        <v>5.5E-2</v>
      </c>
      <c r="J6" s="70">
        <v>7.0000000000000007E-2</v>
      </c>
      <c r="K6" s="1142">
        <f>SUMIF('数据-汇总表'!C$19:C$33,A6,'数据-汇总表'!E$19:E$33)</f>
        <v>23576.31</v>
      </c>
      <c r="L6" s="3267">
        <v>4500</v>
      </c>
      <c r="M6" s="71">
        <f t="shared" ref="M6:M14" si="0">ROUND(K6*L6/10000,0)</f>
        <v>10609</v>
      </c>
      <c r="N6" s="740">
        <v>0.85</v>
      </c>
      <c r="O6" s="71" t="str">
        <f>IF($N$5="成新度","——",ROUND(M6*N6,0))</f>
        <v>——</v>
      </c>
      <c r="P6" s="72" t="str">
        <f>IF($N$5="成新度","——",M6-O6)</f>
        <v>——</v>
      </c>
      <c r="Q6" s="743">
        <v>0.2</v>
      </c>
      <c r="R6" s="73">
        <f ca="1">SUMIF('数据-汇总表'!C$19:C$33,A6,'数据-汇总表'!R$19:R$27)</f>
        <v>2435.9</v>
      </c>
      <c r="S6" s="54">
        <f>IF('数据-汇总表'!$I$17="按面积比例",SUMIF('数据-汇总表'!C$19:C$33,A6,'数据-汇总表'!K$19:K$33),SUMIF('数据-汇总表'!C$19:C$33,A6,'数据-汇总表'!N$19:N$33))</f>
        <v>0</v>
      </c>
      <c r="T6" s="1286">
        <f>ROUND($L$14*S6/10000,0)</f>
        <v>0</v>
      </c>
      <c r="U6" s="3269">
        <v>3.7</v>
      </c>
      <c r="V6" s="75">
        <v>0.03</v>
      </c>
      <c r="W6" s="75">
        <v>0.1</v>
      </c>
      <c r="X6" s="1152"/>
      <c r="Y6" s="76">
        <f>N6</f>
        <v>0.85</v>
      </c>
      <c r="Z6" s="77"/>
      <c r="AA6" s="70"/>
      <c r="AB6" s="70"/>
      <c r="AC6" s="1152"/>
      <c r="AD6" s="78"/>
      <c r="AE6" s="1153">
        <f ca="1">IF(AN6="",0,SUMIF(INDIRECT("'"&amp;AN6&amp;"'"&amp;"!E:E"),$AE$5,INDIRECT("'"&amp;AN6&amp;"'"&amp;"!F:F")))</f>
        <v>17.579999999999998</v>
      </c>
      <c r="AF6" s="1482"/>
      <c r="AG6" s="143">
        <f>IF(AF6="",0,AE6-AF6)</f>
        <v>0</v>
      </c>
      <c r="AH6" s="79"/>
      <c r="AI6" s="81">
        <v>365</v>
      </c>
      <c r="AJ6" s="82"/>
      <c r="AK6" s="3270">
        <v>2E-3</v>
      </c>
      <c r="AL6" s="84">
        <v>1E-3</v>
      </c>
      <c r="AM6" s="85">
        <v>0.01</v>
      </c>
      <c r="AN6" s="1851" t="s">
        <v>3250</v>
      </c>
      <c r="AO6" s="55">
        <f ca="1">SUMIF(INDIRECT("'"&amp;AN6&amp;"'"&amp;"!A:A"),"总价",INDIRECT("'"&amp;AN6&amp;"'"&amp;"!B:B"))</f>
        <v>33660</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6">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6"/>
      <c r="U14" s="679"/>
      <c r="V14" s="1147"/>
      <c r="W14" s="1147"/>
      <c r="X14" s="1148"/>
      <c r="Y14" s="1149"/>
      <c r="Z14" s="1150"/>
      <c r="AA14" s="1151"/>
      <c r="AB14" s="1151"/>
      <c r="AC14" s="1152"/>
      <c r="AD14" s="1148"/>
      <c r="AE14" s="1153"/>
      <c r="AF14" s="55"/>
      <c r="AG14" s="143"/>
      <c r="AH14" s="1153"/>
      <c r="AI14" s="1491"/>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6"/>
      <c r="U15" s="679"/>
      <c r="V15" s="1147"/>
      <c r="W15" s="1147"/>
      <c r="X15" s="1148"/>
      <c r="Y15" s="1149"/>
      <c r="Z15" s="1150"/>
      <c r="AA15" s="1151"/>
      <c r="AB15" s="1151"/>
      <c r="AC15" s="1152"/>
      <c r="AD15" s="1148"/>
      <c r="AE15" s="1153"/>
      <c r="AF15" s="55"/>
      <c r="AG15" s="143"/>
      <c r="AH15" s="1153"/>
      <c r="AI15" s="1491"/>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0.67100000000000004</v>
      </c>
      <c r="H16" s="95">
        <f>ROUND(SUMPRODUCT(H6:H13,K6:K13)/SUMPRODUCT((H6:H13&gt;0)*(K6:K13)),3)</f>
        <v>0.05</v>
      </c>
      <c r="I16" s="96"/>
      <c r="J16" s="96"/>
      <c r="K16" s="97">
        <f>SUM(K6:K15)</f>
        <v>23576.31</v>
      </c>
      <c r="L16" s="98">
        <f>ROUND(M16*10000/SUM(K6:K14),0)</f>
        <v>4500</v>
      </c>
      <c r="M16" s="98">
        <f>SUM(M6:M14)</f>
        <v>10609</v>
      </c>
      <c r="N16" s="99">
        <f>ROUND(SUMPRODUCT(M6:M14,N6:N14)/M16,3)</f>
        <v>0.85</v>
      </c>
      <c r="O16" s="98">
        <f>SUM(O6:O14)</f>
        <v>0</v>
      </c>
      <c r="P16" s="98">
        <f>SUM(P6:P14)</f>
        <v>0</v>
      </c>
      <c r="Q16" s="100">
        <f>ROUND(SUMPRODUCT(Q6:Q13,K6:K13)/SUMPRODUCT((Q6:Q13&gt;0)*(K6:K13)),2)</f>
        <v>0.2</v>
      </c>
      <c r="R16" s="1146">
        <f ca="1">SUM(R6:R13)</f>
        <v>2435.9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f>U6/V26/365</f>
        <v>1.002381740289122E-6</v>
      </c>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3237" t="s">
        <v>3248</v>
      </c>
      <c r="N22" s="3237" t="s">
        <v>3249</v>
      </c>
      <c r="O22" s="2849"/>
      <c r="P22" s="2849"/>
      <c r="Q22" s="2849"/>
      <c r="R22" s="2849"/>
      <c r="S22" s="2849"/>
      <c r="T22" s="2849"/>
      <c r="U22" s="2849"/>
      <c r="V22" s="3237" t="s">
        <v>3259</v>
      </c>
      <c r="W22" s="3237" t="s">
        <v>3260</v>
      </c>
      <c r="X22" s="3237" t="s">
        <v>3261</v>
      </c>
      <c r="Y22" s="2849"/>
      <c r="Z22" s="2849"/>
      <c r="AA22" s="2849"/>
      <c r="AB22" s="2849"/>
      <c r="AC22" s="2849"/>
      <c r="AD22" s="3237" t="s">
        <v>3284</v>
      </c>
      <c r="AE22" s="3237" t="s">
        <v>3285</v>
      </c>
      <c r="AF22" s="3237" t="s">
        <v>3287</v>
      </c>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3236" t="s">
        <v>3245</v>
      </c>
      <c r="M23" s="2849">
        <f>'数据-基础表'!I13</f>
        <v>9808.48</v>
      </c>
      <c r="N23" s="2849">
        <v>5000</v>
      </c>
      <c r="O23" s="2849">
        <f>M23*N23</f>
        <v>49042400</v>
      </c>
      <c r="P23" s="2849"/>
      <c r="Q23" s="2849"/>
      <c r="R23" s="2849"/>
      <c r="S23" s="2849"/>
      <c r="T23" s="2849"/>
      <c r="U23" s="2849" t="s">
        <v>3256</v>
      </c>
      <c r="V23" s="2849">
        <f>Sheet1!D5</f>
        <v>4250.6000000000004</v>
      </c>
      <c r="W23" s="2849">
        <v>8.5</v>
      </c>
      <c r="X23" s="2849">
        <v>1</v>
      </c>
      <c r="Y23" s="2849">
        <f>V23*W23*365</f>
        <v>13187486.500000002</v>
      </c>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3236" t="s">
        <v>3246</v>
      </c>
      <c r="M24" s="2849">
        <f>'数据-基础表'!K13</f>
        <v>3654.93</v>
      </c>
      <c r="N24" s="2849">
        <v>4500</v>
      </c>
      <c r="O24" s="2849">
        <f t="shared" ref="O24:O25" si="12">M24*N24</f>
        <v>16447185</v>
      </c>
      <c r="P24" s="2849"/>
      <c r="Q24" s="2849"/>
      <c r="R24" s="2849"/>
      <c r="S24" s="2849"/>
      <c r="T24" s="2849"/>
      <c r="U24" s="2849" t="s">
        <v>3257</v>
      </c>
      <c r="V24" s="2849">
        <f>Sheet1!D4</f>
        <v>5557.88</v>
      </c>
      <c r="W24" s="2849">
        <f>ROUND(W23*X24,1)</f>
        <v>6</v>
      </c>
      <c r="X24" s="2849">
        <v>0.7</v>
      </c>
      <c r="Y24" s="2849">
        <f t="shared" ref="Y24:Y25" si="13">V24*W24*365</f>
        <v>12171757.199999999</v>
      </c>
      <c r="Z24" s="2849"/>
      <c r="AA24" s="2849"/>
      <c r="AB24" s="2849"/>
      <c r="AC24" s="3237" t="s">
        <v>3286</v>
      </c>
      <c r="AD24" s="1817">
        <f>'数据-基础表'!I13+'数据-基础表'!K13</f>
        <v>13463.41</v>
      </c>
      <c r="AE24" s="2849">
        <v>1403.75</v>
      </c>
      <c r="AF24" s="2849">
        <f>AE24/AD24/365*10000</f>
        <v>2.8565500203580698</v>
      </c>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3236" t="s">
        <v>3247</v>
      </c>
      <c r="M25" s="2849">
        <f>'数据-基础表'!M13</f>
        <v>10112.900000000001</v>
      </c>
      <c r="N25" s="2849">
        <v>3500</v>
      </c>
      <c r="O25" s="2849">
        <f t="shared" si="12"/>
        <v>35395150.000000007</v>
      </c>
      <c r="P25" s="2849"/>
      <c r="Q25" s="2849"/>
      <c r="R25" s="2849"/>
      <c r="S25" s="2849"/>
      <c r="T25" s="2849"/>
      <c r="U25" s="2849" t="s">
        <v>3258</v>
      </c>
      <c r="V25" s="2849">
        <f>Sheet1!D7</f>
        <v>3654.93</v>
      </c>
      <c r="W25" s="2849">
        <f>ROUND(W23*X25,1)</f>
        <v>3</v>
      </c>
      <c r="X25" s="2849">
        <v>0.35</v>
      </c>
      <c r="Y25" s="2849">
        <f t="shared" si="13"/>
        <v>4002148.3499999996</v>
      </c>
      <c r="Z25" s="2849"/>
      <c r="AA25" s="2849"/>
      <c r="AB25" s="2849"/>
      <c r="AC25" s="3237" t="s">
        <v>3283</v>
      </c>
      <c r="AD25" s="2849">
        <v>164</v>
      </c>
      <c r="AE25" s="2849">
        <f>AD25*1.6</f>
        <v>262.40000000000003</v>
      </c>
      <c r="AF25" s="2849">
        <f>AE25/'数据-汇总表'!G19/365*10000</f>
        <v>0.5221622503975144</v>
      </c>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f>M23+M24+M25</f>
        <v>23576.31</v>
      </c>
      <c r="N26" s="2849">
        <f>O26/M26</f>
        <v>4279.0722975732842</v>
      </c>
      <c r="O26" s="2849">
        <f t="shared" ref="O26" si="14">O23+O24+O25</f>
        <v>100884735</v>
      </c>
      <c r="P26" s="2849"/>
      <c r="Q26" s="2849"/>
      <c r="R26" s="2849"/>
      <c r="S26" s="2849"/>
      <c r="T26" s="2849"/>
      <c r="U26" s="3237" t="s">
        <v>3301</v>
      </c>
      <c r="V26" s="2849">
        <f>'数据-基础表'!M13</f>
        <v>10112.900000000001</v>
      </c>
      <c r="W26" s="2849">
        <v>0.8</v>
      </c>
      <c r="X26" s="2849"/>
      <c r="Y26" s="2849">
        <f>V26*W26*365</f>
        <v>2952966.8000000007</v>
      </c>
      <c r="Z26" s="2849"/>
      <c r="AA26" s="2849"/>
      <c r="AB26" s="2849"/>
      <c r="AC26" s="2849"/>
      <c r="AD26" s="2849"/>
      <c r="AE26" s="2849">
        <f>AE24+AE25</f>
        <v>1666.15</v>
      </c>
      <c r="AF26" s="2849"/>
      <c r="AG26" s="2849"/>
      <c r="AH26" s="2849"/>
      <c r="AI26" s="2849"/>
      <c r="AJ26" s="2849"/>
      <c r="AK26" s="2849"/>
      <c r="AL26" s="2849"/>
      <c r="AM26" s="2849"/>
      <c r="AN26" s="2849"/>
      <c r="AO26" s="2849"/>
      <c r="AP26" s="2849"/>
      <c r="AQ26" s="2849"/>
      <c r="AR26" s="2849"/>
    </row>
    <row r="27" spans="1:67" s="1864" customFormat="1" ht="27.75">
      <c r="A27" s="1863" t="s">
        <v>1665</v>
      </c>
      <c r="B27" s="112"/>
      <c r="C27" s="2981" t="s">
        <v>2808</v>
      </c>
      <c r="D27" s="2857"/>
      <c r="E27" s="2837"/>
      <c r="F27" s="2837"/>
      <c r="G27" s="2851"/>
      <c r="H27" s="2851"/>
      <c r="I27" s="2851"/>
      <c r="J27" s="2851"/>
      <c r="K27" s="2850"/>
      <c r="L27" s="2850"/>
      <c r="M27" s="2849"/>
      <c r="N27" s="2849"/>
      <c r="O27" s="2849"/>
      <c r="P27" s="2849"/>
      <c r="Q27" s="2849"/>
      <c r="R27" s="2849"/>
      <c r="S27" s="2849"/>
      <c r="T27" s="2849"/>
      <c r="U27" s="2849"/>
      <c r="V27" s="2849">
        <f>V23+V24+V25+V26</f>
        <v>23576.31</v>
      </c>
      <c r="W27" s="2849">
        <f>Y27/V27/365</f>
        <v>3.7551461615494541</v>
      </c>
      <c r="X27" s="2849"/>
      <c r="Y27" s="2849">
        <f>Y23+Y24+Y25+Y26</f>
        <v>32314358.850000005</v>
      </c>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t="s">
        <v>3288</v>
      </c>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472</v>
      </c>
      <c r="C29" s="2982" t="s">
        <v>2795</v>
      </c>
      <c r="D29" s="2857"/>
      <c r="E29" s="2837"/>
      <c r="F29" s="2837"/>
      <c r="G29" s="2851"/>
      <c r="H29" s="2851"/>
      <c r="I29" s="2851"/>
      <c r="J29" s="2851"/>
      <c r="K29" s="2850"/>
      <c r="L29" s="2850"/>
      <c r="M29" s="2849"/>
      <c r="N29" s="2849">
        <v>2000</v>
      </c>
      <c r="O29" s="2849"/>
      <c r="P29" s="2849"/>
      <c r="Q29" s="2849"/>
      <c r="R29" s="2849"/>
      <c r="S29" s="2849"/>
      <c r="T29" s="2849"/>
      <c r="U29" s="2849" t="s">
        <v>3289</v>
      </c>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f>ROUND(1-(2022-N29)/60,2)</f>
        <v>0.63</v>
      </c>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v>0.85</v>
      </c>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f>ROUND((N30+N31)/2,2)</f>
        <v>0.74</v>
      </c>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0.05</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0.03</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0.03</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3251</v>
      </c>
      <c r="B40" s="3268">
        <f ca="1">IF(A40="利息：取LPR",存贷款利率!G1,存贷款利率!G1+C40)</f>
        <v>4.3499999999999997E-2</v>
      </c>
      <c r="C40" s="2994">
        <v>7.0000000000000001E-3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12</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137</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61" t="s">
        <v>2787</v>
      </c>
      <c r="B1" s="3362"/>
      <c r="C1" s="3362"/>
      <c r="D1" s="3362"/>
      <c r="E1" s="3362"/>
      <c r="F1" s="3362"/>
      <c r="G1" s="3362"/>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7"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23576.31</v>
      </c>
      <c r="C1" s="2864"/>
      <c r="D1" s="2864"/>
      <c r="E1" s="2864"/>
      <c r="F1" s="2864"/>
      <c r="G1" s="2865"/>
      <c r="H1" s="2866"/>
      <c r="I1" s="2866"/>
      <c r="J1" s="2866"/>
      <c r="K1" s="2866"/>
    </row>
    <row r="2" spans="1:11" ht="16.5">
      <c r="A2" s="2687" t="s">
        <v>1078</v>
      </c>
      <c r="B2" s="2687">
        <f>SUM(C14:C23)</f>
        <v>2435.9</v>
      </c>
      <c r="C2" s="2864"/>
      <c r="D2" s="2864"/>
      <c r="E2" s="2864"/>
      <c r="F2" s="2864"/>
      <c r="G2" s="2865"/>
      <c r="H2" s="2866"/>
      <c r="I2" s="2866"/>
      <c r="J2" s="2866"/>
      <c r="K2" s="2866"/>
    </row>
    <row r="3" spans="1:11" ht="16.5">
      <c r="A3" s="2687" t="s">
        <v>1087</v>
      </c>
      <c r="B3" s="2689">
        <f>项目基本情况!D3</f>
        <v>44818</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50123</v>
      </c>
      <c r="C5" s="2687">
        <f ca="1">ROUND(B5*10000/$B$1,0)</f>
        <v>21260</v>
      </c>
      <c r="D5" s="2687">
        <f ca="1">ROUND(B5*10000/$B$2,0)</f>
        <v>205768</v>
      </c>
      <c r="E5" s="2864"/>
      <c r="F5" s="2865"/>
      <c r="G5" s="2865"/>
      <c r="H5" s="2866"/>
      <c r="I5" s="2866"/>
      <c r="J5" s="2866"/>
      <c r="K5" s="2866"/>
    </row>
    <row r="6" spans="1:11" ht="16.5">
      <c r="A6" s="2687" t="s">
        <v>1081</v>
      </c>
      <c r="B6" s="2687">
        <f ca="1">SUM(G14:G23)</f>
        <v>50123</v>
      </c>
      <c r="C6" s="2687">
        <f ca="1">ROUND(B6*10000/$B$1,0)</f>
        <v>21260</v>
      </c>
      <c r="D6" s="2687">
        <f ca="1">ROUND(B6*10000/$B$2,0)</f>
        <v>205768</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23576.31</v>
      </c>
      <c r="C14" s="2693">
        <f>结果表!C118</f>
        <v>2435.9</v>
      </c>
      <c r="D14" s="2693">
        <f ca="1">结果表!H118</f>
        <v>50123</v>
      </c>
      <c r="E14" s="2693">
        <f ca="1">ROUND(D14*10000/B14,0)</f>
        <v>21260</v>
      </c>
      <c r="F14" s="2693">
        <f ca="1">ROUND(D14*10000/C14,0)</f>
        <v>205768</v>
      </c>
      <c r="G14" s="2693">
        <f ca="1">结果表!D122</f>
        <v>50123</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6" sqref="K26"/>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97" t="str">
        <f>项目基本情况!S2</f>
        <v>北京市房地产</v>
      </c>
      <c r="B2" s="3398"/>
      <c r="C2" s="3398"/>
      <c r="D2" s="3398"/>
      <c r="E2" s="3398"/>
      <c r="F2" s="3398"/>
      <c r="G2" s="3398"/>
      <c r="H2" s="3398"/>
      <c r="I2" s="3399"/>
    </row>
    <row r="3" spans="1:12" ht="12.75">
      <c r="A3" s="3401" t="s">
        <v>1709</v>
      </c>
      <c r="B3" s="3402"/>
      <c r="C3" s="3402"/>
      <c r="D3" s="3402"/>
      <c r="E3" s="3402"/>
      <c r="F3" s="3402"/>
      <c r="G3" s="3402"/>
      <c r="H3" s="3402"/>
      <c r="I3" s="3402"/>
    </row>
    <row r="4" spans="1:12" ht="14.25">
      <c r="A4" s="1890" t="s">
        <v>1710</v>
      </c>
      <c r="B4" s="1891" t="s">
        <v>1711</v>
      </c>
      <c r="C4" s="1892" t="s">
        <v>3262</v>
      </c>
      <c r="D4" s="1892" t="s">
        <v>3250</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7" t="s">
        <v>1713</v>
      </c>
      <c r="B5" s="3364">
        <v>25</v>
      </c>
      <c r="C5" s="3380"/>
      <c r="D5" s="3400"/>
      <c r="E5" s="136" t="s">
        <v>1714</v>
      </c>
      <c r="F5" s="1893"/>
      <c r="G5" s="1893"/>
      <c r="H5" s="1893"/>
      <c r="I5" s="1507"/>
    </row>
    <row r="6" spans="1:12" ht="12.75">
      <c r="A6" s="3377"/>
      <c r="B6" s="3364"/>
      <c r="C6" s="3381"/>
      <c r="D6" s="3400"/>
      <c r="E6" s="136" t="s">
        <v>1715</v>
      </c>
      <c r="F6" s="1893"/>
      <c r="G6" s="1893"/>
      <c r="H6" s="1893"/>
      <c r="I6" s="1507"/>
    </row>
    <row r="7" spans="1:12" ht="12.75">
      <c r="A7" s="3377"/>
      <c r="B7" s="3364"/>
      <c r="C7" s="3382"/>
      <c r="D7" s="3400"/>
      <c r="E7" s="136" t="s">
        <v>1716</v>
      </c>
      <c r="F7" s="1893"/>
      <c r="G7" s="1893"/>
      <c r="H7" s="1893"/>
      <c r="I7" s="1507"/>
    </row>
    <row r="8" spans="1:12" ht="12.75">
      <c r="A8" s="3377" t="s">
        <v>1717</v>
      </c>
      <c r="B8" s="3364">
        <v>15</v>
      </c>
      <c r="C8" s="3380"/>
      <c r="D8" s="3400"/>
      <c r="E8" s="136" t="s">
        <v>1718</v>
      </c>
      <c r="F8" s="1893"/>
      <c r="G8" s="1893"/>
      <c r="H8" s="1893"/>
      <c r="I8" s="1507"/>
    </row>
    <row r="9" spans="1:12" ht="12.75">
      <c r="A9" s="3377"/>
      <c r="B9" s="3364"/>
      <c r="C9" s="3382"/>
      <c r="D9" s="3400"/>
      <c r="E9" s="136" t="s">
        <v>1719</v>
      </c>
      <c r="F9" s="1893"/>
      <c r="G9" s="1893"/>
      <c r="H9" s="1893"/>
      <c r="I9" s="1507"/>
    </row>
    <row r="10" spans="1:12" ht="12.75">
      <c r="A10" s="3377" t="s">
        <v>1720</v>
      </c>
      <c r="B10" s="3364">
        <v>15</v>
      </c>
      <c r="C10" s="3380"/>
      <c r="D10" s="3400"/>
      <c r="E10" s="136" t="s">
        <v>1721</v>
      </c>
      <c r="F10" s="1893"/>
      <c r="G10" s="1893"/>
      <c r="H10" s="1893"/>
      <c r="I10" s="1507"/>
    </row>
    <row r="11" spans="1:12" ht="12.75">
      <c r="A11" s="3377"/>
      <c r="B11" s="3364"/>
      <c r="C11" s="3382"/>
      <c r="D11" s="3400"/>
      <c r="E11" s="136" t="s">
        <v>1722</v>
      </c>
      <c r="F11" s="1893"/>
      <c r="G11" s="1893"/>
      <c r="H11" s="1893"/>
      <c r="I11" s="1507"/>
    </row>
    <row r="12" spans="1:12" ht="12.75">
      <c r="A12" s="3377" t="s">
        <v>1723</v>
      </c>
      <c r="B12" s="3364">
        <v>15</v>
      </c>
      <c r="C12" s="3380"/>
      <c r="D12" s="3400"/>
      <c r="E12" s="136" t="s">
        <v>1724</v>
      </c>
      <c r="F12" s="1893"/>
      <c r="G12" s="1893"/>
      <c r="H12" s="1893"/>
      <c r="I12" s="1507"/>
    </row>
    <row r="13" spans="1:12" ht="12.75">
      <c r="A13" s="3377"/>
      <c r="B13" s="3364"/>
      <c r="C13" s="3382"/>
      <c r="D13" s="3400"/>
      <c r="E13" s="136" t="s">
        <v>1725</v>
      </c>
      <c r="F13" s="1893"/>
      <c r="G13" s="1893"/>
      <c r="H13" s="1893"/>
      <c r="I13" s="1507"/>
    </row>
    <row r="14" spans="1:12" ht="12.75">
      <c r="A14" s="3377" t="s">
        <v>1726</v>
      </c>
      <c r="B14" s="3364">
        <v>30</v>
      </c>
      <c r="C14" s="3380">
        <v>7</v>
      </c>
      <c r="D14" s="3400">
        <v>3</v>
      </c>
      <c r="E14" s="136" t="s">
        <v>1727</v>
      </c>
      <c r="F14" s="1893"/>
      <c r="G14" s="1893"/>
      <c r="H14" s="1893"/>
      <c r="I14" s="1507"/>
    </row>
    <row r="15" spans="1:12" ht="12.75">
      <c r="A15" s="3377"/>
      <c r="B15" s="3364"/>
      <c r="C15" s="3381"/>
      <c r="D15" s="3400"/>
      <c r="E15" s="136" t="s">
        <v>1728</v>
      </c>
      <c r="F15" s="1893"/>
      <c r="G15" s="1893"/>
      <c r="H15" s="1893"/>
      <c r="I15" s="1507"/>
    </row>
    <row r="16" spans="1:12" ht="12.75">
      <c r="A16" s="3377"/>
      <c r="B16" s="3364"/>
      <c r="C16" s="3382"/>
      <c r="D16" s="3400"/>
      <c r="E16" s="136" t="s">
        <v>1729</v>
      </c>
      <c r="F16" s="1893"/>
      <c r="G16" s="1893"/>
      <c r="H16" s="1893"/>
      <c r="I16" s="1507"/>
    </row>
    <row r="17" spans="1:36" ht="15">
      <c r="A17" s="1894" t="s">
        <v>1730</v>
      </c>
      <c r="B17" s="60"/>
      <c r="C17" s="137">
        <f>SUM(C5:C16)</f>
        <v>7</v>
      </c>
      <c r="D17" s="137">
        <f>SUM(D5:D16)</f>
        <v>3</v>
      </c>
      <c r="E17" s="134"/>
      <c r="F17" s="134"/>
      <c r="G17" s="134"/>
      <c r="H17" s="134"/>
      <c r="I17" s="134"/>
      <c r="K17" s="308"/>
      <c r="L17" s="308" t="s">
        <v>1731</v>
      </c>
      <c r="M17" s="308" t="s">
        <v>1732</v>
      </c>
    </row>
    <row r="18" spans="1:36" ht="31.9" customHeight="1" thickBot="1">
      <c r="A18" s="1895" t="s">
        <v>1733</v>
      </c>
      <c r="B18" s="1896"/>
      <c r="C18" s="138">
        <f>ROUND(C17/SUM(C17:D17),2)</f>
        <v>0.7</v>
      </c>
      <c r="D18" s="138">
        <f>1-C18</f>
        <v>0.30000000000000004</v>
      </c>
      <c r="E18" s="3387" t="s">
        <v>2632</v>
      </c>
      <c r="F18" s="3388"/>
      <c r="G18" s="3388"/>
      <c r="H18" s="3388"/>
      <c r="I18" s="3388"/>
      <c r="K18" s="308" t="s">
        <v>1734</v>
      </c>
      <c r="L18" s="308">
        <f>IF(C1="",'数据-汇总表'!E3,SUMIF(项目类型,C1,'数据-汇总表'!E17:E26)+SUMIF(项目类型,C1,'数据-汇总表'!I17:I26))</f>
        <v>23576.31</v>
      </c>
      <c r="M18" s="308">
        <f>IF(C1="",'数据-汇总表'!E3,SUMIF(项目类型,C1,'数据-汇总表'!E17:E26))</f>
        <v>23576.31</v>
      </c>
    </row>
    <row r="19" spans="1:36" ht="15">
      <c r="A19" s="1897" t="s">
        <v>1735</v>
      </c>
      <c r="B19" s="1898" t="s">
        <v>1736</v>
      </c>
      <c r="C19" s="139">
        <f ca="1">SUMIF(INDIRECT("'"&amp;C4&amp;"'"&amp;"!A:A"),结果表!B19,INDIRECT("'"&amp;C4&amp;"'"&amp;"!B:B"))</f>
        <v>57179</v>
      </c>
      <c r="D19" s="140">
        <f ca="1">SUMIF(INDIRECT("'"&amp;D4&amp;"'"&amp;"!A:A"),结果表!B19,INDIRECT("'"&amp;D4&amp;"'"&amp;"!B:B"))</f>
        <v>33660</v>
      </c>
      <c r="E19" s="1897" t="s">
        <v>1737</v>
      </c>
      <c r="F19" s="1898" t="s">
        <v>1736</v>
      </c>
      <c r="G19" s="141">
        <f ca="1">ROUND(C19*$C$18+D19*$D$18,0)</f>
        <v>50123</v>
      </c>
      <c r="H19" s="1899" t="s">
        <v>1738</v>
      </c>
      <c r="I19" s="134"/>
      <c r="K19" s="308" t="s">
        <v>1739</v>
      </c>
      <c r="L19" s="308">
        <f>IF(C1="",'数据-汇总表'!D3,SUMIF(项目类型,C1,'数据-汇总表'!D17:D26)+SUMIF(项目类型,C1,'数据-汇总表'!H17:H27))</f>
        <v>2435.9</v>
      </c>
      <c r="M19" s="308">
        <f>IF(C1="",'数据-汇总表'!D3,SUMIF(项目类型,C1,'数据-汇总表'!D17:D26))</f>
        <v>2435.9</v>
      </c>
    </row>
    <row r="20" spans="1:36" ht="15">
      <c r="A20" s="1900"/>
      <c r="B20" s="1138" t="s">
        <v>1740</v>
      </c>
      <c r="C20" s="142">
        <f ca="1">SUMIF(INDIRECT("'"&amp;C4&amp;"'"&amp;"!A:A"),结果表!B20,INDIRECT("'"&amp;C4&amp;"'"&amp;"!B:B"))</f>
        <v>24253</v>
      </c>
      <c r="D20" s="143">
        <f ca="1">SUMIF(INDIRECT("'"&amp;D4&amp;"'"&amp;"!A:A"),结果表!B20,INDIRECT("'"&amp;D4&amp;"'"&amp;"!B:B"))</f>
        <v>14277</v>
      </c>
      <c r="E20" s="1900"/>
      <c r="F20" s="1138" t="s">
        <v>1740</v>
      </c>
      <c r="G20" s="144">
        <f ca="1">ROUND(C20*$C$18+D20*$D$18,0)</f>
        <v>21260</v>
      </c>
      <c r="H20" s="898" t="s">
        <v>1741</v>
      </c>
      <c r="I20" s="134"/>
    </row>
    <row r="21" spans="1:36" ht="15" customHeight="1" thickBot="1">
      <c r="A21" s="918"/>
      <c r="B21" s="1901" t="s">
        <v>1742</v>
      </c>
      <c r="C21" s="728">
        <f ca="1">ROUND(C19*10000/L19,0)</f>
        <v>234735</v>
      </c>
      <c r="D21" s="729">
        <f ca="1">ROUND(D19*10000/L19,0)</f>
        <v>138183</v>
      </c>
      <c r="E21" s="918"/>
      <c r="F21" s="1901" t="s">
        <v>1742</v>
      </c>
      <c r="G21" s="145">
        <f ca="1">ROUND(G19*10000/L19,0)</f>
        <v>205768</v>
      </c>
      <c r="H21" s="1902" t="s">
        <v>1741</v>
      </c>
      <c r="I21" s="134"/>
    </row>
    <row r="22" spans="1:36" ht="15" thickBot="1">
      <c r="A22" s="1824" t="s">
        <v>1743</v>
      </c>
      <c r="B22" s="1903"/>
      <c r="C22" s="1904"/>
      <c r="D22" s="730">
        <f ca="1">IF(C19&lt;D19,D19/C19-1,C19/D19-1)</f>
        <v>0.69872251931075469</v>
      </c>
      <c r="E22" s="134"/>
      <c r="F22" s="134"/>
      <c r="G22" s="134"/>
      <c r="H22" s="134"/>
      <c r="I22" s="134"/>
    </row>
    <row r="23" spans="1:36" ht="13.5" thickBot="1">
      <c r="A23" s="1883"/>
      <c r="B23" s="1883"/>
      <c r="C23" s="1883"/>
      <c r="D23" s="1883"/>
      <c r="E23" s="134"/>
      <c r="F23" s="134"/>
      <c r="G23" s="134"/>
      <c r="H23" s="134"/>
      <c r="I23" s="134"/>
    </row>
    <row r="24" spans="1:36" ht="14.25">
      <c r="A24" s="3371" t="s">
        <v>1744</v>
      </c>
      <c r="B24" s="1898" t="s">
        <v>1736</v>
      </c>
      <c r="C24" s="141">
        <f>IF(B30=0,0,D30)</f>
        <v>0</v>
      </c>
      <c r="D24" s="1905"/>
      <c r="E24" s="134"/>
      <c r="F24" s="134"/>
      <c r="G24" s="134"/>
      <c r="H24" s="134"/>
      <c r="I24" s="134"/>
    </row>
    <row r="25" spans="1:36" ht="14.25">
      <c r="A25" s="3372"/>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2633</v>
      </c>
      <c r="F30" s="134"/>
      <c r="G30" s="134"/>
      <c r="H30" s="134"/>
      <c r="I30" s="134"/>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50123</v>
      </c>
      <c r="D32" s="1911" t="s">
        <v>3303</v>
      </c>
      <c r="E32" s="134"/>
      <c r="F32" s="134"/>
      <c r="G32" s="134"/>
      <c r="H32" s="134"/>
      <c r="I32" s="134"/>
    </row>
    <row r="33" spans="1:15" ht="15">
      <c r="A33" s="875" t="s">
        <v>1751</v>
      </c>
      <c r="B33" s="1912"/>
      <c r="C33" s="1913" t="s">
        <v>3305</v>
      </c>
      <c r="D33" s="1914" t="s">
        <v>3262</v>
      </c>
      <c r="E33" s="1915" t="s">
        <v>1752</v>
      </c>
      <c r="F33" s="1916" t="str">
        <f>IF(D32="楼面单价","取值（单价）","取值（总价）")</f>
        <v>取值（总价）</v>
      </c>
      <c r="G33" s="134"/>
      <c r="H33" s="134"/>
      <c r="I33" s="134"/>
    </row>
    <row r="34" spans="1:15" ht="15">
      <c r="A34" s="1917"/>
      <c r="B34" s="1918" t="s">
        <v>1753</v>
      </c>
      <c r="C34" s="153">
        <f ca="1">IF(C33="自定义",F34,C32-C35)</f>
        <v>37793</v>
      </c>
      <c r="D34" s="951">
        <f ca="1">IF(C33="自定义",ROUND(C34/C32,3),IF(C33="收益比率",SUMIF(INDIRECT("'"&amp;D33&amp;"'"&amp;"!b:b"),"土地收益比率",INDIRECT("'"&amp;D33&amp;"'"&amp;"!c:c")),SUMIF(INDIRECT("'"&amp;D33&amp;"'"&amp;"!b:b"),"土地成本比率",INDIRECT("'"&amp;D33&amp;"'"&amp;"!c:c"))))</f>
        <v>0.754</v>
      </c>
      <c r="E34" s="1919" t="s">
        <v>1754</v>
      </c>
      <c r="F34" s="1450"/>
      <c r="G34" s="134"/>
      <c r="H34" s="134"/>
      <c r="I34" s="134"/>
    </row>
    <row r="35" spans="1:15" ht="15.75" thickBot="1">
      <c r="A35" s="1920"/>
      <c r="B35" s="1921" t="s">
        <v>1755</v>
      </c>
      <c r="C35" s="1284">
        <f ca="1">IF(C33="自定义",F35,ROUND(C32*D35,0))</f>
        <v>12330</v>
      </c>
      <c r="D35" s="1285">
        <f ca="1">IF(C33="自定义",ROUND(C35/C32,3),IF(C33="收益比率",SUMIF(INDIRECT("'"&amp;D33&amp;"'"&amp;"!b:b"),"建筑物收益比率",INDIRECT("'"&amp;D33&amp;"'"&amp;"!c:c")),SUMIF(INDIRECT("'"&amp;D33&amp;"'"&amp;"!b:b"),"建筑物成本比率",INDIRECT("'"&amp;D33&amp;"'"&amp;"!c:c"))))</f>
        <v>0.246</v>
      </c>
      <c r="E35" s="1922" t="s">
        <v>1756</v>
      </c>
      <c r="F35" s="159"/>
      <c r="G35" s="134"/>
      <c r="H35" s="134"/>
      <c r="I35" s="134"/>
    </row>
    <row r="36" spans="1:15" ht="15.75" thickBot="1">
      <c r="A36" s="3391" t="s">
        <v>1757</v>
      </c>
      <c r="B36" s="1923" t="s">
        <v>1758</v>
      </c>
      <c r="C36" s="150"/>
      <c r="D36" s="1924"/>
      <c r="E36" s="1925"/>
      <c r="F36" s="1926"/>
      <c r="G36" s="134"/>
      <c r="H36" s="134"/>
      <c r="I36" s="134"/>
    </row>
    <row r="37" spans="1:15" ht="15.75" thickBot="1">
      <c r="A37" s="3392"/>
      <c r="B37" s="1810" t="s">
        <v>1759</v>
      </c>
      <c r="C37" s="152"/>
      <c r="D37" s="1253"/>
      <c r="E37" s="1253"/>
      <c r="F37" s="1926"/>
      <c r="G37" s="134"/>
      <c r="H37" s="134"/>
      <c r="I37" s="134"/>
    </row>
    <row r="38" spans="1:15" ht="15.75" thickBot="1">
      <c r="A38" s="3393"/>
      <c r="B38" s="1927" t="s">
        <v>1760</v>
      </c>
      <c r="C38" s="683"/>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68" t="s">
        <v>1771</v>
      </c>
      <c r="B45" s="3369"/>
      <c r="C45" s="3370"/>
      <c r="D45" s="160">
        <f ca="1">ROUND(H101*F45,0)</f>
        <v>50123</v>
      </c>
      <c r="E45" s="161" t="s">
        <v>1772</v>
      </c>
      <c r="F45" s="162">
        <v>1</v>
      </c>
      <c r="G45" s="163" t="s">
        <v>1773</v>
      </c>
      <c r="H45" s="134"/>
      <c r="I45" s="134"/>
      <c r="J45" s="3449" t="s">
        <v>1774</v>
      </c>
      <c r="K45" s="3449"/>
      <c r="L45" s="3449"/>
      <c r="M45" s="3449"/>
      <c r="N45" s="3449"/>
      <c r="O45" s="3449"/>
    </row>
    <row r="46" spans="1:15" ht="14.25" customHeight="1">
      <c r="A46" s="3365" t="s">
        <v>1775</v>
      </c>
      <c r="B46" s="3366"/>
      <c r="C46" s="3366"/>
      <c r="D46" s="3366"/>
      <c r="E46" s="3366"/>
      <c r="F46" s="3366"/>
      <c r="G46" s="3367"/>
      <c r="H46" s="1942"/>
      <c r="I46" s="164"/>
      <c r="J46" s="2698">
        <v>1</v>
      </c>
      <c r="K46" s="3430" t="s">
        <v>1776</v>
      </c>
      <c r="L46" s="3430"/>
      <c r="M46" s="3450"/>
      <c r="N46" s="3450"/>
      <c r="O46" s="3450"/>
    </row>
    <row r="47" spans="1:15" ht="12" customHeight="1">
      <c r="A47" s="165" t="s">
        <v>1777</v>
      </c>
      <c r="B47" s="166"/>
      <c r="C47" s="167"/>
      <c r="D47" s="1199" t="s">
        <v>1778</v>
      </c>
      <c r="E47" s="308" t="s">
        <v>1779</v>
      </c>
      <c r="F47" s="168" t="s">
        <v>1780</v>
      </c>
      <c r="G47" s="2721" t="s">
        <v>1781</v>
      </c>
      <c r="H47" s="2722"/>
      <c r="I47" s="164"/>
      <c r="J47" s="2698">
        <v>2</v>
      </c>
      <c r="K47" s="3430" t="s">
        <v>1782</v>
      </c>
      <c r="L47" s="3430"/>
      <c r="M47" s="3451">
        <f>'数据-取费表'!B2</f>
        <v>44818</v>
      </c>
      <c r="N47" s="3451"/>
      <c r="O47" s="3451"/>
    </row>
    <row r="48" spans="1:15" ht="25.5">
      <c r="A48" s="3396" t="s">
        <v>1783</v>
      </c>
      <c r="B48" s="3379"/>
      <c r="C48" s="3379"/>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430" t="s">
        <v>1785</v>
      </c>
      <c r="L48" s="3430"/>
      <c r="M48" s="3452">
        <f ca="1">H101</f>
        <v>50123</v>
      </c>
      <c r="N48" s="3452"/>
      <c r="O48" s="3452"/>
    </row>
    <row r="49" spans="1:35" ht="25.5" customHeight="1">
      <c r="A49" s="2506" t="s">
        <v>1786</v>
      </c>
      <c r="B49" s="3363" t="s">
        <v>1787</v>
      </c>
      <c r="C49" s="3363"/>
      <c r="D49" s="1725">
        <v>0</v>
      </c>
      <c r="E49" s="330" t="s">
        <v>1788</v>
      </c>
      <c r="F49" s="2599" t="s">
        <v>34</v>
      </c>
      <c r="G49" s="3436"/>
      <c r="H49" s="2478" t="s">
        <v>2635</v>
      </c>
      <c r="I49" s="2479"/>
      <c r="J49" s="2698">
        <v>4</v>
      </c>
      <c r="K49" s="3430" t="str">
        <f>IF(项目基本情况!E8="房地产抵押价值","房地产抵押价值","抵押担保权已注销时的房地产抵押价值")</f>
        <v>抵押担保权已注销时的房地产抵押价值</v>
      </c>
      <c r="L49" s="3430"/>
      <c r="M49" s="3452" t="str">
        <f>IF(项目基本情况!E8="房地产抵押价值",H107,H109)</f>
        <v>——</v>
      </c>
      <c r="N49" s="3452"/>
      <c r="O49" s="3452"/>
    </row>
    <row r="50" spans="1:35" ht="25.5" customHeight="1">
      <c r="A50" s="2726"/>
      <c r="B50" s="3363" t="s">
        <v>1789</v>
      </c>
      <c r="C50" s="3363"/>
      <c r="D50" s="2727"/>
      <c r="E50" s="338"/>
      <c r="F50" s="2599"/>
      <c r="G50" s="3437"/>
      <c r="H50" s="2480" t="s">
        <v>2636</v>
      </c>
      <c r="I50" s="2479"/>
      <c r="J50" s="3449" t="s">
        <v>1790</v>
      </c>
      <c r="K50" s="3449"/>
      <c r="L50" s="3449"/>
      <c r="M50" s="3449"/>
      <c r="N50" s="3449"/>
      <c r="O50" s="3449"/>
    </row>
    <row r="51" spans="1:35" ht="20.45" customHeight="1">
      <c r="A51" s="2728"/>
      <c r="B51" s="3363" t="s">
        <v>1791</v>
      </c>
      <c r="C51" s="3363"/>
      <c r="D51" s="1199"/>
      <c r="E51" s="333"/>
      <c r="F51" s="2599"/>
      <c r="G51" s="3438"/>
      <c r="H51" s="2480" t="s">
        <v>2637</v>
      </c>
      <c r="I51" s="2479"/>
      <c r="J51" s="2699" t="s">
        <v>1792</v>
      </c>
      <c r="K51" s="3430" t="s">
        <v>1793</v>
      </c>
      <c r="L51" s="3430"/>
      <c r="M51" s="2699" t="s">
        <v>1794</v>
      </c>
      <c r="N51" s="2699" t="s">
        <v>1795</v>
      </c>
      <c r="O51" s="2699" t="s">
        <v>1796</v>
      </c>
    </row>
    <row r="52" spans="1:35" ht="24" customHeight="1">
      <c r="A52" s="2508" t="s">
        <v>1797</v>
      </c>
      <c r="B52" s="3363" t="s">
        <v>1798</v>
      </c>
      <c r="C52" s="3363"/>
      <c r="D52" s="1199">
        <f ca="1">ROUND(D45*'数据-取费表'!B41/(1+'数据-取费表'!C42),0)</f>
        <v>2673</v>
      </c>
      <c r="E52" s="2507" t="s">
        <v>1799</v>
      </c>
      <c r="F52" s="2729">
        <f>'数据-取费表'!B41</f>
        <v>5.6000000000000001E-2</v>
      </c>
      <c r="G52" s="2730"/>
      <c r="H52" s="2719"/>
      <c r="I52" s="1943"/>
      <c r="J52" s="2698">
        <v>1</v>
      </c>
      <c r="K52" s="3431" t="s">
        <v>1800</v>
      </c>
      <c r="L52" s="3431"/>
      <c r="M52" s="2700" t="b">
        <f>D48</f>
        <v>0</v>
      </c>
      <c r="N52" s="2698" t="str">
        <f>E48</f>
        <v>销售额×税（费）率</v>
      </c>
      <c r="O52" s="2701">
        <f>F48</f>
        <v>5.6000000000000001E-2</v>
      </c>
    </row>
    <row r="53" spans="1:35" ht="12" customHeight="1">
      <c r="A53" s="2508" t="s">
        <v>1801</v>
      </c>
      <c r="B53" s="3389" t="s">
        <v>2792</v>
      </c>
      <c r="C53" s="3390"/>
      <c r="D53" s="1199">
        <f ca="1">ROUND(D45*'数据-取费表'!B41/(1+'数据-取费表'!C42),0)</f>
        <v>2673</v>
      </c>
      <c r="E53" s="2507" t="s">
        <v>1799</v>
      </c>
      <c r="F53" s="2729">
        <f>'数据-取费表'!B41</f>
        <v>5.6000000000000001E-2</v>
      </c>
      <c r="G53" s="2730"/>
      <c r="H53" s="2719"/>
      <c r="I53" s="1943"/>
      <c r="J53" s="2698">
        <v>2</v>
      </c>
      <c r="K53" s="3431" t="s">
        <v>1802</v>
      </c>
      <c r="L53" s="3431"/>
      <c r="M53" s="2700">
        <f t="shared" ref="M53:O54" ca="1" si="0">D55</f>
        <v>25</v>
      </c>
      <c r="N53" s="2698" t="str">
        <f t="shared" si="0"/>
        <v>销售额×税（费）率</v>
      </c>
      <c r="O53" s="2701" t="str">
        <f t="shared" si="0"/>
        <v>免征</v>
      </c>
    </row>
    <row r="54" spans="1:35" ht="12" customHeight="1">
      <c r="A54" s="2508" t="s">
        <v>1803</v>
      </c>
      <c r="B54" s="3389" t="s">
        <v>2793</v>
      </c>
      <c r="C54" s="3390"/>
      <c r="D54" s="1199">
        <f ca="1">C68</f>
        <v>2673</v>
      </c>
      <c r="E54" s="333" t="s">
        <v>1804</v>
      </c>
      <c r="F54" s="2729">
        <f>'数据-取费表'!B41</f>
        <v>5.6000000000000001E-2</v>
      </c>
      <c r="G54" s="2730"/>
      <c r="H54" s="2731"/>
      <c r="I54" s="1943"/>
      <c r="J54" s="2698">
        <v>3</v>
      </c>
      <c r="K54" s="3431" t="s">
        <v>1805</v>
      </c>
      <c r="L54" s="3431"/>
      <c r="M54" s="2700">
        <f t="shared" ca="1" si="0"/>
        <v>28370</v>
      </c>
      <c r="N54" s="2698" t="str">
        <f t="shared" si="0"/>
        <v>增值额×税（费）率</v>
      </c>
      <c r="O54" s="2702" t="str">
        <f t="shared" si="0"/>
        <v>免征</v>
      </c>
    </row>
    <row r="55" spans="1:35" ht="24" customHeight="1">
      <c r="A55" s="3378" t="s">
        <v>1806</v>
      </c>
      <c r="B55" s="3379"/>
      <c r="C55" s="3379"/>
      <c r="D55" s="2497">
        <f ca="1">IF(H55="个人住宅",0,ROUND(D45*I55,0))</f>
        <v>25</v>
      </c>
      <c r="E55" s="2507" t="s">
        <v>1807</v>
      </c>
      <c r="F55" s="2729" t="str">
        <f>IF(H55="正常",I55,"免征")</f>
        <v>免征</v>
      </c>
      <c r="G55" s="2730"/>
      <c r="H55" s="2725"/>
      <c r="I55" s="170">
        <f>'数据-取费表'!B49</f>
        <v>5.0000000000000001E-4</v>
      </c>
      <c r="J55" s="2698">
        <f>IF(H59="非个人房产","",4)</f>
        <v>4</v>
      </c>
      <c r="K55" s="3431" t="str">
        <f>IF(H59="非个人房产","——","个人所得税")</f>
        <v>个人所得税</v>
      </c>
      <c r="L55" s="3431"/>
      <c r="M55" s="2703">
        <f ca="1">D59</f>
        <v>477</v>
      </c>
      <c r="N55" s="2178" t="str">
        <f>E59</f>
        <v>差额计税</v>
      </c>
      <c r="O55" s="2704">
        <f>F59</f>
        <v>0.01</v>
      </c>
    </row>
    <row r="56" spans="1:35" ht="24.75">
      <c r="A56" s="3378" t="s">
        <v>1808</v>
      </c>
      <c r="B56" s="3379"/>
      <c r="C56" s="3379"/>
      <c r="D56" s="2497">
        <f ca="1">IF(H56="个人住宅",D57,D58)</f>
        <v>28370</v>
      </c>
      <c r="E56" s="2507" t="s">
        <v>1809</v>
      </c>
      <c r="F56" s="2729" t="str">
        <f>IF(H56="正常",F58,"免征")</f>
        <v>免征</v>
      </c>
      <c r="G56" s="2732" t="s">
        <v>1810</v>
      </c>
      <c r="H56" s="2733"/>
      <c r="I56" s="1944"/>
      <c r="J56" s="2698" t="str">
        <f>IF(项目基本情况!K6="上海银行",IF(J55="",4,J55+1),"")</f>
        <v/>
      </c>
      <c r="K56" s="3454" t="str">
        <f>IF(项目基本情况!K6="上海银行","其他处置费用","")</f>
        <v/>
      </c>
      <c r="L56" s="3455"/>
      <c r="M56" s="2700" t="str">
        <f>IF(项目基本情况!K6="上海银行",M69,"")</f>
        <v/>
      </c>
      <c r="N56" s="3454" t="str">
        <f>IF(项目基本情况!K6="上海银行","包含处置中涉及的律师、诉讼、拍卖、评估等费用","")</f>
        <v/>
      </c>
      <c r="O56" s="3457"/>
    </row>
    <row r="57" spans="1:35" ht="12.75">
      <c r="A57" s="2508" t="s">
        <v>1786</v>
      </c>
      <c r="B57" s="3389" t="s">
        <v>1811</v>
      </c>
      <c r="C57" s="3390"/>
      <c r="D57" s="1725">
        <v>0</v>
      </c>
      <c r="E57" s="330" t="s">
        <v>1788</v>
      </c>
      <c r="F57" s="308"/>
      <c r="G57" s="2730"/>
      <c r="H57" s="2734"/>
      <c r="I57" s="1944"/>
      <c r="J57" s="3431">
        <f>IF(AND(J55="",J56=""),4,IF(项目基本情况!K6="上海银行",结果表!J56+1,结果表!J55+1))</f>
        <v>5</v>
      </c>
      <c r="K57" s="3431" t="s">
        <v>1812</v>
      </c>
      <c r="L57" s="2705" t="s">
        <v>1813</v>
      </c>
      <c r="M57" s="2706"/>
      <c r="N57" s="2707">
        <f ca="1">SUMIF(M52:M56,"&lt;9e307")</f>
        <v>28872</v>
      </c>
      <c r="O57" s="2708"/>
      <c r="P57" s="2868" t="e">
        <f ca="1">N57/M49</f>
        <v>#VALUE!</v>
      </c>
    </row>
    <row r="58" spans="1:35" ht="24.75">
      <c r="A58" s="2508" t="s">
        <v>1797</v>
      </c>
      <c r="B58" s="3389" t="s">
        <v>1814</v>
      </c>
      <c r="C58" s="3363"/>
      <c r="D58" s="2497">
        <f ca="1">IF(H58="转让取得",C81,C97)</f>
        <v>28370</v>
      </c>
      <c r="E58" s="2507" t="s">
        <v>1809</v>
      </c>
      <c r="F58" s="308" t="s">
        <v>34</v>
      </c>
      <c r="G58" s="2730"/>
      <c r="H58" s="2733"/>
      <c r="I58" s="1944"/>
      <c r="J58" s="3431"/>
      <c r="K58" s="3431"/>
      <c r="L58" s="2705" t="s">
        <v>1815</v>
      </c>
      <c r="M58" s="2709"/>
      <c r="N58" s="2710" t="str">
        <f ca="1">NUMBERSTRING(INT(N57*10000),2)&amp;"元整"</f>
        <v>贰亿捌仟捌佰柒拾贰万元整</v>
      </c>
      <c r="O58" s="2711"/>
    </row>
    <row r="59" spans="1:35" ht="24.75" thickBot="1">
      <c r="A59" s="3434" t="s">
        <v>1816</v>
      </c>
      <c r="B59" s="3435"/>
      <c r="C59" s="3435"/>
      <c r="D59" s="2735">
        <f ca="1">IF(H59="非个人房产","——",IF(H59="个人住宅（满五唯一有凭证）",0,IF(H59="个人其他（无凭证）",ROUND(D45*F59,0),ROUND(C67*F59,0))))</f>
        <v>477</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432">
        <f>J57+1</f>
        <v>6</v>
      </c>
      <c r="K59" s="3431" t="s">
        <v>1817</v>
      </c>
      <c r="L59" s="2698" t="s">
        <v>1813</v>
      </c>
      <c r="M59" s="2712"/>
      <c r="N59" s="2713" t="e">
        <f ca="1">M49-N57</f>
        <v>#VALUE!</v>
      </c>
      <c r="O59" s="2714"/>
    </row>
    <row r="60" spans="1:35" ht="12" customHeight="1">
      <c r="A60" s="1945"/>
      <c r="B60" s="1883"/>
      <c r="C60" s="1883"/>
      <c r="D60" s="1883"/>
      <c r="E60" s="1713"/>
      <c r="F60" s="1944"/>
      <c r="G60" s="1944"/>
      <c r="H60" s="1946"/>
      <c r="I60" s="134"/>
      <c r="J60" s="3433"/>
      <c r="K60" s="3431"/>
      <c r="L60" s="2705" t="s">
        <v>1815</v>
      </c>
      <c r="M60" s="2709"/>
      <c r="N60" s="2710" t="e">
        <f ca="1">NUMBERSTRING(INT(N59*10000),2)&amp;"元整"</f>
        <v>#VALUE!</v>
      </c>
      <c r="O60" s="2711"/>
    </row>
    <row r="61" spans="1:35" ht="13.5" thickBot="1">
      <c r="A61" s="3376" t="s">
        <v>1818</v>
      </c>
      <c r="B61" s="3376"/>
      <c r="C61" s="3376"/>
      <c r="D61" s="3376"/>
      <c r="E61" s="3376"/>
      <c r="F61" s="1944"/>
      <c r="G61" s="1944"/>
      <c r="H61" s="1946"/>
      <c r="I61" s="134"/>
      <c r="J61" s="2698">
        <f>J59+1</f>
        <v>7</v>
      </c>
      <c r="K61" s="3431" t="s">
        <v>1819</v>
      </c>
      <c r="L61" s="3431"/>
      <c r="M61" s="2715"/>
      <c r="N61" s="2716" t="e">
        <f ca="1">ROUND(N59*10000/'数据-汇总表'!E3,0)</f>
        <v>#VALUE!</v>
      </c>
      <c r="O61" s="2717"/>
    </row>
    <row r="62" spans="1:35" ht="12.75">
      <c r="A62" s="3394" t="s">
        <v>1820</v>
      </c>
      <c r="B62" s="3395"/>
      <c r="C62" s="2159"/>
      <c r="D62" s="2159" t="s">
        <v>1821</v>
      </c>
      <c r="E62" s="171" t="s">
        <v>1822</v>
      </c>
      <c r="F62" s="1944"/>
      <c r="G62" s="1944"/>
      <c r="H62" s="1946"/>
      <c r="I62" s="134"/>
    </row>
    <row r="63" spans="1:35" ht="12.75">
      <c r="A63" s="178" t="s">
        <v>594</v>
      </c>
      <c r="B63" s="172" t="s">
        <v>1823</v>
      </c>
      <c r="C63" s="2739">
        <f ca="1">ROUND((C64+C65)/(1+'数据-取费表'!C42),0)</f>
        <v>47736</v>
      </c>
      <c r="D63" s="172"/>
      <c r="E63" s="173"/>
      <c r="F63" s="1944"/>
      <c r="G63" s="1944"/>
      <c r="H63" s="1946"/>
      <c r="I63" s="134"/>
      <c r="J63" s="3456" t="s">
        <v>1824</v>
      </c>
      <c r="K63" s="1452" t="s">
        <v>1825</v>
      </c>
      <c r="L63" s="1452" t="e">
        <f>IF(M49&gt;10000,M49*0.5%,IF(AND(M49&gt;1000,M49&lt;=10000),M49*1%,IF(AND(M49&gt;100,M49&lt;=1000),M49*3%,IF(AND(M49&gt;10,M49&lt;=100),M49*5%,M49*8%))))</f>
        <v>#VALUE!</v>
      </c>
      <c r="M63" s="308" t="e">
        <f>ROUND(L63,1)</f>
        <v>#VALUE!</v>
      </c>
      <c r="N63" s="2718"/>
      <c r="Z63" s="1888"/>
      <c r="AI63" s="1889"/>
    </row>
    <row r="64" spans="1:35" ht="14.25" customHeight="1">
      <c r="A64" s="174" t="s">
        <v>589</v>
      </c>
      <c r="B64" s="175" t="s">
        <v>1826</v>
      </c>
      <c r="C64" s="2740">
        <f ca="1">D45</f>
        <v>50123</v>
      </c>
      <c r="D64" s="175" t="s">
        <v>32</v>
      </c>
      <c r="E64" s="177"/>
      <c r="F64" s="1944"/>
      <c r="G64" s="1944"/>
      <c r="H64" s="1946"/>
      <c r="I64" s="134"/>
      <c r="J64" s="3456"/>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9" t="s">
        <v>1828</v>
      </c>
      <c r="Z64" s="1888"/>
      <c r="AI64" s="1889"/>
    </row>
    <row r="65" spans="1:35" ht="14.25" customHeight="1">
      <c r="A65" s="174" t="s">
        <v>590</v>
      </c>
      <c r="B65" s="175" t="s">
        <v>1829</v>
      </c>
      <c r="C65" s="2741"/>
      <c r="D65" s="175"/>
      <c r="E65" s="177"/>
      <c r="F65" s="1944"/>
      <c r="G65" s="1944"/>
      <c r="H65" s="1946"/>
      <c r="I65" s="134"/>
      <c r="J65" s="3456"/>
      <c r="K65" s="1452" t="s">
        <v>1830</v>
      </c>
      <c r="L65" s="1452" t="e">
        <f>IF(M49&gt;1000,M49*0.1%,IF(AND(M49&gt;500,M49&lt;=1000),M49*0.5%,IF(AND(M49&gt;50,M49&lt;=500),M49*1%,IF(AND(M49&gt;1,M49&lt;=50),M49*1.5%))))</f>
        <v>#VALUE!</v>
      </c>
      <c r="M65" s="308" t="e">
        <f t="shared" si="1"/>
        <v>#VALUE!</v>
      </c>
      <c r="N65" s="2719" t="s">
        <v>1828</v>
      </c>
      <c r="Z65" s="1888"/>
      <c r="AI65" s="1889"/>
    </row>
    <row r="66" spans="1:35" ht="14.25" customHeight="1">
      <c r="A66" s="178" t="s">
        <v>591</v>
      </c>
      <c r="B66" s="179" t="s">
        <v>1831</v>
      </c>
      <c r="C66" s="2742"/>
      <c r="D66" s="179" t="s">
        <v>32</v>
      </c>
      <c r="E66" s="1459" t="s">
        <v>1096</v>
      </c>
      <c r="F66" s="1944"/>
      <c r="G66" s="1944"/>
      <c r="H66" s="1946"/>
      <c r="I66" s="134"/>
      <c r="J66" s="3456"/>
      <c r="K66" s="1452" t="s">
        <v>1832</v>
      </c>
      <c r="L66" s="1452" t="e">
        <f>M49*0.5%</f>
        <v>#VALUE!</v>
      </c>
      <c r="M66" s="308" t="e">
        <f>IF(L66&gt;0.5,0.5,ROUND(L66,0))</f>
        <v>#VALUE!</v>
      </c>
      <c r="N66" s="2719" t="s">
        <v>1833</v>
      </c>
      <c r="Z66" s="1888"/>
      <c r="AI66" s="1889"/>
    </row>
    <row r="67" spans="1:35" ht="14.25" customHeight="1">
      <c r="A67" s="178" t="s">
        <v>592</v>
      </c>
      <c r="B67" s="179" t="s">
        <v>1834</v>
      </c>
      <c r="C67" s="2743">
        <f ca="1">C63-C66</f>
        <v>47736</v>
      </c>
      <c r="D67" s="175" t="s">
        <v>32</v>
      </c>
      <c r="E67" s="177"/>
      <c r="F67" s="1944"/>
      <c r="G67" s="1944"/>
      <c r="H67" s="1946"/>
      <c r="I67" s="134"/>
      <c r="J67" s="3456"/>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8"/>
      <c r="Z67" s="1888"/>
      <c r="AI67" s="1889"/>
    </row>
    <row r="68" spans="1:35" ht="14.25" customHeight="1" thickBot="1">
      <c r="A68" s="181" t="s">
        <v>593</v>
      </c>
      <c r="B68" s="182" t="s">
        <v>1836</v>
      </c>
      <c r="C68" s="2744">
        <f ca="1">IF(C67&lt;=0,0,ROUND(C67*D68,0))</f>
        <v>2673</v>
      </c>
      <c r="D68" s="2745">
        <f>'数据-取费表'!B41</f>
        <v>5.6000000000000001E-2</v>
      </c>
      <c r="E68" s="184"/>
      <c r="F68" s="1944"/>
      <c r="G68" s="1944"/>
      <c r="H68" s="1946"/>
      <c r="I68" s="134"/>
      <c r="J68" s="3456"/>
      <c r="K68" s="1452" t="s">
        <v>1837</v>
      </c>
      <c r="L68" s="1452" t="e">
        <f>IF(M49&gt;10000,M49*0.5%,IF(AND(M49&gt;5000,M49&lt;=10000),M49*1%,IF(AND(M49&gt;1000,M49&lt;=5000),M49*2%,IF(AND(M49&gt;200,M49&lt;=1000),M49*3%,M49*5%))))</f>
        <v>#VALUE!</v>
      </c>
      <c r="M68" s="308" t="e">
        <f>ROUND(L68,1)</f>
        <v>#VALUE!</v>
      </c>
      <c r="N68" s="2718"/>
      <c r="Z68" s="1888"/>
      <c r="AI68" s="1889"/>
    </row>
    <row r="69" spans="1:35" s="1908" customFormat="1" ht="16.5" customHeight="1">
      <c r="A69" s="1947"/>
      <c r="B69" s="1948"/>
      <c r="C69" s="1949"/>
      <c r="D69" s="1950"/>
      <c r="E69" s="1951"/>
      <c r="F69" s="1713"/>
      <c r="G69" s="1713"/>
      <c r="H69" s="1712"/>
      <c r="I69" s="1883"/>
      <c r="J69" s="3456"/>
      <c r="K69" s="1452" t="s">
        <v>1838</v>
      </c>
      <c r="L69" s="1452"/>
      <c r="M69" s="308" t="e">
        <f>ROUND(SUM(M63:M68),0)</f>
        <v>#VALUE!</v>
      </c>
      <c r="N69" s="2720"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5" t="s">
        <v>1839</v>
      </c>
      <c r="B70" s="3416"/>
      <c r="C70" s="3416"/>
      <c r="D70" s="3416"/>
      <c r="E70" s="3416"/>
      <c r="F70" s="3416"/>
      <c r="G70" s="3416"/>
      <c r="H70" s="3416"/>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4" t="s">
        <v>1820</v>
      </c>
      <c r="B71" s="3395"/>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f ca="1">ROUND(D45/(1+'数据-取费表'!C42),0)</f>
        <v>47736</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f ca="1">C74+C78</f>
        <v>286</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389" t="s">
        <v>1847</v>
      </c>
      <c r="F76" s="3363"/>
      <c r="G76" s="3363"/>
      <c r="H76" s="341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f ca="1">ROUND(D45*D78/(1+'数据-取费表'!C42),0)</f>
        <v>286</v>
      </c>
      <c r="D78" s="2752">
        <f>'数据-取费表'!B43</f>
        <v>6.000000000000001E-3</v>
      </c>
      <c r="E78" s="3373" t="s">
        <v>1851</v>
      </c>
      <c r="F78" s="3374"/>
      <c r="G78" s="3374"/>
      <c r="H78" s="3383"/>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f ca="1">C72-C73</f>
        <v>47450</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f ca="1">IF(C79&lt;=0,0,C79/C73)</f>
        <v>165.90909090909091</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f ca="1">ROUND(IF(C79&lt;=0,0,IF(C80&gt;=200%,C79*60%-C73*35%,IF(C80&gt;=100%,C79*50%-C73*15%,IF(C80&gt;=50%,C79*40%-C73*5%,IF(C80&lt;50%,C79*30%,0))))),0)</f>
        <v>28370</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5" t="s">
        <v>1855</v>
      </c>
      <c r="B83" s="3416"/>
      <c r="C83" s="3416"/>
      <c r="D83" s="3416"/>
      <c r="E83" s="3416"/>
      <c r="F83" s="3416"/>
      <c r="G83" s="3416"/>
      <c r="H83" s="341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4" t="s">
        <v>1820</v>
      </c>
      <c r="B84" s="3395"/>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f ca="1">ROUND(D45/(1+'数据-取费表'!C42),0)</f>
        <v>47736</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f ca="1">IF(H88="仅含出让金",C87+C90+C91+C92+C93+C94,C87+C91+C92+C93+C94)</f>
        <v>286</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458" t="s">
        <v>2630</v>
      </c>
      <c r="H90" s="3459"/>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73" t="s">
        <v>1864</v>
      </c>
      <c r="F91" s="3374"/>
      <c r="G91" s="3374"/>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73" t="s">
        <v>1867</v>
      </c>
      <c r="F92" s="3374"/>
      <c r="G92" s="3374"/>
      <c r="H92" s="3383"/>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f ca="1">ROUND(D45*D93/(1+'数据-取费表'!C42),0)</f>
        <v>286</v>
      </c>
      <c r="D93" s="2752">
        <f>'数据-取费表'!B43</f>
        <v>6.000000000000001E-3</v>
      </c>
      <c r="E93" s="3373" t="s">
        <v>1851</v>
      </c>
      <c r="F93" s="3374"/>
      <c r="G93" s="3374"/>
      <c r="H93" s="3383"/>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384" t="s">
        <v>1871</v>
      </c>
      <c r="F94" s="3385"/>
      <c r="G94" s="3385"/>
      <c r="H94" s="3386"/>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f ca="1">ROUND(C85-C86,0)</f>
        <v>47450</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f ca="1">IF(C95&lt;=0,0,C95/C86)</f>
        <v>165.90909090909091</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f ca="1">ROUND(IF(C95&lt;=0,0,IF(C96&gt;=200%,C95*60%-C86*35%,IF(C96&gt;=100%,C95*50%-C86*15%,IF(C96&gt;=50%,C95*40%-C86*5%,IF(C96&lt;50%,C95*30%,0))))),0)</f>
        <v>28370</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57" t="s">
        <v>1873</v>
      </c>
      <c r="B100" s="3358"/>
      <c r="C100" s="3358"/>
      <c r="D100" s="3375"/>
      <c r="E100" s="3358" t="s">
        <v>1874</v>
      </c>
      <c r="F100" s="3358"/>
      <c r="G100" s="3358"/>
      <c r="H100" s="3375"/>
      <c r="I100" s="134"/>
    </row>
    <row r="101" spans="1:35" ht="18.75" customHeight="1">
      <c r="A101" s="3439" t="s">
        <v>1875</v>
      </c>
      <c r="B101" s="3440"/>
      <c r="C101" s="2760" t="str">
        <f>C4</f>
        <v>成本法</v>
      </c>
      <c r="D101" s="2761" t="str">
        <f>D4</f>
        <v>收益法</v>
      </c>
      <c r="E101" s="3453" t="s">
        <v>1876</v>
      </c>
      <c r="F101" s="3407"/>
      <c r="G101" s="1963" t="s">
        <v>1877</v>
      </c>
      <c r="H101" s="2770">
        <f ca="1">H118</f>
        <v>50123</v>
      </c>
      <c r="I101" s="134"/>
    </row>
    <row r="102" spans="1:35" ht="18.75" customHeight="1">
      <c r="A102" s="3409" t="s">
        <v>1878</v>
      </c>
      <c r="B102" s="2759" t="s">
        <v>1877</v>
      </c>
      <c r="C102" s="2760">
        <f ca="1">C19</f>
        <v>57179</v>
      </c>
      <c r="D102" s="2761">
        <f ca="1">D19</f>
        <v>33660</v>
      </c>
      <c r="E102" s="3453"/>
      <c r="F102" s="3407"/>
      <c r="G102" s="1963" t="s">
        <v>1879</v>
      </c>
      <c r="H102" s="2730">
        <f ca="1">I118</f>
        <v>21260</v>
      </c>
      <c r="I102" s="134"/>
    </row>
    <row r="103" spans="1:35" ht="42.75" customHeight="1">
      <c r="A103" s="3409"/>
      <c r="B103" s="2759" t="s">
        <v>1879</v>
      </c>
      <c r="C103" s="2762">
        <f ca="1">C20</f>
        <v>24253</v>
      </c>
      <c r="D103" s="2763">
        <f ca="1">D20</f>
        <v>14277</v>
      </c>
      <c r="E103" s="3447" t="s">
        <v>1880</v>
      </c>
      <c r="F103" s="3448"/>
      <c r="G103" s="1964" t="s">
        <v>1881</v>
      </c>
      <c r="H103" s="2770">
        <f>IF(D36="正常操作",H104+H105+H106,H105+H106)</f>
        <v>0</v>
      </c>
      <c r="I103" s="134"/>
    </row>
    <row r="104" spans="1:35" ht="18.75" customHeight="1">
      <c r="A104" s="3409" t="s">
        <v>1882</v>
      </c>
      <c r="B104" s="2764" t="s">
        <v>1877</v>
      </c>
      <c r="C104" s="2765">
        <f ca="1">H118</f>
        <v>50123</v>
      </c>
      <c r="D104" s="2766"/>
      <c r="E104" s="1810" t="s">
        <v>1883</v>
      </c>
      <c r="F104" s="1801"/>
      <c r="G104" s="1964" t="s">
        <v>1881</v>
      </c>
      <c r="H104" s="2771">
        <f>IF(D36="同一抵押权人同一抵押物续贷",C36&amp;"（续贷，未扣减，详见特别提示）",C36)</f>
        <v>0</v>
      </c>
      <c r="I104" s="134"/>
    </row>
    <row r="105" spans="1:35" ht="18.75" customHeight="1" thickBot="1">
      <c r="A105" s="3410"/>
      <c r="B105" s="2767" t="s">
        <v>1879</v>
      </c>
      <c r="C105" s="2768">
        <f ca="1">I118</f>
        <v>21260</v>
      </c>
      <c r="D105" s="2769"/>
      <c r="E105" s="1810" t="s">
        <v>1884</v>
      </c>
      <c r="F105" s="1801"/>
      <c r="G105" s="1964" t="s">
        <v>1881</v>
      </c>
      <c r="H105" s="2772">
        <f>C37</f>
        <v>0</v>
      </c>
      <c r="I105" s="134"/>
    </row>
    <row r="106" spans="1:35" ht="18.75" customHeight="1">
      <c r="A106" s="1883" t="s">
        <v>1885</v>
      </c>
      <c r="B106" s="1883"/>
      <c r="C106" s="1883"/>
      <c r="D106" s="1883"/>
      <c r="E106" s="1965" t="s">
        <v>1886</v>
      </c>
      <c r="F106" s="1801"/>
      <c r="G106" s="1964" t="s">
        <v>1881</v>
      </c>
      <c r="H106" s="2772">
        <f>C38</f>
        <v>0</v>
      </c>
      <c r="I106" s="134"/>
    </row>
    <row r="107" spans="1:35" ht="18.75" customHeight="1">
      <c r="A107" s="134"/>
      <c r="B107" s="134"/>
      <c r="C107" s="134"/>
      <c r="D107" s="134"/>
      <c r="E107" s="3406" t="str">
        <f>IF(项目基本情况!E8="已注销","——","3.房地产抵押价值")</f>
        <v>3.房地产抵押价值</v>
      </c>
      <c r="F107" s="3407"/>
      <c r="G107" s="1963" t="s">
        <v>1877</v>
      </c>
      <c r="H107" s="2770">
        <f ca="1">IF(E107="——","——",H101-H103)</f>
        <v>50123</v>
      </c>
      <c r="I107" s="134"/>
    </row>
    <row r="108" spans="1:35" ht="18.75" customHeight="1">
      <c r="A108" s="134"/>
      <c r="B108" s="134"/>
      <c r="C108" s="134"/>
      <c r="D108" s="134"/>
      <c r="E108" s="3406"/>
      <c r="F108" s="3407"/>
      <c r="G108" s="1963" t="s">
        <v>1879</v>
      </c>
      <c r="H108" s="2730">
        <f ca="1">ROUND(H107*10000/'数据-汇总表'!E3,0)</f>
        <v>21260</v>
      </c>
      <c r="I108" s="134"/>
    </row>
    <row r="109" spans="1:35" ht="18.75" customHeight="1">
      <c r="A109" s="134"/>
      <c r="B109" s="134"/>
      <c r="C109" s="134"/>
      <c r="D109" s="134"/>
      <c r="E109" s="3406" t="str">
        <f>IF(项目基本情况!E8="已注销及未注销","4.抵押担保权已注销时的房地产抵押价值",IF(项目基本情况!E8="已注销","3.抵押担保权已注销时的房地产抵押价值","——"))</f>
        <v>——</v>
      </c>
      <c r="F109" s="3407"/>
      <c r="G109" s="1963" t="s">
        <v>1877</v>
      </c>
      <c r="H109" s="2773" t="str">
        <f>IF(E109="——","——",H101-H105-H106)</f>
        <v>——</v>
      </c>
      <c r="I109" s="134"/>
    </row>
    <row r="110" spans="1:35" ht="18.75" customHeight="1">
      <c r="A110" s="134"/>
      <c r="B110" s="134"/>
      <c r="C110" s="134"/>
      <c r="D110" s="134"/>
      <c r="E110" s="3406"/>
      <c r="F110" s="3407"/>
      <c r="G110" s="1963" t="s">
        <v>1879</v>
      </c>
      <c r="H110" s="2730" t="str">
        <f>IF(H109="——","——",ROUND(H109*10000/'数据-汇总表'!E3,0))</f>
        <v>——</v>
      </c>
      <c r="I110" s="134"/>
    </row>
    <row r="111" spans="1:35" ht="18.75" customHeight="1">
      <c r="A111" s="134"/>
      <c r="B111" s="134"/>
      <c r="C111" s="134"/>
      <c r="D111" s="134"/>
      <c r="E111" s="3441" t="str">
        <f>IF(项目基本情况!E9="抵押净值",IF(OR(项目基本情况!E8="已注销",项目基本情况!E8="房地产抵押价值"),"4.抵押净值","5.抵押净值"),"——")</f>
        <v>——</v>
      </c>
      <c r="F111" s="3408"/>
      <c r="G111" s="1963" t="s">
        <v>1877</v>
      </c>
      <c r="H111" s="2770" t="str">
        <f>IF(E111="——","——",N59)</f>
        <v>——</v>
      </c>
      <c r="I111" s="134"/>
    </row>
    <row r="112" spans="1:35" ht="18.75" customHeight="1" thickBot="1">
      <c r="A112" s="134"/>
      <c r="B112" s="134"/>
      <c r="C112" s="134"/>
      <c r="D112" s="134"/>
      <c r="E112" s="3442"/>
      <c r="F112" s="3443"/>
      <c r="G112" s="1966" t="s">
        <v>1879</v>
      </c>
      <c r="H112" s="2774" t="str">
        <f>IF(E111="——","——",N61)</f>
        <v>——</v>
      </c>
      <c r="I112" s="134"/>
    </row>
    <row r="113" spans="1:27" ht="18.75" customHeight="1">
      <c r="A113" s="134"/>
      <c r="B113" s="134"/>
      <c r="C113" s="134"/>
      <c r="D113" s="134"/>
      <c r="E113" s="3411" t="s">
        <v>1885</v>
      </c>
      <c r="F113" s="3411"/>
      <c r="G113" s="3411"/>
      <c r="H113" s="3411"/>
      <c r="I113" s="134"/>
    </row>
    <row r="114" spans="1:27" ht="3.75" customHeight="1">
      <c r="A114" s="1883"/>
      <c r="B114" s="1883"/>
      <c r="C114" s="1883"/>
      <c r="D114" s="1883"/>
      <c r="E114" s="1945"/>
      <c r="F114" s="1945"/>
      <c r="G114" s="1945"/>
      <c r="H114" s="1945"/>
      <c r="I114" s="1883"/>
    </row>
    <row r="115" spans="1:27" ht="18.75" customHeight="1">
      <c r="A115" s="3424" t="s">
        <v>1887</v>
      </c>
      <c r="B115" s="3425"/>
      <c r="C115" s="3425"/>
      <c r="D115" s="3425"/>
      <c r="E115" s="3425"/>
      <c r="F115" s="3425"/>
      <c r="G115" s="3425"/>
      <c r="H115" s="3425"/>
      <c r="I115" s="3426"/>
    </row>
    <row r="116" spans="1:27" ht="27" customHeight="1">
      <c r="A116" s="3377" t="s">
        <v>1888</v>
      </c>
      <c r="B116" s="3412" t="s">
        <v>1889</v>
      </c>
      <c r="C116" s="3412" t="s">
        <v>1890</v>
      </c>
      <c r="D116" s="3428" t="s">
        <v>1891</v>
      </c>
      <c r="E116" s="3429"/>
      <c r="F116" s="3420" t="s">
        <v>1892</v>
      </c>
      <c r="G116" s="3420"/>
      <c r="H116" s="3377" t="s">
        <v>1893</v>
      </c>
      <c r="I116" s="3377"/>
    </row>
    <row r="117" spans="1:27" ht="18.75" customHeight="1">
      <c r="A117" s="3377"/>
      <c r="B117" s="3413"/>
      <c r="C117" s="3413"/>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23576.31</v>
      </c>
      <c r="C118" s="2502">
        <f>M19</f>
        <v>2435.9</v>
      </c>
      <c r="D118" s="2502">
        <f ca="1">ROUND(IF(D32="总价",C34,E118*B118/10000),0)</f>
        <v>37793</v>
      </c>
      <c r="E118" s="2502">
        <f ca="1">ROUND(IF(C33="自定义",IF(D32="楼面单价",C34,D118*10000/B118),I118-G118),0)</f>
        <v>16030</v>
      </c>
      <c r="F118" s="2502">
        <f ca="1">ROUND(IF(D32="总价",C35,G118*B118/10000),0)</f>
        <v>12330</v>
      </c>
      <c r="G118" s="2502">
        <f ca="1">ROUND(IF(D32="楼面单价",C35,F118*10000/B118),0)</f>
        <v>5230</v>
      </c>
      <c r="H118" s="2502">
        <f ca="1">ROUND(IF(D32="总价",C32,I118*B118/10000),0)</f>
        <v>50123</v>
      </c>
      <c r="I118" s="2502">
        <f ca="1">ROUND(IF(D32="楼面单价",C32,H118*10000/B118),0)</f>
        <v>21260</v>
      </c>
    </row>
    <row r="119" spans="1:27" ht="18.75" customHeight="1">
      <c r="A119" s="3377" t="s">
        <v>1897</v>
      </c>
      <c r="B119" s="3377"/>
      <c r="C119" s="3377"/>
      <c r="D119" s="3417" t="str">
        <f ca="1">NUMBERSTRING(INT(D118*10000),2)&amp;"元整"</f>
        <v>叁亿柒仟柒佰玖拾叁万元整</v>
      </c>
      <c r="E119" s="3419"/>
      <c r="F119" s="3417" t="str">
        <f ca="1">NUMBERSTRING(INT(F118*10000),2)&amp;"元整"</f>
        <v>壹亿贰仟叁佰叁拾万元整</v>
      </c>
      <c r="G119" s="3419"/>
      <c r="H119" s="3417" t="str">
        <f ca="1">NUMBERSTRING(INT(H118*10000),2)&amp;"元整"</f>
        <v>伍亿零壹佰贰拾叁万元整</v>
      </c>
      <c r="I119" s="3419"/>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21" t="s">
        <v>1897</v>
      </c>
      <c r="B121" s="3422"/>
      <c r="C121" s="3423"/>
      <c r="D121" s="3417" t="str">
        <f>IF(D120=0,"零元整",NUMBERSTRING(INT(D120*10000),2)&amp;"元整")</f>
        <v>零元整</v>
      </c>
      <c r="E121" s="3418"/>
      <c r="F121" s="3418"/>
      <c r="G121" s="3418"/>
      <c r="H121" s="3418"/>
      <c r="I121" s="3419"/>
      <c r="AA121" s="734"/>
    </row>
    <row r="122" spans="1:27" ht="18.75" customHeight="1">
      <c r="A122" s="3408" t="str">
        <f>IF(项目基本情况!B9="房地产市场价值","",MID(E107,3,LEN(E107)-2))</f>
        <v>房地产抵押价值</v>
      </c>
      <c r="B122" s="3408"/>
      <c r="C122" s="3408"/>
      <c r="D122" s="3444">
        <f ca="1">H107</f>
        <v>50123</v>
      </c>
      <c r="E122" s="3445"/>
      <c r="F122" s="3445"/>
      <c r="G122" s="3445"/>
      <c r="H122" s="3445"/>
      <c r="I122" s="3446"/>
      <c r="AA122" s="734"/>
    </row>
    <row r="123" spans="1:27" ht="18.75" customHeight="1">
      <c r="A123" s="3377" t="s">
        <v>1897</v>
      </c>
      <c r="B123" s="3377"/>
      <c r="C123" s="3377"/>
      <c r="D123" s="3417" t="str">
        <f ca="1">NUMBERSTRING(INT(D122*10000),2)&amp;"元整"</f>
        <v>伍亿零壹佰贰拾叁万元整</v>
      </c>
      <c r="E123" s="3418"/>
      <c r="F123" s="3418"/>
      <c r="G123" s="3418"/>
      <c r="H123" s="3418"/>
      <c r="I123" s="3419"/>
      <c r="AA123" s="734"/>
    </row>
    <row r="124" spans="1:27" ht="18.75" customHeight="1">
      <c r="A124" s="3408" t="str">
        <f>IF(项目基本情况!B9="房地产市场价值","",MID(E109,3,LEN(E109)-2))</f>
        <v/>
      </c>
      <c r="B124" s="3408"/>
      <c r="C124" s="3408"/>
      <c r="D124" s="3444" t="str">
        <f>H109</f>
        <v>——</v>
      </c>
      <c r="E124" s="3445"/>
      <c r="F124" s="3445"/>
      <c r="G124" s="3445"/>
      <c r="H124" s="3445"/>
      <c r="I124" s="3446"/>
      <c r="AA124" s="734"/>
    </row>
    <row r="125" spans="1:27" ht="18.75" customHeight="1">
      <c r="A125" s="3377" t="s">
        <v>1897</v>
      </c>
      <c r="B125" s="3377"/>
      <c r="C125" s="3377"/>
      <c r="D125" s="3417" t="e">
        <f>NUMBERSTRING(INT(D124*10000),2)&amp;"元整"</f>
        <v>#VALUE!</v>
      </c>
      <c r="E125" s="3418"/>
      <c r="F125" s="3418"/>
      <c r="G125" s="3418"/>
      <c r="H125" s="3418"/>
      <c r="I125" s="3419"/>
      <c r="AA125" s="734"/>
    </row>
    <row r="126" spans="1:27" ht="18.75" customHeight="1">
      <c r="A126" s="3408" t="str">
        <f>IF(项目基本情况!B9="房地产市场价值","",MID(E111,3,LEN(E111)-2))</f>
        <v/>
      </c>
      <c r="B126" s="3408"/>
      <c r="C126" s="3408"/>
      <c r="D126" s="3444" t="str">
        <f>H111</f>
        <v>——</v>
      </c>
      <c r="E126" s="3445"/>
      <c r="F126" s="3445"/>
      <c r="G126" s="3445"/>
      <c r="H126" s="3445"/>
      <c r="I126" s="3446"/>
      <c r="AA126" s="734"/>
    </row>
    <row r="127" spans="1:27" ht="18.75" customHeight="1">
      <c r="A127" s="3377" t="s">
        <v>1897</v>
      </c>
      <c r="B127" s="3377"/>
      <c r="C127" s="3377"/>
      <c r="D127" s="3417" t="e">
        <f>NUMBERSTRING(INT(D126*10000),2)&amp;"元整"</f>
        <v>#VALUE!</v>
      </c>
      <c r="E127" s="3418"/>
      <c r="F127" s="3418"/>
      <c r="G127" s="3418"/>
      <c r="H127" s="3418"/>
      <c r="I127" s="3419"/>
      <c r="AA127" s="734"/>
    </row>
    <row r="128" spans="1:27" ht="21.75" customHeight="1">
      <c r="A128" s="3427" t="s">
        <v>1898</v>
      </c>
      <c r="B128" s="3427"/>
      <c r="C128" s="3427"/>
      <c r="D128" s="3427"/>
      <c r="E128" s="3427"/>
      <c r="F128" s="3427"/>
      <c r="G128" s="3427"/>
      <c r="H128" s="3427"/>
      <c r="I128" s="3427"/>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7" sqref="K4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57179</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24253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29547</v>
      </c>
      <c r="D5" s="217" t="s">
        <v>1914</v>
      </c>
      <c r="E5" s="218" t="s">
        <v>1915</v>
      </c>
      <c r="F5" s="218" t="s">
        <v>1916</v>
      </c>
      <c r="G5" s="219"/>
    </row>
    <row r="6" spans="1:9" s="220" customFormat="1" ht="13.5" customHeight="1">
      <c r="A6" s="867" t="s">
        <v>1917</v>
      </c>
      <c r="B6" s="221" t="s">
        <v>1918</v>
      </c>
      <c r="C6" s="222">
        <f>[2]基准地价修正!$B$2</f>
        <v>28214</v>
      </c>
      <c r="D6" s="223"/>
      <c r="E6" s="224"/>
      <c r="F6" s="224"/>
      <c r="G6" s="225"/>
    </row>
    <row r="7" spans="1:9" s="220" customFormat="1" ht="13.5" customHeight="1">
      <c r="A7" s="867" t="s">
        <v>1919</v>
      </c>
      <c r="B7" s="221" t="s">
        <v>1920</v>
      </c>
      <c r="C7" s="226">
        <f>ROUND(C6*F7,0)</f>
        <v>861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472</v>
      </c>
      <c r="D8" s="228"/>
      <c r="E8" s="226"/>
      <c r="F8" s="227"/>
      <c r="G8" s="1992" t="s">
        <v>3298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3" t="s">
        <v>3299</v>
      </c>
      <c r="H9" s="1251"/>
      <c r="I9" s="1994" t="s">
        <v>1924</v>
      </c>
    </row>
    <row r="10" spans="1:9" s="220" customFormat="1" ht="13.5" customHeight="1">
      <c r="A10" s="868" t="s">
        <v>620</v>
      </c>
      <c r="B10" s="230" t="s">
        <v>1925</v>
      </c>
      <c r="C10" s="231">
        <f ca="1">ROUND(D10*E10/10000,0)</f>
        <v>472</v>
      </c>
      <c r="D10" s="935">
        <f ca="1">IF(B1="",'数据-汇总表'!E6,IF(INDIRECT("'数据-取费表'!c"&amp;$G$1)="住宅",INDIRECT("'数据-取费表'!s"&amp;$G$1),INDIRECT("'数据-取费表'!k"&amp;$G$1)+INDIRECT("'数据-取费表'!s"&amp;$G$1)))</f>
        <v>23576.31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23576.31</v>
      </c>
      <c r="E19" s="217">
        <f>'数据-取费表'!B31</f>
        <v>200</v>
      </c>
      <c r="F19" s="237"/>
      <c r="G19" s="1992" t="s">
        <v>3300</v>
      </c>
    </row>
    <row r="20" spans="1:7" s="220" customFormat="1" ht="13.5" customHeight="1">
      <c r="A20" s="261" t="s">
        <v>1938</v>
      </c>
      <c r="B20" s="216" t="s">
        <v>1939</v>
      </c>
      <c r="C20" s="238">
        <f ca="1">ROUND((C5+C19)*F20,0)</f>
        <v>886</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6">
        <f ca="1">ROUND(SUM(C23:C25),0)</f>
        <v>2665</v>
      </c>
      <c r="D22" s="241">
        <f ca="1">C26</f>
        <v>1.2999999999999999E-3</v>
      </c>
      <c r="E22" s="242" t="s">
        <v>1943</v>
      </c>
      <c r="F22" s="243">
        <f ca="1">'数据-取费表'!B40</f>
        <v>4.3499999999999997E-2</v>
      </c>
      <c r="G22" s="240" t="str">
        <f>IF('数据-取费表'!B22&lt;=1,"单利计息","复利计息")</f>
        <v>复利计息</v>
      </c>
    </row>
    <row r="23" spans="1:7" s="220" customFormat="1" ht="13.5" customHeight="1">
      <c r="A23" s="869" t="s">
        <v>1947</v>
      </c>
      <c r="B23" s="221" t="s">
        <v>1948</v>
      </c>
      <c r="C23" s="1217">
        <f ca="1">ROUND(IF('数据-取费表'!B22&lt;=1,C5*F22*'数据-取费表'!B23,C5*(POWER((1+F22),'数据-取费表'!B23)-1)),0)</f>
        <v>2626</v>
      </c>
      <c r="D23" s="244"/>
      <c r="E23" s="244"/>
      <c r="F23" s="245"/>
      <c r="G23" s="246" t="s">
        <v>1949</v>
      </c>
    </row>
    <row r="24" spans="1:7" s="220" customFormat="1" ht="13.5" customHeight="1">
      <c r="A24" s="869"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7">
        <f ca="1">ROUND(IF('数据-取费表'!B22&lt;=1,C20*F22*'数据-取费表'!B23/2,C20*(POWER((1+F22),'数据-取费表'!B23/2)-1)),0)</f>
        <v>39</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6087</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6087</v>
      </c>
      <c r="D28" s="241"/>
      <c r="E28" s="242"/>
      <c r="F28" s="252"/>
      <c r="G28" s="253"/>
    </row>
    <row r="29" spans="1:7" s="220" customFormat="1" ht="13.5" customHeight="1">
      <c r="A29" s="869" t="s">
        <v>611</v>
      </c>
      <c r="B29" s="254" t="s">
        <v>1962</v>
      </c>
      <c r="C29" s="244">
        <f ca="1">ROUND(C21*F27*'数据-取费表'!B21/'数据-取费表'!B20,4)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43089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11770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10609</v>
      </c>
      <c r="D34" s="223"/>
      <c r="E34" s="226"/>
      <c r="F34" s="263">
        <f ca="1">IF('数据-取费表'!B24=0,1,IF(B1="",'数据-取费表'!N16,INDIRECT("'数据-取费表'!n"&amp;$G$1)))</f>
        <v>1</v>
      </c>
      <c r="G34" s="225" t="s">
        <v>1971</v>
      </c>
    </row>
    <row r="35" spans="1:7" ht="13.5" customHeight="1">
      <c r="A35" s="869" t="s">
        <v>615</v>
      </c>
      <c r="B35" s="221" t="s">
        <v>1972</v>
      </c>
      <c r="C35" s="226">
        <f ca="1">ROUND(C34*F35,0)</f>
        <v>530</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472</v>
      </c>
      <c r="D37" s="223">
        <f ca="1">D19</f>
        <v>23576.31</v>
      </c>
      <c r="E37" s="255">
        <f>'数据-取费表'!B35</f>
        <v>200</v>
      </c>
      <c r="F37" s="265"/>
      <c r="G37" s="267" t="s">
        <v>1977</v>
      </c>
    </row>
    <row r="38" spans="1:7" ht="13.5" customHeight="1">
      <c r="A38" s="869" t="s">
        <v>618</v>
      </c>
      <c r="B38" s="221" t="s">
        <v>1978</v>
      </c>
      <c r="C38" s="226">
        <f ca="1">ROUND(C34*F38,0)</f>
        <v>159</v>
      </c>
      <c r="D38" s="226"/>
      <c r="E38" s="226"/>
      <c r="F38" s="265">
        <f>'数据-取费表'!B36</f>
        <v>1.4999999999999999E-2</v>
      </c>
      <c r="G38" s="225" t="s">
        <v>1973</v>
      </c>
    </row>
    <row r="39" spans="1:7" s="220" customFormat="1" ht="13.5" customHeight="1">
      <c r="A39" s="261" t="s">
        <v>1979</v>
      </c>
      <c r="B39" s="216" t="s">
        <v>1980</v>
      </c>
      <c r="C39" s="238">
        <f ca="1">ROUND(C33*F20,0)</f>
        <v>353</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527</v>
      </c>
      <c r="D41" s="241">
        <f ca="1">C44</f>
        <v>1.2999999999999999E-3</v>
      </c>
      <c r="E41" s="242" t="s">
        <v>1984</v>
      </c>
      <c r="F41" s="2486">
        <f ca="1">F22</f>
        <v>4.3499999999999997E-2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512</v>
      </c>
      <c r="D42" s="244"/>
      <c r="E42" s="244"/>
      <c r="F42" s="245"/>
      <c r="G42" s="3460" t="s">
        <v>1989</v>
      </c>
    </row>
    <row r="43" spans="1:7" ht="13.5" customHeight="1">
      <c r="A43" s="869" t="s">
        <v>611</v>
      </c>
      <c r="B43" s="221" t="s">
        <v>1990</v>
      </c>
      <c r="C43" s="244">
        <f ca="1">ROUND(IF('数据-取费表'!B22&lt;=1,C39*F22*'数据-取费表'!B21/2,C39*(POWER((1+F22),'数据-取费表'!B21/2)-1)),0)</f>
        <v>15</v>
      </c>
      <c r="D43" s="244"/>
      <c r="E43" s="244"/>
      <c r="F43" s="245"/>
      <c r="G43" s="3461"/>
    </row>
    <row r="44" spans="1:7" ht="13.5" customHeight="1">
      <c r="A44" s="869" t="s">
        <v>612</v>
      </c>
      <c r="B44" s="221" t="s">
        <v>1991</v>
      </c>
      <c r="C44" s="244">
        <f ca="1">ROUND(IF('数据-取费表'!B22&lt;=1,C40*F22*'数据-取费表'!B21/2,C40*(POWER((1+F22),'数据-取费表'!B21/2)-1)),4)</f>
        <v>1.2999999999999999E-3</v>
      </c>
      <c r="D44" s="244"/>
      <c r="E44" s="244"/>
      <c r="F44" s="245"/>
      <c r="G44" s="3462"/>
    </row>
    <row r="45" spans="1:7" s="220" customFormat="1" ht="13.5" customHeight="1">
      <c r="A45" s="261" t="s">
        <v>1992</v>
      </c>
      <c r="B45" s="250" t="s">
        <v>1958</v>
      </c>
      <c r="C45" s="251">
        <f ca="1">C46</f>
        <v>2425</v>
      </c>
      <c r="D45" s="241">
        <f ca="1">C47</f>
        <v>6.0000000000000001E-3</v>
      </c>
      <c r="E45" s="242" t="s">
        <v>1984</v>
      </c>
      <c r="F45" s="2487">
        <f ca="1">F27</f>
        <v>0.2</v>
      </c>
      <c r="G45" s="253" t="s">
        <v>1993</v>
      </c>
    </row>
    <row r="46" spans="1:7" s="220" customFormat="1" ht="13.5" customHeight="1">
      <c r="A46" s="869" t="s">
        <v>610</v>
      </c>
      <c r="B46" s="254" t="s">
        <v>1994</v>
      </c>
      <c r="C46" s="255">
        <f ca="1">ROUND((C33+C39)*F27,0)</f>
        <v>2425</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16577</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14090</v>
      </c>
      <c r="D51" s="238"/>
      <c r="E51" s="238"/>
      <c r="F51" s="270"/>
      <c r="G51" s="240" t="s">
        <v>2005</v>
      </c>
    </row>
    <row r="52" spans="1:7" s="214" customFormat="1" ht="16.5" thickBot="1">
      <c r="A52" s="271" t="s">
        <v>2006</v>
      </c>
      <c r="B52" s="272"/>
      <c r="C52" s="273">
        <f ca="1">C31+C51</f>
        <v>57179</v>
      </c>
      <c r="D52" s="272"/>
      <c r="E52" s="272"/>
      <c r="F52" s="272"/>
      <c r="G52" s="274"/>
    </row>
    <row r="55" spans="1:7" ht="15">
      <c r="B55" s="276" t="s">
        <v>2007</v>
      </c>
      <c r="C55" s="277"/>
    </row>
    <row r="56" spans="1:7">
      <c r="B56" s="279" t="s">
        <v>1237</v>
      </c>
      <c r="C56" s="281">
        <f ca="1">1-C57</f>
        <v>0.754</v>
      </c>
    </row>
    <row r="57" spans="1:7">
      <c r="B57" s="279" t="s">
        <v>1238</v>
      </c>
      <c r="C57" s="280">
        <f ca="1">ROUND(C51/C52,3)</f>
        <v>0.246</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1" t="str">
        <f>项目基本情况!B1</f>
        <v>北京市房地产抵押价值预评估</v>
      </c>
      <c r="C37" s="3271"/>
      <c r="D37" s="3271"/>
      <c r="E37" s="3271"/>
      <c r="F37" s="3271"/>
      <c r="G37" s="3271"/>
      <c r="H37" s="3271"/>
      <c r="I37" s="3271"/>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吴薇（注册号：1419970001)、崔锴（注册号：0)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3" t="str">
        <f>IF(ISERROR(FIND("住宅",B1)),"非住宅","住宅")</f>
        <v>非住宅</v>
      </c>
    </row>
    <row r="2" spans="1:8" s="206" customFormat="1" ht="18" customHeight="1">
      <c r="A2" s="207" t="s">
        <v>1907</v>
      </c>
      <c r="B2" s="208">
        <f ca="1">ROUND(IF(D2="——",C52/10000,C52/10000-E2),0)</f>
        <v>15466</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6560</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4715262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4715262</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4715262</v>
      </c>
      <c r="D10" s="935">
        <f ca="1">IF(B1="",'数据-汇总表'!E6,IF(INDIRECT("'数据-取费表'!c"&amp;$G$1)="住宅",INDIRECT("'数据-取费表'!s"&amp;$G$1),INDIRECT("'数据-取费表'!k"&amp;$G$1)+INDIRECT("'数据-取费表'!s"&amp;$G$1)))</f>
        <v>23576.31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4715262</v>
      </c>
      <c r="D19" s="939">
        <f ca="1">D9+D10</f>
        <v>23576.31</v>
      </c>
      <c r="E19" s="217">
        <f>'数据-取费表'!B31</f>
        <v>200</v>
      </c>
      <c r="F19" s="237"/>
      <c r="G19" s="1992"/>
    </row>
    <row r="20" spans="1:7" s="220" customFormat="1" ht="13.5" customHeight="1">
      <c r="A20" s="261" t="s">
        <v>2019</v>
      </c>
      <c r="B20" s="216" t="s">
        <v>2020</v>
      </c>
      <c r="C20" s="238">
        <f ca="1">ROUND((C5+C19)*F20,0)</f>
        <v>282916</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1">
        <f ca="1">ROUND(SUM(C23:C25),0)</f>
        <v>850607</v>
      </c>
      <c r="D22" s="241">
        <f ca="1">C26</f>
        <v>1.2999999999999999E-3</v>
      </c>
      <c r="E22" s="242" t="s">
        <v>2024</v>
      </c>
      <c r="F22" s="243">
        <f ca="1">'数据-取费表'!B40</f>
        <v>4.3499999999999997E-2</v>
      </c>
      <c r="G22" s="240" t="str">
        <f>IF('数据-取费表'!B22&lt;=1,"单利计息","复利计息")</f>
        <v>复利计息</v>
      </c>
    </row>
    <row r="23" spans="1:7" s="220" customFormat="1" ht="13.5" customHeight="1">
      <c r="A23" s="869" t="s">
        <v>1917</v>
      </c>
      <c r="B23" s="221" t="s">
        <v>2028</v>
      </c>
      <c r="C23" s="1242">
        <f ca="1">ROUND(IF('数据-取费表'!B22&lt;=1,C5*F22*'数据-取费表'!B22,C5*(POWER((1+F22),'数据-取费表'!B22)-1)),0)</f>
        <v>419150</v>
      </c>
      <c r="D23" s="244"/>
      <c r="E23" s="244"/>
      <c r="F23" s="245"/>
      <c r="G23" s="246" t="s">
        <v>2029</v>
      </c>
    </row>
    <row r="24" spans="1:7" s="220" customFormat="1" ht="13.5" customHeight="1">
      <c r="A24" s="869" t="s">
        <v>1919</v>
      </c>
      <c r="B24" s="221" t="s">
        <v>2030</v>
      </c>
      <c r="C24" s="1242">
        <f ca="1">ROUND(IF('数据-取费表'!B22&lt;=1,C19*F22*('数据-取费表'!B19/2+'数据-取费表'!B20),C19*(POWER((1+F22),('数据-取费表'!B19/2+'数据-取费表'!B20))-1)),0)</f>
        <v>419150</v>
      </c>
      <c r="D24" s="244"/>
      <c r="E24" s="244"/>
      <c r="F24" s="245"/>
      <c r="G24" s="246" t="s">
        <v>2031</v>
      </c>
    </row>
    <row r="25" spans="1:7" s="220" customFormat="1" ht="24">
      <c r="A25" s="869" t="s">
        <v>1921</v>
      </c>
      <c r="B25" s="221" t="s">
        <v>2032</v>
      </c>
      <c r="C25" s="1242">
        <f ca="1">ROUND(IF('数据-取费表'!B22&lt;=1,C20*F22*'数据-取费表'!B22/2,C20*(POWER((1+F22),'数据-取费表'!B22/2)-1)),0)</f>
        <v>12307</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1942688</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1942688</v>
      </c>
      <c r="D28" s="241"/>
      <c r="E28" s="242"/>
      <c r="F28" s="252"/>
      <c r="G28" s="253"/>
    </row>
    <row r="29" spans="1:7" s="220" customFormat="1" ht="13.5" customHeight="1">
      <c r="A29" s="869" t="s">
        <v>611</v>
      </c>
      <c r="B29" s="254" t="s">
        <v>1962</v>
      </c>
      <c r="C29" s="244">
        <f ca="1">ROUND(C21*F27,4)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13752733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117704728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106093395</v>
      </c>
      <c r="D34" s="223"/>
      <c r="E34" s="226"/>
      <c r="F34" s="263"/>
      <c r="G34" s="225"/>
    </row>
    <row r="35" spans="1:7" ht="13.5" customHeight="1">
      <c r="A35" s="869" t="s">
        <v>615</v>
      </c>
      <c r="B35" s="221" t="s">
        <v>1972</v>
      </c>
      <c r="C35" s="226">
        <f ca="1">ROUND(C34*F35,0)</f>
        <v>5304670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4715262</v>
      </c>
      <c r="D37" s="223">
        <f ca="1">D19</f>
        <v>23576.31</v>
      </c>
      <c r="E37" s="255">
        <f>'数据-取费表'!B35</f>
        <v>200</v>
      </c>
      <c r="F37" s="265"/>
      <c r="G37" s="267"/>
    </row>
    <row r="38" spans="1:7" ht="13.5" customHeight="1">
      <c r="A38" s="869" t="s">
        <v>618</v>
      </c>
      <c r="B38" s="221" t="s">
        <v>1978</v>
      </c>
      <c r="C38" s="226">
        <f ca="1">ROUND(C34*F38,0)</f>
        <v>1591401</v>
      </c>
      <c r="D38" s="226"/>
      <c r="E38" s="226"/>
      <c r="F38" s="265">
        <f>'数据-取费表'!B36</f>
        <v>1.4999999999999999E-2</v>
      </c>
      <c r="G38" s="225" t="s">
        <v>1973</v>
      </c>
    </row>
    <row r="39" spans="1:7" s="220" customFormat="1" ht="13.5" customHeight="1">
      <c r="A39" s="261" t="s">
        <v>1979</v>
      </c>
      <c r="B39" s="216" t="s">
        <v>1980</v>
      </c>
      <c r="C39" s="238">
        <f ca="1">ROUND(C33*F20,0)</f>
        <v>3531142</v>
      </c>
      <c r="D39" s="238"/>
      <c r="E39" s="238"/>
      <c r="F39" s="2485">
        <f>F20</f>
        <v>0.03</v>
      </c>
      <c r="G39" s="240" t="s">
        <v>1981</v>
      </c>
    </row>
    <row r="40" spans="1:7" s="220" customFormat="1" ht="13.5" customHeight="1">
      <c r="A40" s="261" t="s">
        <v>1982</v>
      </c>
      <c r="B40" s="216" t="s">
        <v>1983</v>
      </c>
      <c r="C40" s="1447">
        <f>F21</f>
        <v>0.03</v>
      </c>
      <c r="D40" s="242" t="s">
        <v>1984</v>
      </c>
      <c r="E40" s="238"/>
      <c r="F40" s="2485">
        <f>F21</f>
        <v>0.03</v>
      </c>
      <c r="G40" s="240" t="s">
        <v>1985</v>
      </c>
    </row>
    <row r="41" spans="1:7" s="220" customFormat="1" ht="13.5" customHeight="1">
      <c r="A41" s="261" t="s">
        <v>1986</v>
      </c>
      <c r="B41" s="216" t="s">
        <v>1987</v>
      </c>
      <c r="C41" s="238">
        <f ca="1">ROUND(SUM(C42:C43),0)</f>
        <v>5273761</v>
      </c>
      <c r="D41" s="241">
        <f ca="1">C44</f>
        <v>1.2999999999999999E-3</v>
      </c>
      <c r="E41" s="242" t="s">
        <v>1984</v>
      </c>
      <c r="F41" s="2486">
        <f ca="1">F22</f>
        <v>4.3499999999999997E-2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5120156</v>
      </c>
      <c r="D42" s="244"/>
      <c r="E42" s="244"/>
      <c r="F42" s="245"/>
      <c r="G42" s="3460" t="s">
        <v>2036</v>
      </c>
    </row>
    <row r="43" spans="1:7" ht="13.5" customHeight="1">
      <c r="A43" s="869" t="s">
        <v>611</v>
      </c>
      <c r="B43" s="221" t="s">
        <v>1990</v>
      </c>
      <c r="C43" s="244">
        <f ca="1">ROUND(IF('数据-取费表'!B22&lt;=1,C39*F22*'数据-取费表'!B20/2,C39*(POWER((1+F22),'数据-取费表'!B20/2)-1)),0)</f>
        <v>153605</v>
      </c>
      <c r="D43" s="244"/>
      <c r="E43" s="244"/>
      <c r="F43" s="245"/>
      <c r="G43" s="3461"/>
    </row>
    <row r="44" spans="1:7" ht="13.5" customHeight="1">
      <c r="A44" s="869" t="s">
        <v>612</v>
      </c>
      <c r="B44" s="221" t="s">
        <v>1991</v>
      </c>
      <c r="C44" s="244">
        <f ca="1">ROUND(IF('数据-取费表'!B22&lt;=1,C40*F22*'数据-取费表'!B20/2,C40*(POWER((1+F22),'数据-取费表'!B20/2)-1)),4)</f>
        <v>1.2999999999999999E-3</v>
      </c>
      <c r="D44" s="244"/>
      <c r="E44" s="244"/>
      <c r="F44" s="245"/>
      <c r="G44" s="3462"/>
    </row>
    <row r="45" spans="1:7" s="220" customFormat="1" ht="13.5" customHeight="1">
      <c r="A45" s="261" t="s">
        <v>1992</v>
      </c>
      <c r="B45" s="250" t="s">
        <v>1958</v>
      </c>
      <c r="C45" s="251">
        <f ca="1">C46</f>
        <v>24247174</v>
      </c>
      <c r="D45" s="241">
        <f ca="1">C47</f>
        <v>6.0000000000000001E-3</v>
      </c>
      <c r="E45" s="242" t="s">
        <v>1984</v>
      </c>
      <c r="F45" s="2487">
        <f ca="1">F27</f>
        <v>0.2</v>
      </c>
      <c r="G45" s="253" t="s">
        <v>1993</v>
      </c>
    </row>
    <row r="46" spans="1:7" s="220" customFormat="1" ht="13.5" customHeight="1">
      <c r="A46" s="869" t="s">
        <v>610</v>
      </c>
      <c r="B46" s="254" t="s">
        <v>1994</v>
      </c>
      <c r="C46" s="255">
        <f ca="1">ROUND((C33+C39)*F27,0)</f>
        <v>24247174</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165776122</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140909704</v>
      </c>
      <c r="D51" s="238"/>
      <c r="E51" s="238"/>
      <c r="F51" s="270"/>
      <c r="G51" s="240" t="s">
        <v>2005</v>
      </c>
    </row>
    <row r="52" spans="1:7" s="214" customFormat="1" ht="16.5" thickBot="1">
      <c r="A52" s="271" t="s">
        <v>2006</v>
      </c>
      <c r="B52" s="272"/>
      <c r="C52" s="273">
        <f ca="1">C31+C51</f>
        <v>154662437</v>
      </c>
      <c r="D52" s="272"/>
      <c r="E52" s="272"/>
      <c r="F52" s="272"/>
      <c r="G52" s="274"/>
    </row>
    <row r="55" spans="1:7" ht="15">
      <c r="B55" s="276" t="s">
        <v>2007</v>
      </c>
      <c r="C55" s="277"/>
    </row>
    <row r="56" spans="1:7">
      <c r="B56" s="279" t="s">
        <v>1237</v>
      </c>
      <c r="C56" s="281">
        <f ca="1">1-C57</f>
        <v>8.8999999999999968E-2</v>
      </c>
    </row>
    <row r="57" spans="1:7">
      <c r="B57" s="279" t="s">
        <v>1238</v>
      </c>
      <c r="C57" s="280">
        <f ca="1">ROUND(C51/C52,3)</f>
        <v>0.91100000000000003</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23576.31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23576.31</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2075</v>
      </c>
      <c r="C20" s="24">
        <f ca="1">ROUND(D20*E20/10000,0)</f>
        <v>472</v>
      </c>
      <c r="D20" s="936">
        <f ca="1">IF(C1="",'数据-汇总表'!E6,IF(INDIRECT("'数据-取费表'!c"&amp;$K$1)="住宅",INDIRECT("'数据-取费表'!s"&amp;$K$1),INDIRECT("'数据-取费表'!k"&amp;$K$1)+INDIRECT("'数据-取费表'!s"&amp;$K$1)))</f>
        <v>23576.31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19">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0">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26" sqref="H26"/>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33660</v>
      </c>
      <c r="C2" s="2008" t="s">
        <v>2099</v>
      </c>
      <c r="D2" s="2009" t="s">
        <v>2100</v>
      </c>
      <c r="E2" s="2782">
        <f>SUM(E6:E13)</f>
        <v>23576.31</v>
      </c>
      <c r="F2" s="2885"/>
      <c r="G2" s="1624"/>
      <c r="H2" s="1624"/>
      <c r="I2" s="1624"/>
      <c r="J2" s="1624"/>
      <c r="K2" s="1624"/>
      <c r="L2" s="1624"/>
      <c r="M2" s="1624"/>
      <c r="N2" s="1624"/>
      <c r="O2" s="1624"/>
      <c r="P2" s="1624"/>
      <c r="Q2" s="1624"/>
      <c r="R2" s="1624"/>
      <c r="S2" s="1624"/>
    </row>
    <row r="3" spans="1:22" ht="15.75">
      <c r="A3" s="2006" t="s">
        <v>1119</v>
      </c>
      <c r="B3" s="2776">
        <f ca="1">ROUND(B2*10000/E2,0)</f>
        <v>14277</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63" t="s">
        <v>2102</v>
      </c>
      <c r="C5" s="3464"/>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33660</v>
      </c>
      <c r="C6" s="2008" t="s">
        <v>2099</v>
      </c>
      <c r="D6" s="2887"/>
      <c r="E6" s="2781">
        <f>IF(OR(A6=0,F6="否"),0,'数据-取费表'!K6+'数据-取费表'!S6)</f>
        <v>23576.31</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70</v>
      </c>
      <c r="E1" s="1497" t="s">
        <v>1111</v>
      </c>
      <c r="F1" s="1174">
        <f ca="1">J53</f>
        <v>17.579999999999998</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33660</v>
      </c>
      <c r="C2" s="1521" t="s">
        <v>1240</v>
      </c>
      <c r="D2" s="1521"/>
      <c r="E2" s="1522"/>
      <c r="F2" s="1523"/>
      <c r="G2" s="2884"/>
      <c r="H2" s="2873"/>
      <c r="I2" s="2873"/>
      <c r="J2" s="2873"/>
      <c r="K2" s="2874"/>
      <c r="L2" s="2873"/>
      <c r="M2" s="2873"/>
    </row>
    <row r="3" spans="1:37" ht="18" customHeight="1" thickBot="1">
      <c r="A3" s="1524" t="s">
        <v>1241</v>
      </c>
      <c r="B3" s="1525">
        <f ca="1">IF(ISERROR(B2*10000/F43),0,ROUND(B2*10000/F43,0))</f>
        <v>14277</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2870</v>
      </c>
      <c r="D5" s="1498" t="s">
        <v>1126</v>
      </c>
      <c r="E5" s="1184"/>
      <c r="F5" s="1185"/>
      <c r="G5" s="1518"/>
      <c r="H5" s="305">
        <v>1</v>
      </c>
      <c r="I5" s="306" t="s">
        <v>1125</v>
      </c>
      <c r="J5" s="1183">
        <f ca="1">J6+J10+J12</f>
        <v>0</v>
      </c>
      <c r="K5" s="1498" t="s">
        <v>1126</v>
      </c>
      <c r="L5" s="1184"/>
      <c r="M5" s="1185"/>
    </row>
    <row r="6" spans="1:37" ht="18" customHeight="1">
      <c r="A6" s="1182" t="s">
        <v>822</v>
      </c>
      <c r="B6" s="3467" t="s">
        <v>1127</v>
      </c>
      <c r="C6" s="1187">
        <f ca="1">ROUND(F6*F8*F7*(1-F9)/10000,0)</f>
        <v>2866</v>
      </c>
      <c r="D6" s="160" t="s">
        <v>2609</v>
      </c>
      <c r="E6" s="308" t="s">
        <v>1129</v>
      </c>
      <c r="F6" s="309">
        <f ca="1">INDIRECT("'数据-取费表'!u"&amp;$G$1)</f>
        <v>3.7</v>
      </c>
      <c r="G6" s="1518"/>
      <c r="H6" s="1182" t="s">
        <v>822</v>
      </c>
      <c r="I6" s="3467" t="s">
        <v>1127</v>
      </c>
      <c r="J6" s="307">
        <f ca="1">ROUND(M6*M8*M7*(1-M9)/10000,0)</f>
        <v>0</v>
      </c>
      <c r="K6" s="160" t="s">
        <v>2608</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23576.31</v>
      </c>
      <c r="G7" s="1518"/>
      <c r="H7" s="310"/>
      <c r="I7" s="3468"/>
      <c r="J7" s="312"/>
      <c r="K7" s="313"/>
      <c r="L7" s="308" t="s">
        <v>1130</v>
      </c>
      <c r="M7" s="309">
        <f ca="1">F7</f>
        <v>23576.31</v>
      </c>
    </row>
    <row r="8" spans="1:37" ht="18" customHeight="1">
      <c r="A8" s="310"/>
      <c r="B8" s="3468"/>
      <c r="C8" s="312"/>
      <c r="D8" s="313"/>
      <c r="E8" s="308" t="s">
        <v>1131</v>
      </c>
      <c r="F8" s="309">
        <f ca="1">INDIRECT("'数据-取费表'!ai"&amp;$G$1)</f>
        <v>365</v>
      </c>
      <c r="G8" s="1518"/>
      <c r="H8" s="310"/>
      <c r="I8" s="3468"/>
      <c r="J8" s="312"/>
      <c r="K8" s="313"/>
      <c r="L8" s="308" t="s">
        <v>1131</v>
      </c>
      <c r="M8" s="309">
        <f ca="1">INDIRECT("'数据-取费表'!ai"&amp;$G$1)</f>
        <v>365</v>
      </c>
    </row>
    <row r="9" spans="1:37" ht="18" customHeight="1">
      <c r="A9" s="310"/>
      <c r="B9" s="3469"/>
      <c r="C9" s="312"/>
      <c r="D9" s="313"/>
      <c r="E9" s="308" t="s">
        <v>1132</v>
      </c>
      <c r="F9" s="318">
        <f ca="1">INDIRECT("'数据-取费表'!w"&amp;$G$1)</f>
        <v>0.1</v>
      </c>
      <c r="G9" s="1518"/>
      <c r="H9" s="310"/>
      <c r="I9" s="3469"/>
      <c r="J9" s="312"/>
      <c r="K9" s="313"/>
      <c r="L9" s="319" t="s">
        <v>1132</v>
      </c>
      <c r="M9" s="320">
        <f ca="1">INDIRECT("'数据-取费表'!ab"&amp;$G$1)</f>
        <v>0</v>
      </c>
    </row>
    <row r="10" spans="1:37" ht="18" customHeight="1">
      <c r="A10" s="1182" t="s">
        <v>826</v>
      </c>
      <c r="B10" s="1499" t="s">
        <v>1133</v>
      </c>
      <c r="C10" s="322">
        <f ca="1">ROUND(IF(F10="押一",C6/12*F11,IF(F10="押二",C6/12*2*F11,IF(F10="押三",C6/12*3*F11,C11*F11))),0)</f>
        <v>4</v>
      </c>
      <c r="D10" s="1500" t="s">
        <v>2617</v>
      </c>
      <c r="E10" s="319" t="s">
        <v>1134</v>
      </c>
      <c r="F10" s="1228" t="s">
        <v>3252</v>
      </c>
      <c r="G10" s="1518"/>
      <c r="H10" s="1182"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14090</v>
      </c>
      <c r="D13" s="1193" t="s">
        <v>1139</v>
      </c>
      <c r="E13" s="1193" t="s">
        <v>1140</v>
      </c>
      <c r="F13" s="1194">
        <f ca="1">INDIRECT("'数据-取费表'!y"&amp;$G$1)</f>
        <v>0.85</v>
      </c>
      <c r="G13" s="1518"/>
      <c r="H13" s="1191">
        <v>2</v>
      </c>
      <c r="I13" s="1192" t="s">
        <v>1138</v>
      </c>
      <c r="J13" s="1181">
        <f ca="1">ROUND(J14*J15,0)</f>
        <v>0</v>
      </c>
      <c r="K13" s="1199" t="s">
        <v>1139</v>
      </c>
      <c r="L13" s="1526"/>
      <c r="M13" s="1527"/>
    </row>
    <row r="14" spans="1:37" ht="18" customHeight="1">
      <c r="A14" s="1094" t="s">
        <v>821</v>
      </c>
      <c r="B14" s="308" t="s">
        <v>1141</v>
      </c>
      <c r="C14" s="324">
        <f ca="1">INDIRECT("'数据-取费表'!m"&amp;$G$1)+INDIRECT("'数据-取费表'!t"&amp;$G$1)</f>
        <v>10609</v>
      </c>
      <c r="D14" s="1479" t="s">
        <v>1142</v>
      </c>
      <c r="E14" s="1476"/>
      <c r="F14" s="325"/>
      <c r="G14" s="1518"/>
      <c r="H14" s="1094" t="s">
        <v>822</v>
      </c>
      <c r="I14" s="308" t="s">
        <v>1143</v>
      </c>
      <c r="J14" s="24">
        <f ca="1">C29</f>
        <v>16577</v>
      </c>
      <c r="K14" s="15"/>
      <c r="L14" s="897"/>
      <c r="M14" s="898"/>
    </row>
    <row r="15" spans="1:37" s="1531" customFormat="1" ht="18" customHeight="1" thickBot="1">
      <c r="A15" s="1094" t="s">
        <v>823</v>
      </c>
      <c r="B15" s="308" t="s">
        <v>1144</v>
      </c>
      <c r="C15" s="24">
        <f ca="1">ROUND(C14*F15,0)</f>
        <v>530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175</v>
      </c>
      <c r="K16" s="1199" t="s">
        <v>1149</v>
      </c>
      <c r="L16" s="1200"/>
      <c r="M16" s="1185"/>
    </row>
    <row r="17" spans="1:37" s="1531" customFormat="1" ht="18" customHeight="1">
      <c r="A17" s="1094" t="s">
        <v>1114</v>
      </c>
      <c r="B17" s="308" t="s">
        <v>1150</v>
      </c>
      <c r="C17" s="24">
        <f ca="1">ROUND(F17*(F43+INDIRECT("'数据-取费表'!S"&amp;$G$1))/10000,0)</f>
        <v>472</v>
      </c>
      <c r="D17" s="308" t="s">
        <v>1151</v>
      </c>
      <c r="E17" s="308" t="s">
        <v>1152</v>
      </c>
      <c r="F17" s="26">
        <f>'数据-取费表'!B35</f>
        <v>200</v>
      </c>
      <c r="G17" s="1530"/>
      <c r="H17" s="1094" t="s">
        <v>822</v>
      </c>
      <c r="I17" s="308" t="s">
        <v>1153</v>
      </c>
      <c r="J17" s="2484">
        <f ca="1">ROUND(IF(AND(项目基本情况!B11="自然人",项目基本情况!B10="北京市"),J6*M17/(1+'数据-取费表'!C42),J18+J19+J20),0)</f>
        <v>142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159</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11770</v>
      </c>
      <c r="D19" s="136" t="s">
        <v>1160</v>
      </c>
      <c r="E19" s="1494"/>
      <c r="F19" s="26"/>
      <c r="G19" s="1518"/>
      <c r="H19" s="1094" t="s">
        <v>823</v>
      </c>
      <c r="I19" s="308" t="s">
        <v>1161</v>
      </c>
      <c r="J19" s="24">
        <f ca="1">IF(K19="按租金收入计税",ROUND(J6*M19/(1+'数据-取费表'!C42),2),ROUND(C29*M19*0.7,2))</f>
        <v>139.25</v>
      </c>
      <c r="K19" s="1504" t="s">
        <v>1162</v>
      </c>
      <c r="L19" s="308" t="s">
        <v>1146</v>
      </c>
      <c r="M19" s="328">
        <f>IF(K19="按租金收入计税",'数据-取费表'!B51,'数据-取费表'!B50)</f>
        <v>1.2E-2</v>
      </c>
    </row>
    <row r="20" spans="1:37" s="1531" customFormat="1" ht="18" customHeight="1">
      <c r="A20" s="1094" t="s">
        <v>826</v>
      </c>
      <c r="B20" s="308" t="s">
        <v>1163</v>
      </c>
      <c r="C20" s="24">
        <f ca="1">ROUND(C19*F20,0)</f>
        <v>353</v>
      </c>
      <c r="D20" s="329" t="s">
        <v>1164</v>
      </c>
      <c r="E20" s="308" t="s">
        <v>1146</v>
      </c>
      <c r="F20" s="328">
        <f>'数据-取费表'!B37</f>
        <v>0.03</v>
      </c>
      <c r="G20" s="1530"/>
      <c r="H20" s="1094" t="s">
        <v>1113</v>
      </c>
      <c r="I20" s="160" t="s">
        <v>1165</v>
      </c>
      <c r="J20" s="25">
        <f ca="1">ROUND(M20*M21/10000,2)</f>
        <v>2.92</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f ca="1">INDIRECT("'数据-取费表'!r"&amp;$G$1)</f>
        <v>2435.9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33.200000000000003</v>
      </c>
      <c r="K22" s="1478" t="s">
        <v>1174</v>
      </c>
      <c r="L22" s="308" t="s">
        <v>1146</v>
      </c>
      <c r="M22" s="334">
        <f ca="1">INDIRECT("'数据-取费表'!Ak"&amp;$G$1)</f>
        <v>2E-3</v>
      </c>
    </row>
    <row r="23" spans="1:37" s="1531" customFormat="1" ht="18" customHeight="1">
      <c r="A23" s="1094" t="s">
        <v>821</v>
      </c>
      <c r="B23" s="308" t="s">
        <v>1175</v>
      </c>
      <c r="C23" s="24">
        <f ca="1">IF('数据-取费表'!B22&lt;=1,ROUND(C19*F24*F23/2,0)+ROUND(C20*F24*F23/2,0),ROUND(C19*(POWER((1+F24),F23/2)-1),0)+ROUND(C20*(POWER((1+F24),F23/2)-1),0))</f>
        <v>527</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4.3499999999999997E-2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1" t="s">
        <v>818</v>
      </c>
      <c r="I25" s="1206" t="s">
        <v>1187</v>
      </c>
      <c r="J25" s="316">
        <f ca="1">J5-J16</f>
        <v>-175</v>
      </c>
      <c r="K25" s="1207" t="s">
        <v>1188</v>
      </c>
      <c r="L25" s="1208"/>
      <c r="M25" s="1209"/>
    </row>
    <row r="26" spans="1:37">
      <c r="A26" s="1094" t="s">
        <v>821</v>
      </c>
      <c r="B26" s="308" t="s">
        <v>1189</v>
      </c>
      <c r="C26" s="24">
        <f ca="1">ROUND((C19+C20)*F26,0)</f>
        <v>2425</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6.0000000000000001E-3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16577</v>
      </c>
      <c r="D29" s="1204"/>
      <c r="E29" s="1202"/>
      <c r="F29" s="1205"/>
      <c r="G29" s="1530"/>
      <c r="H29" s="340" t="s">
        <v>820</v>
      </c>
      <c r="I29" s="341" t="s">
        <v>1203</v>
      </c>
      <c r="J29" s="342">
        <f ca="1">ROUND(J26/(1+F40)^F41,0)</f>
        <v>0</v>
      </c>
      <c r="K29" s="343" t="s">
        <v>1204</v>
      </c>
      <c r="L29" s="344"/>
      <c r="M29" s="345">
        <f ca="1">INDIRECT("'数据-取费表'!k"&amp;$G$1)</f>
        <v>23576.31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559</v>
      </c>
      <c r="D30" s="1199" t="s">
        <v>1149</v>
      </c>
      <c r="E30" s="1200"/>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483</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4" t="s">
        <v>821</v>
      </c>
      <c r="B32" s="308" t="s">
        <v>1157</v>
      </c>
      <c r="C32" s="24">
        <f ca="1">IF(项目基本情况!B11="自然人","——",ROUND(C6*F32/(1+'数据-取费表'!C42),2))</f>
        <v>152.85</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327.54000000000002</v>
      </c>
      <c r="D33" s="1504" t="s">
        <v>3253</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2.92</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2435.9</v>
      </c>
      <c r="G35" s="1518"/>
      <c r="H35" s="2875"/>
      <c r="I35" s="1532"/>
      <c r="J35" s="1533"/>
      <c r="K35" s="2879"/>
      <c r="L35" s="2878"/>
      <c r="M35" s="2878"/>
    </row>
    <row r="36" spans="1:18" ht="18" customHeight="1">
      <c r="A36" s="1214" t="s">
        <v>826</v>
      </c>
      <c r="B36" s="308" t="s">
        <v>1173</v>
      </c>
      <c r="C36" s="24">
        <f ca="1">ROUND(C29*F36,1)</f>
        <v>33.200000000000003</v>
      </c>
      <c r="D36" s="1478" t="s">
        <v>1206</v>
      </c>
      <c r="E36" s="308" t="s">
        <v>1146</v>
      </c>
      <c r="F36" s="334">
        <f ca="1">INDIRECT("'数据-取费表'!Ak"&amp;$G$1)</f>
        <v>2E-3</v>
      </c>
      <c r="G36" s="1518"/>
      <c r="H36" s="2878"/>
      <c r="I36" s="1532"/>
      <c r="J36" s="1533"/>
      <c r="K36" s="2719"/>
      <c r="L36" s="2878"/>
      <c r="M36" s="2878"/>
    </row>
    <row r="37" spans="1:18" ht="18" customHeight="1">
      <c r="A37" s="1094" t="s">
        <v>862</v>
      </c>
      <c r="B37" s="308" t="s">
        <v>1177</v>
      </c>
      <c r="C37" s="24">
        <f ca="1">ROUND(C13*F37,1)</f>
        <v>14.1</v>
      </c>
      <c r="D37" s="1478" t="s">
        <v>1178</v>
      </c>
      <c r="E37" s="308" t="s">
        <v>1179</v>
      </c>
      <c r="F37" s="336">
        <f ca="1">INDIRECT("'数据-取费表'!Al"&amp;$G$1)</f>
        <v>1E-3</v>
      </c>
      <c r="G37" s="1518"/>
      <c r="H37" s="2878"/>
      <c r="I37" s="1532"/>
      <c r="J37" s="1533"/>
      <c r="K37" s="2719"/>
      <c r="L37" s="2878"/>
      <c r="M37" s="2878"/>
    </row>
    <row r="38" spans="1:18" ht="18" customHeight="1" thickBot="1">
      <c r="A38" s="1201" t="s">
        <v>1117</v>
      </c>
      <c r="B38" s="1202" t="s">
        <v>1163</v>
      </c>
      <c r="C38" s="1203">
        <f ca="1">ROUND(C5*F38,1)</f>
        <v>28.7</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6">
        <f ca="1">C5-C30</f>
        <v>2311</v>
      </c>
      <c r="D39" s="1207" t="s">
        <v>1208</v>
      </c>
      <c r="E39" s="1208"/>
      <c r="F39" s="1209"/>
      <c r="G39" s="1518"/>
      <c r="H39" s="2878"/>
      <c r="I39" s="1532"/>
      <c r="J39" s="1533"/>
      <c r="K39" s="2882"/>
      <c r="L39" s="2878"/>
      <c r="M39" s="2878"/>
    </row>
    <row r="40" spans="1:18" ht="18" customHeight="1">
      <c r="A40" s="305" t="s">
        <v>819</v>
      </c>
      <c r="B40" s="306" t="s">
        <v>1209</v>
      </c>
      <c r="C40" s="307">
        <f ca="1">ROUND(C39*(1-((1+F42)/(1+F40))^F41)/(F40-F42),0)</f>
        <v>31800</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17.579999999999998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13488</v>
      </c>
      <c r="D43" s="343" t="s">
        <v>1212</v>
      </c>
      <c r="E43" s="344" t="s">
        <v>1213</v>
      </c>
      <c r="F43" s="345">
        <f ca="1">INDIRECT("'数据-取费表'!k"&amp;$G$1)</f>
        <v>23576.31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-47789</v>
      </c>
      <c r="D46" s="1540" t="str">
        <f>C2</f>
        <v>万元</v>
      </c>
      <c r="E46" s="1534"/>
      <c r="F46" s="1534"/>
      <c r="I46" s="1541" t="s">
        <v>1245</v>
      </c>
      <c r="J46" s="1542"/>
      <c r="K46" s="1543"/>
      <c r="L46" s="1544">
        <f ca="1">IF(M47="住宅",0,IF(L48&gt;J51,L60,J60))</f>
        <v>1860</v>
      </c>
      <c r="O46" s="1545" t="s">
        <v>1246</v>
      </c>
      <c r="P46" s="1546" t="s">
        <v>1247</v>
      </c>
      <c r="Q46" s="1547" t="s">
        <v>1248</v>
      </c>
      <c r="R46" s="1547" t="s">
        <v>1249</v>
      </c>
    </row>
    <row r="47" spans="1:18" s="1518" customFormat="1" ht="13.5" thickBot="1">
      <c r="A47" s="1058" t="s">
        <v>1120</v>
      </c>
      <c r="B47" s="1090" t="s">
        <v>1121</v>
      </c>
      <c r="C47" s="1229" t="s">
        <v>1122</v>
      </c>
      <c r="D47" s="1090" t="s">
        <v>1123</v>
      </c>
      <c r="E47" s="1170" t="s">
        <v>1124</v>
      </c>
      <c r="F47" s="1171"/>
      <c r="G47" s="731"/>
      <c r="I47" s="1548" t="s">
        <v>1250</v>
      </c>
      <c r="J47" s="1549" t="s">
        <v>3254</v>
      </c>
      <c r="K47" s="1550" t="s">
        <v>1251</v>
      </c>
      <c r="L47" s="1551">
        <f ca="1">INDIRECT("'数据-取费表'!d"&amp;$G$1)</f>
        <v>40</v>
      </c>
      <c r="M47" s="1514" t="str">
        <f>IF(ISNUMBER(FIND("住宅",C1)),"住宅","非住宅")</f>
        <v>非住宅</v>
      </c>
      <c r="O47" s="1552" t="s">
        <v>827</v>
      </c>
      <c r="P47" s="1553" t="s">
        <v>1252</v>
      </c>
      <c r="Q47" s="1554">
        <f ca="1">C40+J29</f>
        <v>31800</v>
      </c>
      <c r="R47" s="1554" t="s">
        <v>1253</v>
      </c>
    </row>
    <row r="48" spans="1:18" s="1518" customFormat="1" ht="28.5" thickBot="1">
      <c r="A48" s="1222" t="s">
        <v>863</v>
      </c>
      <c r="B48" s="306" t="s">
        <v>1125</v>
      </c>
      <c r="C48" s="1493">
        <f ca="1">C49+C53+C55</f>
        <v>0</v>
      </c>
      <c r="D48" s="1224"/>
      <c r="E48" s="1225"/>
      <c r="F48" s="1074"/>
      <c r="G48" s="731"/>
      <c r="H48" s="732"/>
      <c r="I48" s="1555" t="s">
        <v>1254</v>
      </c>
      <c r="J48" s="1556" t="s">
        <v>3255</v>
      </c>
      <c r="K48" s="1557" t="s">
        <v>1255</v>
      </c>
      <c r="L48" s="1558">
        <f ca="1">INDIRECT("'数据-取费表'!f"&amp;$G$1)</f>
        <v>17.579999999999998</v>
      </c>
      <c r="O48" s="1552" t="s">
        <v>828</v>
      </c>
      <c r="P48" s="1553" t="s">
        <v>1256</v>
      </c>
      <c r="Q48" s="1554">
        <f ca="1">J60</f>
        <v>1860</v>
      </c>
      <c r="R48" s="1554" t="s">
        <v>1257</v>
      </c>
    </row>
    <row r="49" spans="1:18" s="1518" customFormat="1" ht="13.5" thickBot="1">
      <c r="A49" s="1087" t="s">
        <v>864</v>
      </c>
      <c r="B49" s="1505" t="s">
        <v>1214</v>
      </c>
      <c r="C49" s="1226">
        <f ca="1">ROUND(F49*F51*F50*(1-F52)/10000,0)</f>
        <v>0</v>
      </c>
      <c r="D49" s="1167" t="s">
        <v>2610</v>
      </c>
      <c r="E49" s="1506" t="s">
        <v>1215</v>
      </c>
      <c r="F49" s="1172"/>
      <c r="G49" s="1559"/>
      <c r="H49" s="732"/>
      <c r="I49" s="1555" t="s">
        <v>1258</v>
      </c>
      <c r="J49" s="1560">
        <v>2000</v>
      </c>
      <c r="K49" s="1557" t="s">
        <v>1259</v>
      </c>
      <c r="L49" s="1561"/>
      <c r="O49" s="1562" t="s">
        <v>829</v>
      </c>
      <c r="P49" s="1553" t="s">
        <v>1260</v>
      </c>
      <c r="Q49" s="1554">
        <f ca="1">C29</f>
        <v>16577</v>
      </c>
      <c r="R49" s="1554" t="s">
        <v>1253</v>
      </c>
    </row>
    <row r="50" spans="1:18" s="1518" customFormat="1" ht="13.5" thickBot="1">
      <c r="A50" s="1088"/>
      <c r="B50" s="1091"/>
      <c r="C50" s="1230"/>
      <c r="D50" s="1065"/>
      <c r="E50" s="1168" t="s">
        <v>1130</v>
      </c>
      <c r="F50" s="1169">
        <f ca="1">F7</f>
        <v>23576.31</v>
      </c>
      <c r="H50" s="732"/>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9"/>
      <c r="B51" s="1091"/>
      <c r="C51" s="1092"/>
      <c r="D51" s="1065"/>
      <c r="E51" s="1093" t="s">
        <v>1131</v>
      </c>
      <c r="F51" s="309">
        <f ca="1">F8</f>
        <v>365</v>
      </c>
      <c r="I51" s="1566" t="s">
        <v>1264</v>
      </c>
      <c r="J51" s="1567">
        <f>IF(J49="",J50,J49+J50-YEAR('数据-取费表'!B2))</f>
        <v>38</v>
      </c>
      <c r="K51" s="1568" t="s">
        <v>1265</v>
      </c>
      <c r="L51" s="1569">
        <f ca="1">ROUND(-PV(INDIRECT("'数据-取费表'!h"&amp;$G$1),J51,(C39-C13*C76),0),0)</f>
        <v>22345</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17.579999999999998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6">
        <f ca="1">IF(M47="住宅",IF(D1="——",MAX(J51,L48),MAX(J51,L48-'数据-取费表'!B24)),IF(D1="——",MIN(J51,L48),MIN(J51,L48-'数据-取费表'!B24)))</f>
        <v>17.579999999999998</v>
      </c>
      <c r="K53" s="3465" t="s">
        <v>1272</v>
      </c>
      <c r="L53" s="3466"/>
      <c r="O53" s="1552" t="s">
        <v>833</v>
      </c>
      <c r="P53" s="1553" t="s">
        <v>1273</v>
      </c>
      <c r="Q53" s="1554">
        <f ca="1">Q47+Q48</f>
        <v>33660</v>
      </c>
      <c r="R53" s="1554" t="s">
        <v>834</v>
      </c>
    </row>
    <row r="54" spans="1:18" s="1518" customFormat="1" ht="13.5" thickBot="1">
      <c r="A54" s="1267"/>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0.34</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14090</v>
      </c>
      <c r="D56" s="1581"/>
      <c r="E56" s="1582"/>
      <c r="F56" s="1574"/>
      <c r="I56" s="1583" t="s">
        <v>1278</v>
      </c>
      <c r="J56" s="1584" t="s">
        <v>3302</v>
      </c>
      <c r="K56" s="1555" t="s">
        <v>1279</v>
      </c>
      <c r="L56" s="1558" t="str">
        <f ca="1">IF(L48&lt;J51,"——",L48-J53)</f>
        <v>——</v>
      </c>
      <c r="O56" s="1552" t="s">
        <v>827</v>
      </c>
      <c r="P56" s="1553" t="s">
        <v>1252</v>
      </c>
      <c r="Q56" s="1554">
        <f ca="1">C40+J29</f>
        <v>31800</v>
      </c>
      <c r="R56" s="1554" t="s">
        <v>1253</v>
      </c>
    </row>
    <row r="57" spans="1:18" s="1518" customFormat="1" ht="24.75" thickBot="1">
      <c r="A57" s="1585"/>
      <c r="B57" s="1062" t="s">
        <v>1202</v>
      </c>
      <c r="C57" s="244">
        <f ca="1">C29</f>
        <v>16577</v>
      </c>
      <c r="D57" s="1586"/>
      <c r="E57" s="1587"/>
      <c r="F57" s="1588"/>
      <c r="I57" s="1589" t="s">
        <v>1280</v>
      </c>
      <c r="J57" s="1590">
        <f ca="1">IF(OR(M47="住宅",J51&lt;L48,J56="是"),"——",J51-L48)</f>
        <v>20.420000000000002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1442</v>
      </c>
      <c r="D58" s="1072" t="s">
        <v>1149</v>
      </c>
      <c r="E58" s="1073"/>
      <c r="F58" s="1074"/>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1395</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6631</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1860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1392.47</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2.92</v>
      </c>
      <c r="D62" s="1077" t="s">
        <v>1221</v>
      </c>
      <c r="E62" s="1062" t="s">
        <v>1222</v>
      </c>
      <c r="F62" s="331">
        <f t="shared" si="0"/>
        <v>12</v>
      </c>
      <c r="I62" s="1596" t="s">
        <v>1294</v>
      </c>
      <c r="J62" s="1597" t="s">
        <v>1295</v>
      </c>
      <c r="K62" s="1597" t="s">
        <v>1296</v>
      </c>
      <c r="L62" s="1597" t="s">
        <v>1297</v>
      </c>
      <c r="M62" s="1598" t="s">
        <v>1298</v>
      </c>
      <c r="O62" s="1552" t="s">
        <v>833</v>
      </c>
      <c r="P62" s="1553" t="s">
        <v>1299</v>
      </c>
      <c r="Q62" s="1554">
        <f ca="1">Q56+Q57</f>
        <v>31800</v>
      </c>
      <c r="R62" s="1554" t="s">
        <v>834</v>
      </c>
    </row>
    <row r="63" spans="1:18" s="1518" customFormat="1" ht="13.5" thickBot="1">
      <c r="A63" s="332"/>
      <c r="B63" s="1068"/>
      <c r="C63" s="29"/>
      <c r="D63" s="1078"/>
      <c r="E63" s="1062" t="s">
        <v>1223</v>
      </c>
      <c r="F63" s="309">
        <f t="shared" ca="1" si="0"/>
        <v>2435.9</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33.200000000000003</v>
      </c>
      <c r="D64" s="1076" t="s">
        <v>1226</v>
      </c>
      <c r="E64" s="1062" t="s">
        <v>1218</v>
      </c>
      <c r="F64" s="334">
        <f t="shared" ca="1" si="0"/>
        <v>2E-3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14.1</v>
      </c>
      <c r="D65" s="1076" t="s">
        <v>1178</v>
      </c>
      <c r="E65" s="1062" t="s">
        <v>1179</v>
      </c>
      <c r="F65" s="336">
        <f t="shared" ca="1" si="0"/>
        <v>1E-3</v>
      </c>
      <c r="I65" s="1596" t="s">
        <v>1303</v>
      </c>
      <c r="J65" s="1597">
        <v>40</v>
      </c>
      <c r="K65" s="1597">
        <v>30</v>
      </c>
      <c r="L65" s="1597">
        <v>50</v>
      </c>
      <c r="M65" s="1599">
        <v>0.02</v>
      </c>
      <c r="O65" s="1552" t="s">
        <v>827</v>
      </c>
      <c r="P65" s="1553" t="s">
        <v>1304</v>
      </c>
      <c r="Q65" s="1554">
        <f ca="1">C40+J29</f>
        <v>31800</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-1442</v>
      </c>
      <c r="D67" s="1075" t="s">
        <v>1188</v>
      </c>
      <c r="E67" s="1080"/>
      <c r="F67" s="1081"/>
      <c r="O67" s="1562" t="s">
        <v>829</v>
      </c>
      <c r="P67" s="1553" t="s">
        <v>1286</v>
      </c>
      <c r="Q67" s="1600">
        <f ca="1">L51</f>
        <v>22345</v>
      </c>
      <c r="R67" s="1554" t="s">
        <v>1306</v>
      </c>
    </row>
    <row r="68" spans="1:18" s="1518" customFormat="1" ht="16.5" thickBot="1">
      <c r="A68" s="1059" t="s">
        <v>819</v>
      </c>
      <c r="B68" s="1060" t="s">
        <v>1209</v>
      </c>
      <c r="C68" s="307">
        <f ca="1">ROUND(C67*(1-((1+F70)/(1+F68))^F69)/(F68-F70),0)</f>
        <v>-15989</v>
      </c>
      <c r="D68" s="1077" t="s">
        <v>1193</v>
      </c>
      <c r="E68" s="1062" t="s">
        <v>1194</v>
      </c>
      <c r="F68" s="318">
        <f ca="1">F40</f>
        <v>5.5E-2</v>
      </c>
      <c r="O68" s="1562" t="s">
        <v>830</v>
      </c>
      <c r="P68" s="1601" t="s">
        <v>1307</v>
      </c>
      <c r="Q68" s="1554">
        <f ca="1">ROUND(Q69-Q70*Q71,0)</f>
        <v>1325</v>
      </c>
      <c r="R68" s="1554" t="s">
        <v>838</v>
      </c>
    </row>
    <row r="69" spans="1:18" s="1518" customFormat="1" ht="13.5" thickBot="1">
      <c r="A69" s="1063"/>
      <c r="B69" s="1064"/>
      <c r="C69" s="312"/>
      <c r="D69" s="1082" t="s">
        <v>1197</v>
      </c>
      <c r="E69" s="1062" t="s">
        <v>1198</v>
      </c>
      <c r="F69" s="339">
        <f ca="1">F41</f>
        <v>17.579999999999998</v>
      </c>
      <c r="O69" s="1562" t="s">
        <v>835</v>
      </c>
      <c r="P69" s="1601" t="s">
        <v>1308</v>
      </c>
      <c r="Q69" s="1554">
        <f ca="1">C39</f>
        <v>2311</v>
      </c>
      <c r="R69" s="1554" t="s">
        <v>1253</v>
      </c>
    </row>
    <row r="70" spans="1:18" s="1518" customFormat="1" ht="13.5" thickBot="1">
      <c r="A70" s="1066"/>
      <c r="B70" s="1067"/>
      <c r="C70" s="316"/>
      <c r="D70" s="1078"/>
      <c r="E70" s="1062" t="s">
        <v>1201</v>
      </c>
      <c r="F70" s="1166"/>
      <c r="O70" s="1562" t="s">
        <v>836</v>
      </c>
      <c r="P70" s="1601" t="s">
        <v>1309</v>
      </c>
      <c r="Q70" s="1554">
        <f ca="1">C13</f>
        <v>14090</v>
      </c>
      <c r="R70" s="1554" t="s">
        <v>1253</v>
      </c>
    </row>
    <row r="71" spans="1:18" s="1518" customFormat="1" ht="13.5" thickBot="1">
      <c r="A71" s="1083" t="s">
        <v>820</v>
      </c>
      <c r="B71" s="1084" t="s">
        <v>1211</v>
      </c>
      <c r="C71" s="342">
        <f ca="1">ROUND(C68*10000/F71,0)</f>
        <v>-6782</v>
      </c>
      <c r="D71" s="1085" t="s">
        <v>1212</v>
      </c>
      <c r="E71" s="1086" t="s">
        <v>1213</v>
      </c>
      <c r="F71" s="345">
        <f ca="1">F43</f>
        <v>23576.31</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986</v>
      </c>
      <c r="D75" s="1518"/>
      <c r="E75" s="1518"/>
      <c r="F75" s="1518"/>
      <c r="K75" s="1536"/>
      <c r="L75" s="1518"/>
      <c r="O75" s="1552" t="s">
        <v>833</v>
      </c>
      <c r="P75" s="1553" t="s">
        <v>1273</v>
      </c>
      <c r="Q75" s="1554">
        <f ca="1">Q65+Q66</f>
        <v>31800</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0.57299999999999995</v>
      </c>
    </row>
    <row r="80" spans="1:18">
      <c r="B80" s="346" t="s">
        <v>1235</v>
      </c>
      <c r="C80" s="280">
        <f ca="1">ROUND(C75/C39,3)</f>
        <v>0.42699999999999999</v>
      </c>
    </row>
    <row r="81" spans="2:3">
      <c r="B81" s="276" t="s">
        <v>1236</v>
      </c>
      <c r="C81" s="244"/>
    </row>
    <row r="82" spans="2:3">
      <c r="B82" s="279" t="s">
        <v>1237</v>
      </c>
      <c r="C82" s="281">
        <f ca="1">1-C83</f>
        <v>0.55699999999999994</v>
      </c>
    </row>
    <row r="83" spans="2:3">
      <c r="B83" s="279" t="s">
        <v>1238</v>
      </c>
      <c r="C83" s="280">
        <f ca="1">ROUND(C13/C40,3)</f>
        <v>0.443</v>
      </c>
    </row>
  </sheetData>
  <sheetProtection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67" t="s">
        <v>1127</v>
      </c>
      <c r="C6" s="1187">
        <f ca="1">ROUND(F6*F8*F7*(1-F9),0)</f>
        <v>0</v>
      </c>
      <c r="D6" s="160" t="s">
        <v>2606</v>
      </c>
      <c r="E6" s="308" t="s">
        <v>1129</v>
      </c>
      <c r="F6" s="309">
        <f ca="1">INDIRECT("'数据-取费表'!u"&amp;$G$1)</f>
        <v>0</v>
      </c>
      <c r="G6" s="1518"/>
      <c r="H6" s="1182" t="s">
        <v>822</v>
      </c>
      <c r="I6" s="3467" t="s">
        <v>1127</v>
      </c>
      <c r="J6" s="307">
        <f ca="1">ROUND(M6*M8*M7*(1-M9),0)</f>
        <v>0</v>
      </c>
      <c r="K6" s="1510" t="s">
        <v>2607</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0</v>
      </c>
      <c r="G7" s="1518"/>
      <c r="H7" s="310"/>
      <c r="I7" s="3468"/>
      <c r="J7" s="312"/>
      <c r="K7" s="313"/>
      <c r="L7" s="308" t="s">
        <v>1130</v>
      </c>
      <c r="M7" s="309">
        <f ca="1">F7</f>
        <v>0</v>
      </c>
    </row>
    <row r="8" spans="1:37" ht="18" customHeight="1">
      <c r="A8" s="310"/>
      <c r="B8" s="3468"/>
      <c r="C8" s="312"/>
      <c r="D8" s="313"/>
      <c r="E8" s="308" t="s">
        <v>1131</v>
      </c>
      <c r="F8" s="309">
        <f ca="1">INDIRECT("'数据-取费表'!ai"&amp;$G$1)</f>
        <v>0</v>
      </c>
      <c r="G8" s="1518"/>
      <c r="H8" s="310"/>
      <c r="I8" s="3468"/>
      <c r="J8" s="312"/>
      <c r="K8" s="313"/>
      <c r="L8" s="308" t="s">
        <v>1131</v>
      </c>
      <c r="M8" s="309">
        <f ca="1">INDIRECT("'数据-取费表'!ai"&amp;$G$1)</f>
        <v>0</v>
      </c>
    </row>
    <row r="9" spans="1:37" ht="18" customHeight="1">
      <c r="A9" s="310"/>
      <c r="B9" s="3469"/>
      <c r="C9" s="312"/>
      <c r="D9" s="313"/>
      <c r="E9" s="308" t="s">
        <v>1132</v>
      </c>
      <c r="F9" s="318">
        <f ca="1">INDIRECT("'数据-取费表'!w"&amp;$G$1)</f>
        <v>0</v>
      </c>
      <c r="G9" s="1518"/>
      <c r="H9" s="310"/>
      <c r="I9" s="3469"/>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2616</v>
      </c>
      <c r="E10" s="319" t="s">
        <v>1134</v>
      </c>
      <c r="F10" s="1228"/>
      <c r="G10" s="1518"/>
      <c r="H10" s="1182" t="s">
        <v>826</v>
      </c>
      <c r="I10" s="1499" t="s">
        <v>1133</v>
      </c>
      <c r="J10" s="307">
        <f ca="1">ROUND(IF(M10="押一",J6/12*M11,IF(M10="押二",J6/12*2*M11,IF(M10="押三",J6/12*3*M11,J11*M11))),0)</f>
        <v>0</v>
      </c>
      <c r="K10" s="1511" t="s">
        <v>2618</v>
      </c>
      <c r="L10" s="319" t="s">
        <v>1134</v>
      </c>
      <c r="M10" s="1228"/>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1">
        <f ca="1">ROUND(J14*J15,0)</f>
        <v>0</v>
      </c>
      <c r="K13" s="1199"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0.03</v>
      </c>
      <c r="G20" s="1530"/>
      <c r="H20" s="1094"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0.03</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4.3499999999999997E-2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8"/>
      <c r="I33" s="1532"/>
      <c r="J33" s="1533"/>
      <c r="K33" s="2879"/>
      <c r="L33" s="2878"/>
      <c r="M33" s="2878"/>
    </row>
    <row r="34" spans="1:18" ht="18" customHeight="1">
      <c r="A34" s="1182" t="s">
        <v>1113</v>
      </c>
      <c r="B34" s="160" t="s">
        <v>1165</v>
      </c>
      <c r="C34" s="25">
        <f ca="1">IF(项目基本情况!B11="自然人","——",ROUND(F34*F35,))</f>
        <v>0</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0</v>
      </c>
      <c r="G35" s="1518"/>
      <c r="H35" s="2875"/>
      <c r="I35" s="1532"/>
      <c r="J35" s="1533"/>
      <c r="K35" s="2879"/>
      <c r="L35" s="2878"/>
      <c r="M35" s="2878"/>
    </row>
    <row r="36" spans="1:18" ht="18" customHeight="1">
      <c r="A36" s="1214" t="s">
        <v>826</v>
      </c>
      <c r="B36" s="308" t="s">
        <v>1173</v>
      </c>
      <c r="C36" s="24">
        <f ca="1">ROUND(C29*F36,0)</f>
        <v>0</v>
      </c>
      <c r="D36" s="1478" t="s">
        <v>1206</v>
      </c>
      <c r="E36" s="308" t="s">
        <v>1146</v>
      </c>
      <c r="F36" s="334">
        <f ca="1">INDIRECT("'数据-取费表'!Ak"&amp;$G$1)</f>
        <v>0</v>
      </c>
      <c r="G36" s="1518"/>
      <c r="H36" s="2878"/>
      <c r="I36" s="1532"/>
      <c r="J36" s="1533"/>
      <c r="K36" s="2719"/>
      <c r="L36" s="2878"/>
      <c r="M36" s="2878"/>
    </row>
    <row r="37" spans="1:18" ht="18" customHeight="1">
      <c r="A37" s="1094" t="s">
        <v>862</v>
      </c>
      <c r="B37" s="308" t="s">
        <v>1177</v>
      </c>
      <c r="C37" s="24">
        <f ca="1">ROUND(C13*F37,0)</f>
        <v>0</v>
      </c>
      <c r="D37" s="1478" t="s">
        <v>1178</v>
      </c>
      <c r="E37" s="308" t="s">
        <v>1179</v>
      </c>
      <c r="F37" s="336">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6">
        <f ca="1">C5-C30</f>
        <v>0</v>
      </c>
      <c r="D39" s="1207" t="s">
        <v>1208</v>
      </c>
      <c r="E39" s="1208"/>
      <c r="F39" s="1209"/>
      <c r="G39" s="1518"/>
      <c r="H39" s="2878"/>
      <c r="I39" s="1532"/>
      <c r="J39" s="1533"/>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9"/>
      <c r="L41" s="1305"/>
      <c r="M41" s="1305"/>
    </row>
    <row r="42" spans="1:18" ht="18" customHeight="1">
      <c r="A42" s="314"/>
      <c r="B42" s="315"/>
      <c r="C42" s="316"/>
      <c r="D42" s="333"/>
      <c r="E42" s="308" t="s">
        <v>1201</v>
      </c>
      <c r="F42" s="318">
        <f ca="1">INDIRECT("'数据-取费表'!v"&amp;$G$1)</f>
        <v>0</v>
      </c>
      <c r="G42" s="1518"/>
      <c r="H42" s="1305"/>
      <c r="I42" s="1532"/>
      <c r="J42" s="1533"/>
      <c r="K42" s="2719"/>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6">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9" t="s">
        <v>1133</v>
      </c>
      <c r="C53" s="322">
        <f ca="1">ROUND(IF(F53="押一",C49/12*F11,IF(F53="押二",C49/12*2*F11,IF(F53="押三",C49/12*3*F11,C54*F11))),0)</f>
        <v>0</v>
      </c>
      <c r="D53" s="1500" t="s">
        <v>2619</v>
      </c>
      <c r="E53" s="319" t="s">
        <v>1134</v>
      </c>
      <c r="F53" s="1228"/>
      <c r="I53" s="1573" t="s">
        <v>1271</v>
      </c>
      <c r="J53" s="2336">
        <f ca="1">IF(M47="住宅",IF(D1="——",MAX(J51,L48),MAX(J51,L48-'数据-取费表'!B24)),IF(D1="——",MIN(J51,L48),MIN(J51,L48-'数据-取费表'!B24)))</f>
        <v>0</v>
      </c>
      <c r="K53" s="3465" t="s">
        <v>1272</v>
      </c>
      <c r="L53" s="3466"/>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t="e">
        <f>C40</f>
        <v>#DIV/0!</v>
      </c>
      <c r="C2" s="3024" t="s">
        <v>2821</v>
      </c>
      <c r="D2" s="3024"/>
      <c r="E2" s="3025"/>
      <c r="F2" s="3026"/>
      <c r="G2" s="3027"/>
      <c r="H2" s="3028"/>
      <c r="I2" s="3029"/>
      <c r="J2" s="3476" t="s">
        <v>2822</v>
      </c>
      <c r="K2" s="3477"/>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78" t="s">
        <v>2832</v>
      </c>
      <c r="K3" s="3479"/>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78" t="s">
        <v>2834</v>
      </c>
      <c r="K4" s="3479"/>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84" t="s">
        <v>2838</v>
      </c>
      <c r="B6" s="3485"/>
      <c r="C6" s="3486"/>
      <c r="D6" s="3050"/>
      <c r="E6" s="3051"/>
      <c r="F6" s="3052"/>
      <c r="G6" s="3053"/>
      <c r="H6" s="3028"/>
      <c r="I6" s="3029"/>
      <c r="J6" s="3470">
        <v>1</v>
      </c>
      <c r="K6" s="3471"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70"/>
      <c r="K7" s="3472"/>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87" t="s">
        <v>2852</v>
      </c>
      <c r="C8" s="3488"/>
      <c r="D8" s="3069" t="s">
        <v>2853</v>
      </c>
      <c r="E8" s="3070" t="s">
        <v>2854</v>
      </c>
      <c r="F8" s="3071" t="s">
        <v>2855</v>
      </c>
      <c r="G8" s="3072"/>
      <c r="H8" s="3028"/>
      <c r="I8" s="3029"/>
      <c r="J8" s="3470"/>
      <c r="K8" s="3472"/>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87" t="s">
        <v>2858</v>
      </c>
      <c r="C9" s="3488"/>
      <c r="D9" s="3069">
        <f>ROUND(D6*E9,0)</f>
        <v>0</v>
      </c>
      <c r="E9" s="3073"/>
      <c r="F9" s="3074" t="s">
        <v>2859</v>
      </c>
      <c r="G9" s="3053"/>
      <c r="H9" s="3028"/>
      <c r="I9" s="3029"/>
      <c r="J9" s="3470"/>
      <c r="K9" s="3472"/>
      <c r="L9" s="3063" t="s">
        <v>2860</v>
      </c>
      <c r="M9" s="3064"/>
      <c r="N9" s="3040"/>
      <c r="O9" s="3065"/>
      <c r="P9" s="3065"/>
      <c r="Q9" s="3066">
        <v>365</v>
      </c>
      <c r="R9" s="3067">
        <f t="shared" si="0"/>
        <v>0</v>
      </c>
      <c r="S9" s="3021"/>
      <c r="T9" s="3021"/>
      <c r="U9" s="3021"/>
      <c r="V9" s="3029"/>
    </row>
    <row r="10" spans="1:22" s="3033" customFormat="1" ht="13.15" customHeight="1">
      <c r="A10" s="3068">
        <v>2</v>
      </c>
      <c r="B10" s="3487" t="s">
        <v>2861</v>
      </c>
      <c r="C10" s="3488"/>
      <c r="D10" s="3069">
        <f>ROUND(D6*E10,0)</f>
        <v>0</v>
      </c>
      <c r="E10" s="3073"/>
      <c r="F10" s="3074" t="s">
        <v>2862</v>
      </c>
      <c r="G10" s="3053"/>
      <c r="H10" s="3028"/>
      <c r="I10" s="3029"/>
      <c r="J10" s="3470"/>
      <c r="K10" s="3472"/>
      <c r="L10" s="3063" t="s">
        <v>2863</v>
      </c>
      <c r="M10" s="3064"/>
      <c r="N10" s="3040"/>
      <c r="O10" s="3065"/>
      <c r="P10" s="3065"/>
      <c r="Q10" s="3066">
        <v>365</v>
      </c>
      <c r="R10" s="3067">
        <f t="shared" si="0"/>
        <v>0</v>
      </c>
      <c r="S10" s="3021"/>
      <c r="T10" s="3021"/>
      <c r="U10" s="3021"/>
      <c r="V10" s="3029"/>
    </row>
    <row r="11" spans="1:22" s="3033" customFormat="1" ht="13.15" customHeight="1">
      <c r="A11" s="3068">
        <v>3</v>
      </c>
      <c r="B11" s="3487" t="s">
        <v>2864</v>
      </c>
      <c r="C11" s="3488"/>
      <c r="D11" s="3069">
        <f>D12+D14+D15+D16</f>
        <v>0</v>
      </c>
      <c r="E11" s="3075" t="e">
        <f>D11/D6</f>
        <v>#DIV/0!</v>
      </c>
      <c r="F11" s="3071"/>
      <c r="G11" s="3072"/>
      <c r="H11" s="3028"/>
      <c r="I11" s="3029"/>
      <c r="J11" s="3470"/>
      <c r="K11" s="3472"/>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80" t="s">
        <v>2867</v>
      </c>
      <c r="C12" s="3481"/>
      <c r="D12" s="3077">
        <f>ROUND(D13*1.2%*(1-30%),0)</f>
        <v>0</v>
      </c>
      <c r="E12" s="3078">
        <v>1.2E-2</v>
      </c>
      <c r="F12" s="3071" t="s">
        <v>2868</v>
      </c>
      <c r="G12" s="3072"/>
      <c r="H12" s="3028"/>
      <c r="I12" s="3029"/>
      <c r="J12" s="3470"/>
      <c r="K12" s="3472"/>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70"/>
      <c r="K13" s="3472"/>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80" t="s">
        <v>2873</v>
      </c>
      <c r="C14" s="3481"/>
      <c r="D14" s="3077">
        <f>ROUND(E14*B5/10000,0)</f>
        <v>0</v>
      </c>
      <c r="E14" s="3066"/>
      <c r="F14" s="3071" t="s">
        <v>2874</v>
      </c>
      <c r="G14" s="3072"/>
      <c r="H14" s="3028"/>
      <c r="I14" s="3029"/>
      <c r="J14" s="3470"/>
      <c r="K14" s="3473"/>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80" t="s">
        <v>2877</v>
      </c>
      <c r="C15" s="3481"/>
      <c r="D15" s="3077">
        <f>ROUND(D6*E15,0)</f>
        <v>0</v>
      </c>
      <c r="E15" s="3078">
        <v>5.5E-2</v>
      </c>
      <c r="F15" s="3071" t="s">
        <v>2878</v>
      </c>
      <c r="G15" s="3053"/>
      <c r="H15" s="3028"/>
      <c r="I15" s="3029"/>
      <c r="J15" s="3470">
        <v>2</v>
      </c>
      <c r="K15" s="3471"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80" t="s">
        <v>2886</v>
      </c>
      <c r="C16" s="3481"/>
      <c r="D16" s="3088">
        <f>D6*E16</f>
        <v>0</v>
      </c>
      <c r="E16" s="3089"/>
      <c r="F16" s="3074" t="s">
        <v>2887</v>
      </c>
      <c r="G16" s="3053"/>
      <c r="H16" s="3028"/>
      <c r="I16" s="3029"/>
      <c r="J16" s="3470"/>
      <c r="K16" s="3472"/>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82" t="s">
        <v>2889</v>
      </c>
      <c r="C17" s="3483"/>
      <c r="D17" s="3091">
        <f>ROUND(D6*E17,0)</f>
        <v>0</v>
      </c>
      <c r="E17" s="3092"/>
      <c r="F17" s="3093" t="s">
        <v>2890</v>
      </c>
      <c r="G17" s="3053"/>
      <c r="H17" s="3028"/>
      <c r="I17" s="3029"/>
      <c r="J17" s="3470"/>
      <c r="K17" s="3472"/>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70"/>
      <c r="K18" s="3472"/>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70"/>
      <c r="K19" s="3473"/>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70">
        <v>3</v>
      </c>
      <c r="K20" s="3471"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70"/>
      <c r="K21" s="3472"/>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70"/>
      <c r="K22" s="3472"/>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70"/>
      <c r="K23" s="3472"/>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70"/>
      <c r="K24" s="3473"/>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74">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75"/>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76" t="s">
        <v>2822</v>
      </c>
      <c r="K32" s="3477"/>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78" t="s">
        <v>2832</v>
      </c>
      <c r="K33" s="3479"/>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78" t="s">
        <v>2834</v>
      </c>
      <c r="K34" s="347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70">
        <v>1</v>
      </c>
      <c r="K36" s="3471"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70"/>
      <c r="K37" s="3472"/>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70"/>
      <c r="K38" s="3472"/>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70"/>
      <c r="K39" s="3472"/>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70"/>
      <c r="K40" s="3473"/>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4">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75"/>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23576.31</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507" t="s">
        <v>2116</v>
      </c>
      <c r="D4" s="3508"/>
      <c r="E4" s="3509" t="s">
        <v>2117</v>
      </c>
      <c r="F4" s="3510"/>
      <c r="G4" s="3507" t="s">
        <v>2118</v>
      </c>
      <c r="H4" s="3508"/>
      <c r="I4" s="3507" t="s">
        <v>2119</v>
      </c>
      <c r="J4" s="3508"/>
      <c r="K4" s="2025" t="s">
        <v>2120</v>
      </c>
      <c r="L4" s="2893"/>
      <c r="M4" s="2894"/>
      <c r="N4" s="2894"/>
      <c r="O4" s="2894"/>
      <c r="P4" s="3511" t="s">
        <v>2121</v>
      </c>
      <c r="Q4" s="3512"/>
      <c r="R4" s="3517" t="s">
        <v>2117</v>
      </c>
      <c r="S4" s="3518"/>
      <c r="T4" s="3517" t="s">
        <v>2118</v>
      </c>
      <c r="U4" s="3518"/>
      <c r="V4" s="3523" t="s">
        <v>2119</v>
      </c>
      <c r="W4" s="3523"/>
      <c r="X4" s="1489"/>
      <c r="Y4" s="3517" t="s">
        <v>2121</v>
      </c>
      <c r="Z4" s="3518"/>
      <c r="AA4" s="3504" t="s">
        <v>2117</v>
      </c>
      <c r="AB4" s="3504" t="s">
        <v>2118</v>
      </c>
      <c r="AC4" s="3504" t="s">
        <v>2119</v>
      </c>
    </row>
    <row r="5" spans="1:29" ht="15">
      <c r="A5" s="364"/>
      <c r="B5" s="365"/>
      <c r="C5" s="3526" t="s">
        <v>2122</v>
      </c>
      <c r="D5" s="3527"/>
      <c r="E5" s="3533" t="s">
        <v>2123</v>
      </c>
      <c r="F5" s="3534"/>
      <c r="G5" s="3526" t="s">
        <v>2124</v>
      </c>
      <c r="H5" s="3527"/>
      <c r="I5" s="3526" t="s">
        <v>2125</v>
      </c>
      <c r="J5" s="3527"/>
      <c r="K5" s="2026"/>
      <c r="L5" s="2893"/>
      <c r="M5" s="2894"/>
      <c r="N5" s="2894"/>
      <c r="O5" s="2894"/>
      <c r="P5" s="3513"/>
      <c r="Q5" s="3514"/>
      <c r="R5" s="3519"/>
      <c r="S5" s="3520"/>
      <c r="T5" s="3519"/>
      <c r="U5" s="3520"/>
      <c r="V5" s="3523"/>
      <c r="W5" s="3523"/>
      <c r="X5" s="1489"/>
      <c r="Y5" s="3519"/>
      <c r="Z5" s="3520"/>
      <c r="AA5" s="3505"/>
      <c r="AB5" s="3505"/>
      <c r="AC5" s="3505"/>
    </row>
    <row r="6" spans="1:29" ht="15.75" thickBot="1">
      <c r="A6" s="366"/>
      <c r="B6" s="367"/>
      <c r="C6" s="3524" t="s">
        <v>2126</v>
      </c>
      <c r="D6" s="3525"/>
      <c r="E6" s="3531" t="s">
        <v>2126</v>
      </c>
      <c r="F6" s="3532"/>
      <c r="G6" s="3524" t="s">
        <v>2126</v>
      </c>
      <c r="H6" s="3525"/>
      <c r="I6" s="3524" t="s">
        <v>2126</v>
      </c>
      <c r="J6" s="3525"/>
      <c r="K6" s="2026" t="s">
        <v>2127</v>
      </c>
      <c r="L6" s="2893"/>
      <c r="M6" s="2894"/>
      <c r="N6" s="2894"/>
      <c r="O6" s="2894"/>
      <c r="P6" s="3515"/>
      <c r="Q6" s="3516"/>
      <c r="R6" s="3519"/>
      <c r="S6" s="3520"/>
      <c r="T6" s="3521"/>
      <c r="U6" s="3522"/>
      <c r="V6" s="3523"/>
      <c r="W6" s="3523"/>
      <c r="X6" s="1489"/>
      <c r="Y6" s="3521"/>
      <c r="Z6" s="3522"/>
      <c r="AA6" s="3506"/>
      <c r="AB6" s="3506"/>
      <c r="AC6" s="3506"/>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528" t="s">
        <v>2129</v>
      </c>
      <c r="Q7" s="3530"/>
      <c r="R7" s="710" t="s">
        <v>23</v>
      </c>
      <c r="S7" s="711">
        <f t="shared" ref="S7:S15" si="0">F7</f>
        <v>0</v>
      </c>
      <c r="T7" s="710" t="s">
        <v>23</v>
      </c>
      <c r="U7" s="711">
        <f t="shared" ref="U7:U15" si="1">H7</f>
        <v>0</v>
      </c>
      <c r="V7" s="710" t="s">
        <v>23</v>
      </c>
      <c r="W7" s="711">
        <f t="shared" ref="W7:W15" si="2">J7</f>
        <v>0</v>
      </c>
      <c r="X7" s="712"/>
      <c r="Y7" s="3528" t="s">
        <v>2129</v>
      </c>
      <c r="Z7" s="3529"/>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528" t="s">
        <v>2132</v>
      </c>
      <c r="Q8" s="3529"/>
      <c r="R8" s="710" t="s">
        <v>23</v>
      </c>
      <c r="S8" s="711">
        <f t="shared" si="0"/>
        <v>0</v>
      </c>
      <c r="T8" s="710" t="s">
        <v>23</v>
      </c>
      <c r="U8" s="711">
        <f t="shared" si="1"/>
        <v>0</v>
      </c>
      <c r="V8" s="710" t="s">
        <v>23</v>
      </c>
      <c r="W8" s="711">
        <f t="shared" si="2"/>
        <v>0</v>
      </c>
      <c r="X8" s="712"/>
      <c r="Y8" s="3528" t="s">
        <v>2132</v>
      </c>
      <c r="Z8" s="352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503"/>
      <c r="Q11" s="1477" t="str">
        <f t="shared" si="6"/>
        <v>容积率</v>
      </c>
      <c r="R11" s="710" t="s">
        <v>21</v>
      </c>
      <c r="S11" s="711" t="e">
        <f t="shared" si="0"/>
        <v>#N/A</v>
      </c>
      <c r="T11" s="710" t="s">
        <v>21</v>
      </c>
      <c r="U11" s="711" t="e">
        <f t="shared" si="1"/>
        <v>#N/A</v>
      </c>
      <c r="V11" s="710" t="s">
        <v>21</v>
      </c>
      <c r="W11" s="711" t="e">
        <f t="shared" si="2"/>
        <v>#N/A</v>
      </c>
      <c r="X11" s="712"/>
      <c r="Y11" s="3364"/>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503"/>
      <c r="Q12" s="1477">
        <f t="shared" si="6"/>
        <v>111</v>
      </c>
      <c r="R12" s="710" t="s">
        <v>21</v>
      </c>
      <c r="S12" s="711">
        <f t="shared" si="0"/>
        <v>100</v>
      </c>
      <c r="T12" s="710" t="s">
        <v>21</v>
      </c>
      <c r="U12" s="711">
        <f t="shared" si="1"/>
        <v>100</v>
      </c>
      <c r="V12" s="710" t="s">
        <v>21</v>
      </c>
      <c r="W12" s="711">
        <f t="shared" si="2"/>
        <v>100</v>
      </c>
      <c r="X12" s="712"/>
      <c r="Y12" s="336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503"/>
      <c r="Q13" s="1477">
        <f t="shared" si="6"/>
        <v>111</v>
      </c>
      <c r="R13" s="710" t="s">
        <v>21</v>
      </c>
      <c r="S13" s="711">
        <f t="shared" si="0"/>
        <v>100</v>
      </c>
      <c r="T13" s="710" t="s">
        <v>21</v>
      </c>
      <c r="U13" s="711">
        <f t="shared" si="1"/>
        <v>100</v>
      </c>
      <c r="V13" s="710" t="s">
        <v>21</v>
      </c>
      <c r="W13" s="711">
        <f t="shared" si="2"/>
        <v>100</v>
      </c>
      <c r="X13" s="712"/>
      <c r="Y13" s="3364"/>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503"/>
      <c r="Q14" s="1477">
        <f t="shared" si="6"/>
        <v>111</v>
      </c>
      <c r="R14" s="710" t="s">
        <v>21</v>
      </c>
      <c r="S14" s="711">
        <f t="shared" si="0"/>
        <v>100</v>
      </c>
      <c r="T14" s="710" t="s">
        <v>21</v>
      </c>
      <c r="U14" s="711">
        <f t="shared" si="1"/>
        <v>100</v>
      </c>
      <c r="V14" s="710" t="s">
        <v>21</v>
      </c>
      <c r="W14" s="711">
        <f t="shared" si="2"/>
        <v>100</v>
      </c>
      <c r="X14" s="712"/>
      <c r="Y14" s="3364"/>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01" t="s">
        <v>2140</v>
      </c>
      <c r="Q15" s="1486" t="str">
        <f t="shared" si="6"/>
        <v>居住社区成熟度</v>
      </c>
      <c r="R15" s="714" t="s">
        <v>21</v>
      </c>
      <c r="S15" s="715">
        <f t="shared" si="0"/>
        <v>100</v>
      </c>
      <c r="T15" s="714" t="s">
        <v>21</v>
      </c>
      <c r="U15" s="715">
        <f t="shared" si="1"/>
        <v>100</v>
      </c>
      <c r="V15" s="714" t="s">
        <v>21</v>
      </c>
      <c r="W15" s="715">
        <f t="shared" si="2"/>
        <v>100</v>
      </c>
      <c r="X15" s="1489"/>
      <c r="Y15" s="3494"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900"/>
      <c r="M16" s="2894"/>
      <c r="N16" s="2894"/>
      <c r="O16" s="2894"/>
      <c r="P16" s="3502"/>
      <c r="Q16" s="1486"/>
      <c r="R16" s="714"/>
      <c r="S16" s="715"/>
      <c r="T16" s="714"/>
      <c r="U16" s="715"/>
      <c r="V16" s="714"/>
      <c r="W16" s="715"/>
      <c r="X16" s="1489"/>
      <c r="Y16" s="3495"/>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02"/>
      <c r="Q17" s="1486" t="str">
        <f>B17</f>
        <v>交通便捷度</v>
      </c>
      <c r="R17" s="714" t="s">
        <v>21</v>
      </c>
      <c r="S17" s="715">
        <f>F17</f>
        <v>100</v>
      </c>
      <c r="T17" s="714" t="s">
        <v>21</v>
      </c>
      <c r="U17" s="715">
        <f>H17</f>
        <v>100</v>
      </c>
      <c r="V17" s="714" t="s">
        <v>21</v>
      </c>
      <c r="W17" s="715">
        <f>J17</f>
        <v>100</v>
      </c>
      <c r="X17" s="1489"/>
      <c r="Y17" s="3495"/>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900"/>
      <c r="M18" s="2894"/>
      <c r="N18" s="2894"/>
      <c r="O18" s="2894"/>
      <c r="P18" s="3502"/>
      <c r="Q18" s="1486"/>
      <c r="R18" s="714"/>
      <c r="S18" s="715"/>
      <c r="T18" s="714"/>
      <c r="U18" s="715"/>
      <c r="V18" s="714"/>
      <c r="W18" s="715"/>
      <c r="X18" s="1489"/>
      <c r="Y18" s="3495"/>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02"/>
      <c r="Q19" s="1486" t="str">
        <f>B19</f>
        <v>公共配套设施</v>
      </c>
      <c r="R19" s="714" t="s">
        <v>21</v>
      </c>
      <c r="S19" s="715">
        <f>F19</f>
        <v>100</v>
      </c>
      <c r="T19" s="714" t="s">
        <v>21</v>
      </c>
      <c r="U19" s="715">
        <f>H19</f>
        <v>100</v>
      </c>
      <c r="V19" s="714" t="s">
        <v>21</v>
      </c>
      <c r="W19" s="715">
        <f>J19</f>
        <v>100</v>
      </c>
      <c r="X19" s="1489"/>
      <c r="Y19" s="3495"/>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900"/>
      <c r="M20" s="2894"/>
      <c r="N20" s="2894"/>
      <c r="O20" s="2894"/>
      <c r="P20" s="3502"/>
      <c r="Q20" s="1486"/>
      <c r="R20" s="714"/>
      <c r="S20" s="715"/>
      <c r="T20" s="714"/>
      <c r="U20" s="715"/>
      <c r="V20" s="714"/>
      <c r="W20" s="715"/>
      <c r="X20" s="1489"/>
      <c r="Y20" s="3495"/>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02"/>
      <c r="Q21" s="1486" t="str">
        <f>B21</f>
        <v>基础设施水平</v>
      </c>
      <c r="R21" s="714" t="s">
        <v>17</v>
      </c>
      <c r="S21" s="715">
        <f>F21</f>
        <v>100</v>
      </c>
      <c r="T21" s="714" t="s">
        <v>17</v>
      </c>
      <c r="U21" s="715">
        <f>H21</f>
        <v>100</v>
      </c>
      <c r="V21" s="714" t="s">
        <v>17</v>
      </c>
      <c r="W21" s="715">
        <f>J21</f>
        <v>100</v>
      </c>
      <c r="X21" s="1489"/>
      <c r="Y21" s="349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900"/>
      <c r="M22" s="2894"/>
      <c r="N22" s="2894"/>
      <c r="O22" s="2894"/>
      <c r="P22" s="3502"/>
      <c r="Q22" s="1486"/>
      <c r="R22" s="714"/>
      <c r="S22" s="715"/>
      <c r="T22" s="714"/>
      <c r="U22" s="715"/>
      <c r="V22" s="714"/>
      <c r="W22" s="715"/>
      <c r="X22" s="1489"/>
      <c r="Y22" s="3495"/>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02"/>
      <c r="Q23" s="1486" t="str">
        <f>B23</f>
        <v>自然及人文环境</v>
      </c>
      <c r="R23" s="714" t="s">
        <v>21</v>
      </c>
      <c r="S23" s="715">
        <f>F23</f>
        <v>100</v>
      </c>
      <c r="T23" s="714" t="s">
        <v>21</v>
      </c>
      <c r="U23" s="715">
        <f>H23</f>
        <v>100</v>
      </c>
      <c r="V23" s="714" t="s">
        <v>21</v>
      </c>
      <c r="W23" s="715">
        <f>J23</f>
        <v>100</v>
      </c>
      <c r="X23" s="1489"/>
      <c r="Y23" s="3495"/>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900"/>
      <c r="M24" s="2894"/>
      <c r="N24" s="2894"/>
      <c r="O24" s="2894"/>
      <c r="P24" s="3502"/>
      <c r="Q24" s="1486"/>
      <c r="R24" s="714"/>
      <c r="S24" s="715"/>
      <c r="T24" s="714"/>
      <c r="U24" s="715"/>
      <c r="V24" s="714"/>
      <c r="W24" s="715"/>
      <c r="X24" s="1489"/>
      <c r="Y24" s="3495"/>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0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95"/>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02"/>
      <c r="Q26" s="1486" t="str">
        <f t="shared" si="11"/>
        <v>朝向</v>
      </c>
      <c r="R26" s="714" t="s">
        <v>21</v>
      </c>
      <c r="S26" s="715">
        <f t="shared" si="12"/>
        <v>100</v>
      </c>
      <c r="T26" s="714" t="s">
        <v>21</v>
      </c>
      <c r="U26" s="715">
        <f t="shared" si="13"/>
        <v>100</v>
      </c>
      <c r="V26" s="714" t="s">
        <v>21</v>
      </c>
      <c r="W26" s="715">
        <f t="shared" si="14"/>
        <v>100</v>
      </c>
      <c r="X26" s="1489"/>
      <c r="Y26" s="3495"/>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02"/>
      <c r="Q27" s="1477">
        <f t="shared" si="11"/>
        <v>111</v>
      </c>
      <c r="R27" s="710" t="s">
        <v>21</v>
      </c>
      <c r="S27" s="711">
        <f t="shared" si="12"/>
        <v>100</v>
      </c>
      <c r="T27" s="710" t="s">
        <v>21</v>
      </c>
      <c r="U27" s="711">
        <f t="shared" si="13"/>
        <v>100</v>
      </c>
      <c r="V27" s="710" t="s">
        <v>21</v>
      </c>
      <c r="W27" s="711">
        <f t="shared" si="14"/>
        <v>100</v>
      </c>
      <c r="X27" s="712"/>
      <c r="Y27" s="3495"/>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02"/>
      <c r="Q28" s="1486">
        <f t="shared" si="11"/>
        <v>111</v>
      </c>
      <c r="R28" s="714" t="s">
        <v>21</v>
      </c>
      <c r="S28" s="715">
        <f t="shared" si="12"/>
        <v>100</v>
      </c>
      <c r="T28" s="714" t="s">
        <v>21</v>
      </c>
      <c r="U28" s="715">
        <f t="shared" si="13"/>
        <v>100</v>
      </c>
      <c r="V28" s="714" t="s">
        <v>21</v>
      </c>
      <c r="W28" s="715">
        <f t="shared" si="14"/>
        <v>100</v>
      </c>
      <c r="X28" s="1489"/>
      <c r="Y28" s="3495"/>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02"/>
      <c r="Q29" s="1486">
        <f t="shared" si="11"/>
        <v>111</v>
      </c>
      <c r="R29" s="714" t="s">
        <v>21</v>
      </c>
      <c r="S29" s="715">
        <f t="shared" si="12"/>
        <v>100</v>
      </c>
      <c r="T29" s="714" t="s">
        <v>21</v>
      </c>
      <c r="U29" s="715">
        <f t="shared" si="13"/>
        <v>100</v>
      </c>
      <c r="V29" s="714" t="s">
        <v>21</v>
      </c>
      <c r="W29" s="715">
        <f t="shared" si="14"/>
        <v>100</v>
      </c>
      <c r="X29" s="1489"/>
      <c r="Y29" s="3495"/>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02"/>
      <c r="Q30" s="1486">
        <f t="shared" si="11"/>
        <v>111</v>
      </c>
      <c r="R30" s="714" t="s">
        <v>21</v>
      </c>
      <c r="S30" s="715">
        <f t="shared" si="12"/>
        <v>100</v>
      </c>
      <c r="T30" s="714" t="s">
        <v>21</v>
      </c>
      <c r="U30" s="715">
        <f t="shared" si="13"/>
        <v>100</v>
      </c>
      <c r="V30" s="714" t="s">
        <v>21</v>
      </c>
      <c r="W30" s="715">
        <f t="shared" si="14"/>
        <v>100</v>
      </c>
      <c r="X30" s="1489"/>
      <c r="Y30" s="3495"/>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02"/>
      <c r="Q31" s="1486">
        <f t="shared" si="11"/>
        <v>111</v>
      </c>
      <c r="R31" s="714" t="s">
        <v>21</v>
      </c>
      <c r="S31" s="715">
        <f t="shared" si="12"/>
        <v>100</v>
      </c>
      <c r="T31" s="714" t="s">
        <v>21</v>
      </c>
      <c r="U31" s="715">
        <f t="shared" si="13"/>
        <v>100</v>
      </c>
      <c r="V31" s="714" t="s">
        <v>21</v>
      </c>
      <c r="W31" s="715">
        <f t="shared" si="14"/>
        <v>100</v>
      </c>
      <c r="X31" s="1489"/>
      <c r="Y31" s="3495"/>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96" t="s">
        <v>2145</v>
      </c>
      <c r="Q32" s="1486" t="str">
        <f t="shared" si="11"/>
        <v>建筑类型</v>
      </c>
      <c r="R32" s="714" t="s">
        <v>21</v>
      </c>
      <c r="S32" s="715">
        <f t="shared" si="12"/>
        <v>100</v>
      </c>
      <c r="T32" s="714" t="s">
        <v>21</v>
      </c>
      <c r="U32" s="715">
        <f t="shared" si="13"/>
        <v>100</v>
      </c>
      <c r="V32" s="714" t="s">
        <v>21</v>
      </c>
      <c r="W32" s="715">
        <f t="shared" si="14"/>
        <v>100</v>
      </c>
      <c r="X32" s="1489"/>
      <c r="Y32" s="3499"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97"/>
      <c r="Q34" s="1486" t="str">
        <f t="shared" si="11"/>
        <v>建筑结构</v>
      </c>
      <c r="R34" s="714" t="s">
        <v>21</v>
      </c>
      <c r="S34" s="715">
        <f t="shared" si="12"/>
        <v>100</v>
      </c>
      <c r="T34" s="714" t="s">
        <v>21</v>
      </c>
      <c r="U34" s="715">
        <f t="shared" si="13"/>
        <v>100</v>
      </c>
      <c r="V34" s="714" t="s">
        <v>21</v>
      </c>
      <c r="W34" s="715">
        <f t="shared" si="14"/>
        <v>100</v>
      </c>
      <c r="X34" s="1489"/>
      <c r="Y34" s="3499"/>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97"/>
      <c r="Q35" s="1486" t="str">
        <f t="shared" si="11"/>
        <v>建筑品质</v>
      </c>
      <c r="R35" s="714" t="s">
        <v>21</v>
      </c>
      <c r="S35" s="715">
        <f t="shared" si="12"/>
        <v>100</v>
      </c>
      <c r="T35" s="714" t="s">
        <v>21</v>
      </c>
      <c r="U35" s="715">
        <f t="shared" si="13"/>
        <v>100</v>
      </c>
      <c r="V35" s="714" t="s">
        <v>21</v>
      </c>
      <c r="W35" s="715">
        <f t="shared" si="14"/>
        <v>100</v>
      </c>
      <c r="X35" s="1489"/>
      <c r="Y35" s="3499"/>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97"/>
      <c r="Q36" s="1486" t="str">
        <f t="shared" si="11"/>
        <v>公共部分装修</v>
      </c>
      <c r="R36" s="714" t="s">
        <v>21</v>
      </c>
      <c r="S36" s="715">
        <f t="shared" si="12"/>
        <v>100</v>
      </c>
      <c r="T36" s="714" t="s">
        <v>21</v>
      </c>
      <c r="U36" s="715">
        <f t="shared" si="13"/>
        <v>100</v>
      </c>
      <c r="V36" s="714" t="s">
        <v>21</v>
      </c>
      <c r="W36" s="715">
        <f t="shared" si="14"/>
        <v>100</v>
      </c>
      <c r="X36" s="1489"/>
      <c r="Y36" s="3499"/>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7"/>
      <c r="Q37" s="1477"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97" t="s">
        <v>2145</v>
      </c>
      <c r="Q38" s="1486" t="str">
        <f t="shared" si="11"/>
        <v>物业管理</v>
      </c>
      <c r="R38" s="714" t="s">
        <v>21</v>
      </c>
      <c r="S38" s="715">
        <f t="shared" si="12"/>
        <v>100</v>
      </c>
      <c r="T38" s="714" t="s">
        <v>21</v>
      </c>
      <c r="U38" s="715">
        <f t="shared" si="13"/>
        <v>100</v>
      </c>
      <c r="V38" s="714" t="s">
        <v>21</v>
      </c>
      <c r="W38" s="715">
        <f t="shared" si="14"/>
        <v>100</v>
      </c>
      <c r="X38" s="1489"/>
      <c r="Y38" s="3499"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97"/>
      <c r="Q39" s="1486" t="str">
        <f t="shared" si="11"/>
        <v>市政基础设施</v>
      </c>
      <c r="R39" s="714" t="s">
        <v>21</v>
      </c>
      <c r="S39" s="715">
        <f t="shared" si="12"/>
        <v>100</v>
      </c>
      <c r="T39" s="714" t="s">
        <v>21</v>
      </c>
      <c r="U39" s="715">
        <f t="shared" si="13"/>
        <v>100</v>
      </c>
      <c r="V39" s="714" t="s">
        <v>21</v>
      </c>
      <c r="W39" s="715">
        <f t="shared" si="14"/>
        <v>100</v>
      </c>
      <c r="X39" s="1489"/>
      <c r="Y39" s="3499"/>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97"/>
      <c r="Q40" s="1486" t="str">
        <f t="shared" si="11"/>
        <v>房型</v>
      </c>
      <c r="R40" s="714" t="s">
        <v>21</v>
      </c>
      <c r="S40" s="715">
        <f t="shared" si="12"/>
        <v>100</v>
      </c>
      <c r="T40" s="714" t="s">
        <v>21</v>
      </c>
      <c r="U40" s="715">
        <f t="shared" si="13"/>
        <v>100</v>
      </c>
      <c r="V40" s="714" t="s">
        <v>21</v>
      </c>
      <c r="W40" s="715">
        <f t="shared" si="14"/>
        <v>100</v>
      </c>
      <c r="X40" s="1489"/>
      <c r="Y40" s="3499"/>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97"/>
      <c r="Q42" s="1486" t="str">
        <f t="shared" si="11"/>
        <v>内部装修</v>
      </c>
      <c r="R42" s="714" t="s">
        <v>21</v>
      </c>
      <c r="S42" s="715">
        <f t="shared" si="12"/>
        <v>100</v>
      </c>
      <c r="T42" s="714" t="s">
        <v>21</v>
      </c>
      <c r="U42" s="715">
        <f t="shared" si="13"/>
        <v>100</v>
      </c>
      <c r="V42" s="714" t="s">
        <v>21</v>
      </c>
      <c r="W42" s="715">
        <f t="shared" si="14"/>
        <v>100</v>
      </c>
      <c r="X42" s="1489"/>
      <c r="Y42" s="3499"/>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97"/>
      <c r="Q43" s="1486" t="str">
        <f t="shared" si="11"/>
        <v>内部装修维护情况</v>
      </c>
      <c r="R43" s="714" t="s">
        <v>21</v>
      </c>
      <c r="S43" s="715">
        <f t="shared" si="12"/>
        <v>100</v>
      </c>
      <c r="T43" s="714" t="s">
        <v>21</v>
      </c>
      <c r="U43" s="715">
        <f t="shared" si="13"/>
        <v>100</v>
      </c>
      <c r="V43" s="714" t="s">
        <v>21</v>
      </c>
      <c r="W43" s="715">
        <f t="shared" si="14"/>
        <v>100</v>
      </c>
      <c r="X43" s="1489"/>
      <c r="Y43" s="3499"/>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97"/>
      <c r="Q44" s="1477">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97"/>
      <c r="Q45" s="1486">
        <f t="shared" si="11"/>
        <v>111</v>
      </c>
      <c r="R45" s="714" t="s">
        <v>21</v>
      </c>
      <c r="S45" s="715">
        <f t="shared" si="12"/>
        <v>100</v>
      </c>
      <c r="T45" s="714" t="s">
        <v>21</v>
      </c>
      <c r="U45" s="715">
        <f t="shared" si="13"/>
        <v>100</v>
      </c>
      <c r="V45" s="714" t="s">
        <v>21</v>
      </c>
      <c r="W45" s="715">
        <f t="shared" si="14"/>
        <v>100</v>
      </c>
      <c r="X45" s="1489"/>
      <c r="Y45" s="3499"/>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98"/>
      <c r="Q46" s="1486">
        <f t="shared" si="11"/>
        <v>111</v>
      </c>
      <c r="R46" s="714" t="s">
        <v>20</v>
      </c>
      <c r="S46" s="715">
        <f t="shared" si="12"/>
        <v>100</v>
      </c>
      <c r="T46" s="714" t="s">
        <v>20</v>
      </c>
      <c r="U46" s="715">
        <f t="shared" si="13"/>
        <v>100</v>
      </c>
      <c r="V46" s="714" t="s">
        <v>20</v>
      </c>
      <c r="W46" s="715">
        <f t="shared" si="14"/>
        <v>100</v>
      </c>
      <c r="X46" s="1489"/>
      <c r="Y46" s="3500"/>
      <c r="Z46" s="1490">
        <f t="shared" si="18"/>
        <v>111</v>
      </c>
      <c r="AA46" s="1487">
        <f t="shared" si="15"/>
        <v>1</v>
      </c>
      <c r="AB46" s="1487">
        <f t="shared" si="16"/>
        <v>1</v>
      </c>
      <c r="AC46" s="1487">
        <f t="shared" si="17"/>
        <v>1</v>
      </c>
    </row>
    <row r="47" spans="1:29" ht="15">
      <c r="A47" s="438" t="s">
        <v>2157</v>
      </c>
      <c r="B47" s="439"/>
      <c r="C47" s="1268" t="s">
        <v>19</v>
      </c>
      <c r="D47" s="1269"/>
      <c r="E47" s="1270"/>
      <c r="F47" s="1271"/>
      <c r="G47" s="1272"/>
      <c r="H47" s="1273"/>
      <c r="I47" s="1270"/>
      <c r="J47" s="1273"/>
      <c r="K47" s="2050"/>
      <c r="L47" s="2902"/>
      <c r="M47" s="2903"/>
      <c r="N47" s="2894"/>
      <c r="O47" s="2903"/>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2158</v>
      </c>
      <c r="B48" s="446"/>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2159</v>
      </c>
      <c r="B49" s="450"/>
      <c r="C49" s="1276" t="e">
        <f>R49</f>
        <v>#DIV/0!</v>
      </c>
      <c r="D49" s="1277"/>
      <c r="E49" s="1277"/>
      <c r="F49" s="1277"/>
      <c r="G49" s="1277"/>
      <c r="H49" s="1277"/>
      <c r="I49" s="1277"/>
      <c r="J49" s="1277"/>
      <c r="K49" s="2051"/>
      <c r="L49" s="2902"/>
      <c r="M49" s="2903"/>
      <c r="N49" s="2903"/>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2022-9</v>
      </c>
      <c r="D58" s="1299">
        <f>EDATE(C58,-1)</f>
        <v>44774</v>
      </c>
      <c r="E58" s="1299">
        <f>EDATE(D58,-1)</f>
        <v>44743</v>
      </c>
      <c r="F58" s="1299">
        <f t="shared" ref="F58:O58" si="19">EDATE(E58,-1)</f>
        <v>44713</v>
      </c>
      <c r="G58" s="1299">
        <f t="shared" si="19"/>
        <v>44682</v>
      </c>
      <c r="H58" s="1299">
        <f t="shared" si="19"/>
        <v>44652</v>
      </c>
      <c r="I58" s="1299">
        <f t="shared" si="19"/>
        <v>44621</v>
      </c>
      <c r="J58" s="1299">
        <f t="shared" si="19"/>
        <v>44593</v>
      </c>
      <c r="K58" s="1299">
        <f t="shared" si="19"/>
        <v>44562</v>
      </c>
      <c r="L58" s="1299">
        <f t="shared" si="19"/>
        <v>44531</v>
      </c>
      <c r="M58" s="1299">
        <f t="shared" si="19"/>
        <v>44501</v>
      </c>
      <c r="N58" s="1299">
        <f t="shared" si="19"/>
        <v>44470</v>
      </c>
      <c r="O58" s="1299">
        <f t="shared" si="19"/>
        <v>44440</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3"/>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23576.31</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507" t="s">
        <v>2226</v>
      </c>
      <c r="D4" s="3508"/>
      <c r="E4" s="3509" t="s">
        <v>2227</v>
      </c>
      <c r="F4" s="3510"/>
      <c r="G4" s="3507" t="s">
        <v>2228</v>
      </c>
      <c r="H4" s="3508"/>
      <c r="I4" s="3507" t="s">
        <v>2229</v>
      </c>
      <c r="J4" s="3508"/>
      <c r="K4" s="567" t="s">
        <v>2230</v>
      </c>
      <c r="L4" s="2893"/>
      <c r="M4" s="2894"/>
      <c r="N4" s="2894"/>
      <c r="O4" s="2894"/>
      <c r="P4" s="3511" t="s">
        <v>2231</v>
      </c>
      <c r="Q4" s="3512"/>
      <c r="R4" s="3517" t="s">
        <v>2227</v>
      </c>
      <c r="S4" s="3518"/>
      <c r="T4" s="3517" t="s">
        <v>2228</v>
      </c>
      <c r="U4" s="3518"/>
      <c r="V4" s="3523" t="s">
        <v>2229</v>
      </c>
      <c r="W4" s="3523"/>
      <c r="X4" s="1489"/>
      <c r="Y4" s="3517" t="s">
        <v>2231</v>
      </c>
      <c r="Z4" s="3518"/>
      <c r="AA4" s="3504" t="s">
        <v>2227</v>
      </c>
      <c r="AB4" s="3523" t="s">
        <v>2228</v>
      </c>
      <c r="AC4" s="3504" t="s">
        <v>2229</v>
      </c>
    </row>
    <row r="5" spans="1:29" ht="15">
      <c r="A5" s="364"/>
      <c r="B5" s="365"/>
      <c r="C5" s="3526" t="s">
        <v>2122</v>
      </c>
      <c r="D5" s="3527"/>
      <c r="E5" s="3533" t="s">
        <v>2123</v>
      </c>
      <c r="F5" s="3534"/>
      <c r="G5" s="3526" t="s">
        <v>2124</v>
      </c>
      <c r="H5" s="3527"/>
      <c r="I5" s="3526" t="s">
        <v>2125</v>
      </c>
      <c r="J5" s="3527"/>
      <c r="K5" s="567"/>
      <c r="L5" s="2893"/>
      <c r="M5" s="2894"/>
      <c r="N5" s="2894"/>
      <c r="O5" s="2894"/>
      <c r="P5" s="3513"/>
      <c r="Q5" s="3514"/>
      <c r="R5" s="3519"/>
      <c r="S5" s="3520"/>
      <c r="T5" s="3519"/>
      <c r="U5" s="3520"/>
      <c r="V5" s="3523"/>
      <c r="W5" s="3523"/>
      <c r="X5" s="1489"/>
      <c r="Y5" s="3519"/>
      <c r="Z5" s="3520"/>
      <c r="AA5" s="3505"/>
      <c r="AB5" s="3523"/>
      <c r="AC5" s="3505"/>
    </row>
    <row r="6" spans="1:29" ht="15.75" thickBot="1">
      <c r="A6" s="366"/>
      <c r="B6" s="367"/>
      <c r="C6" s="3524" t="s">
        <v>2126</v>
      </c>
      <c r="D6" s="3525"/>
      <c r="E6" s="3531" t="s">
        <v>2126</v>
      </c>
      <c r="F6" s="3532"/>
      <c r="G6" s="3524" t="s">
        <v>2126</v>
      </c>
      <c r="H6" s="3525"/>
      <c r="I6" s="3524" t="s">
        <v>2126</v>
      </c>
      <c r="J6" s="3525"/>
      <c r="K6" s="567" t="s">
        <v>2127</v>
      </c>
      <c r="L6" s="2893"/>
      <c r="M6" s="2894"/>
      <c r="N6" s="2894"/>
      <c r="O6" s="2894"/>
      <c r="P6" s="3515"/>
      <c r="Q6" s="3516"/>
      <c r="R6" s="3519"/>
      <c r="S6" s="3520"/>
      <c r="T6" s="3521"/>
      <c r="U6" s="3522"/>
      <c r="V6" s="3523"/>
      <c r="W6" s="3523"/>
      <c r="X6" s="1489"/>
      <c r="Y6" s="3521"/>
      <c r="Z6" s="3522"/>
      <c r="AA6" s="3506"/>
      <c r="AB6" s="3523"/>
      <c r="AC6" s="3506"/>
    </row>
    <row r="7" spans="1:29" s="113" customFormat="1" ht="15.75" thickBot="1">
      <c r="A7" s="368" t="s">
        <v>2128</v>
      </c>
      <c r="B7" s="369"/>
      <c r="C7" s="370">
        <f>'数据-取费表'!B2</f>
        <v>44818</v>
      </c>
      <c r="D7" s="371">
        <v>100</v>
      </c>
      <c r="E7" s="372"/>
      <c r="F7" s="373">
        <f>SUMIF(58:58,YEAR(E7)&amp;"-"&amp;MONTH(E7),59:59)</f>
        <v>0</v>
      </c>
      <c r="G7" s="372"/>
      <c r="H7" s="371">
        <f>SUMIF(58:58,YEAR(G7)&amp;"-"&amp;MONTH(G7),59:59)</f>
        <v>0</v>
      </c>
      <c r="I7" s="372"/>
      <c r="J7" s="371">
        <f>SUMIF(58:58,YEAR(I7)&amp;"-"&amp;MONTH(I7),59:59)</f>
        <v>0</v>
      </c>
      <c r="K7" s="568"/>
      <c r="L7" s="2895"/>
      <c r="M7" s="2896"/>
      <c r="N7" s="2896"/>
      <c r="O7" s="2896"/>
      <c r="P7" s="3528" t="s">
        <v>2129</v>
      </c>
      <c r="Q7" s="3530"/>
      <c r="R7" s="710" t="s">
        <v>17</v>
      </c>
      <c r="S7" s="711">
        <f t="shared" ref="S7:S15" si="0">F7</f>
        <v>0</v>
      </c>
      <c r="T7" s="710" t="s">
        <v>17</v>
      </c>
      <c r="U7" s="711">
        <f t="shared" ref="U7:U15" si="1">H7</f>
        <v>0</v>
      </c>
      <c r="V7" s="710" t="s">
        <v>17</v>
      </c>
      <c r="W7" s="711">
        <f t="shared" ref="W7:W15" si="2">J7</f>
        <v>0</v>
      </c>
      <c r="X7" s="712"/>
      <c r="Y7" s="3528" t="s">
        <v>2129</v>
      </c>
      <c r="Z7" s="352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528" t="s">
        <v>2132</v>
      </c>
      <c r="Q8" s="3529"/>
      <c r="R8" s="710" t="s">
        <v>17</v>
      </c>
      <c r="S8" s="711">
        <f t="shared" si="0"/>
        <v>0</v>
      </c>
      <c r="T8" s="710" t="s">
        <v>17</v>
      </c>
      <c r="U8" s="711">
        <f t="shared" si="1"/>
        <v>0</v>
      </c>
      <c r="V8" s="710" t="s">
        <v>17</v>
      </c>
      <c r="W8" s="711">
        <f t="shared" si="2"/>
        <v>0</v>
      </c>
      <c r="X8" s="712"/>
      <c r="Y8" s="3528" t="s">
        <v>2132</v>
      </c>
      <c r="Z8" s="352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503"/>
      <c r="Q11" s="1477" t="str">
        <f t="shared" si="6"/>
        <v>容积率</v>
      </c>
      <c r="R11" s="710" t="s">
        <v>17</v>
      </c>
      <c r="S11" s="711" t="e">
        <f t="shared" si="0"/>
        <v>#N/A</v>
      </c>
      <c r="T11" s="710" t="s">
        <v>17</v>
      </c>
      <c r="U11" s="711" t="e">
        <f t="shared" si="1"/>
        <v>#N/A</v>
      </c>
      <c r="V11" s="710" t="s">
        <v>17</v>
      </c>
      <c r="W11" s="711" t="e">
        <f t="shared" si="2"/>
        <v>#N/A</v>
      </c>
      <c r="X11" s="712"/>
      <c r="Y11" s="336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503"/>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503"/>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503"/>
      <c r="Q14" s="1477">
        <f t="shared" si="6"/>
        <v>111</v>
      </c>
      <c r="R14" s="710" t="s">
        <v>17</v>
      </c>
      <c r="S14" s="711">
        <f t="shared" si="0"/>
        <v>100</v>
      </c>
      <c r="T14" s="710" t="s">
        <v>17</v>
      </c>
      <c r="U14" s="711">
        <f t="shared" si="1"/>
        <v>100</v>
      </c>
      <c r="V14" s="710" t="s">
        <v>17</v>
      </c>
      <c r="W14" s="711">
        <f t="shared" si="2"/>
        <v>100</v>
      </c>
      <c r="X14" s="712"/>
      <c r="Y14" s="3364"/>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01" t="s">
        <v>2140</v>
      </c>
      <c r="Q15" s="1486" t="str">
        <f t="shared" si="6"/>
        <v>商业繁华度</v>
      </c>
      <c r="R15" s="714" t="s">
        <v>17</v>
      </c>
      <c r="S15" s="715">
        <f t="shared" si="0"/>
        <v>100</v>
      </c>
      <c r="T15" s="714" t="s">
        <v>17</v>
      </c>
      <c r="U15" s="715">
        <f t="shared" si="1"/>
        <v>100</v>
      </c>
      <c r="V15" s="714" t="s">
        <v>17</v>
      </c>
      <c r="W15" s="715">
        <f t="shared" si="2"/>
        <v>100</v>
      </c>
      <c r="X15" s="1489"/>
      <c r="Y15" s="3494"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900"/>
      <c r="M16" s="2894"/>
      <c r="N16" s="2894"/>
      <c r="O16" s="2894"/>
      <c r="P16" s="3502"/>
      <c r="Q16" s="1486"/>
      <c r="R16" s="714"/>
      <c r="S16" s="715"/>
      <c r="T16" s="714"/>
      <c r="U16" s="715"/>
      <c r="V16" s="714"/>
      <c r="W16" s="715"/>
      <c r="X16" s="1489"/>
      <c r="Y16" s="3495"/>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02"/>
      <c r="Q17" s="1486" t="str">
        <f>B17</f>
        <v>交通便捷度</v>
      </c>
      <c r="R17" s="714" t="s">
        <v>17</v>
      </c>
      <c r="S17" s="715">
        <f>F17</f>
        <v>100</v>
      </c>
      <c r="T17" s="714" t="s">
        <v>17</v>
      </c>
      <c r="U17" s="715">
        <f>H17</f>
        <v>100</v>
      </c>
      <c r="V17" s="714" t="s">
        <v>17</v>
      </c>
      <c r="W17" s="715">
        <f>J17</f>
        <v>100</v>
      </c>
      <c r="X17" s="1489"/>
      <c r="Y17" s="349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900"/>
      <c r="M18" s="2894"/>
      <c r="N18" s="2894"/>
      <c r="O18" s="2894"/>
      <c r="P18" s="3502"/>
      <c r="Q18" s="1486"/>
      <c r="R18" s="714"/>
      <c r="S18" s="715"/>
      <c r="T18" s="714"/>
      <c r="U18" s="715"/>
      <c r="V18" s="714"/>
      <c r="W18" s="715"/>
      <c r="X18" s="1489"/>
      <c r="Y18" s="3495"/>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02"/>
      <c r="Q19" s="1486" t="str">
        <f>B19</f>
        <v>公共配套设施</v>
      </c>
      <c r="R19" s="714" t="s">
        <v>17</v>
      </c>
      <c r="S19" s="715">
        <f>F19</f>
        <v>100</v>
      </c>
      <c r="T19" s="714" t="s">
        <v>17</v>
      </c>
      <c r="U19" s="715">
        <f>H19</f>
        <v>100</v>
      </c>
      <c r="V19" s="714" t="s">
        <v>17</v>
      </c>
      <c r="W19" s="715">
        <f>J19</f>
        <v>100</v>
      </c>
      <c r="X19" s="1489"/>
      <c r="Y19" s="349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900"/>
      <c r="M20" s="2894"/>
      <c r="N20" s="2894"/>
      <c r="O20" s="2894"/>
      <c r="P20" s="3502"/>
      <c r="Q20" s="1486"/>
      <c r="R20" s="714"/>
      <c r="S20" s="715"/>
      <c r="T20" s="714"/>
      <c r="U20" s="715"/>
      <c r="V20" s="714"/>
      <c r="W20" s="715"/>
      <c r="X20" s="1489"/>
      <c r="Y20" s="3495"/>
      <c r="Z20" s="1490"/>
      <c r="AA20" s="1487">
        <v>1</v>
      </c>
      <c r="AB20" s="1487">
        <v>1</v>
      </c>
      <c r="AC20" s="1487">
        <v>1</v>
      </c>
    </row>
    <row r="21" spans="1:29" ht="28.5">
      <c r="A21" s="387"/>
      <c r="B21" s="1245"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02"/>
      <c r="Q21" s="1486" t="str">
        <f>B21</f>
        <v>基础设施水平</v>
      </c>
      <c r="R21" s="714" t="s">
        <v>17</v>
      </c>
      <c r="S21" s="715">
        <f>F21</f>
        <v>100</v>
      </c>
      <c r="T21" s="714" t="s">
        <v>17</v>
      </c>
      <c r="U21" s="715">
        <f>H21</f>
        <v>100</v>
      </c>
      <c r="V21" s="714" t="s">
        <v>17</v>
      </c>
      <c r="W21" s="715">
        <f>J21</f>
        <v>100</v>
      </c>
      <c r="X21" s="1489"/>
      <c r="Y21" s="349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900"/>
      <c r="M22" s="2894"/>
      <c r="N22" s="2894"/>
      <c r="O22" s="2894"/>
      <c r="P22" s="3502"/>
      <c r="Q22" s="1486"/>
      <c r="R22" s="714"/>
      <c r="S22" s="715"/>
      <c r="T22" s="714"/>
      <c r="U22" s="715"/>
      <c r="V22" s="714"/>
      <c r="W22" s="715"/>
      <c r="X22" s="1489"/>
      <c r="Y22" s="3495"/>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02"/>
      <c r="Q23" s="1486" t="str">
        <f>B23</f>
        <v>自然及人文环境</v>
      </c>
      <c r="R23" s="714" t="s">
        <v>17</v>
      </c>
      <c r="S23" s="715">
        <f>F23</f>
        <v>100</v>
      </c>
      <c r="T23" s="714" t="s">
        <v>17</v>
      </c>
      <c r="U23" s="715">
        <f>H23</f>
        <v>100</v>
      </c>
      <c r="V23" s="714" t="s">
        <v>17</v>
      </c>
      <c r="W23" s="715">
        <f>J23</f>
        <v>100</v>
      </c>
      <c r="X23" s="1489"/>
      <c r="Y23" s="3495"/>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900"/>
      <c r="M24" s="2894"/>
      <c r="N24" s="2894"/>
      <c r="O24" s="2894"/>
      <c r="P24" s="3502"/>
      <c r="Q24" s="1486"/>
      <c r="R24" s="714"/>
      <c r="S24" s="715"/>
      <c r="T24" s="714"/>
      <c r="U24" s="715"/>
      <c r="V24" s="714"/>
      <c r="W24" s="715"/>
      <c r="X24" s="1489"/>
      <c r="Y24" s="3495"/>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02"/>
      <c r="Q25" s="1486" t="str">
        <f t="shared" ref="Q25:Q46" si="11">B25</f>
        <v>临街状况</v>
      </c>
      <c r="R25" s="714" t="s">
        <v>17</v>
      </c>
      <c r="S25" s="715">
        <f>F25</f>
        <v>100</v>
      </c>
      <c r="T25" s="714" t="s">
        <v>17</v>
      </c>
      <c r="U25" s="715">
        <f>H25</f>
        <v>100</v>
      </c>
      <c r="V25" s="714" t="s">
        <v>17</v>
      </c>
      <c r="W25" s="715">
        <f>J25</f>
        <v>100</v>
      </c>
      <c r="X25" s="1489"/>
      <c r="Y25" s="3495"/>
      <c r="Z25" s="1490" t="str">
        <f>Q25</f>
        <v>临街状况</v>
      </c>
      <c r="AA25" s="1487">
        <f t="shared" si="3"/>
        <v>1</v>
      </c>
      <c r="AB25" s="1487">
        <f t="shared" si="4"/>
        <v>1</v>
      </c>
      <c r="AC25" s="1487">
        <f t="shared" si="5"/>
        <v>1</v>
      </c>
    </row>
    <row r="26" spans="1:29" ht="15">
      <c r="A26" s="387"/>
      <c r="B26" s="1247"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02"/>
      <c r="Q26" s="1486" t="str">
        <f t="shared" si="11"/>
        <v>平面位置/可视性</v>
      </c>
      <c r="R26" s="714" t="s">
        <v>17</v>
      </c>
      <c r="S26" s="715">
        <f>F26</f>
        <v>100</v>
      </c>
      <c r="T26" s="714" t="s">
        <v>17</v>
      </c>
      <c r="U26" s="715">
        <f>H26</f>
        <v>100</v>
      </c>
      <c r="V26" s="714" t="s">
        <v>17</v>
      </c>
      <c r="W26" s="715">
        <f>J26</f>
        <v>100</v>
      </c>
      <c r="X26" s="1489"/>
      <c r="Y26" s="3495"/>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02"/>
      <c r="Q27" s="1477" t="str">
        <f t="shared" si="11"/>
        <v>人流量</v>
      </c>
      <c r="R27" s="710" t="s">
        <v>17</v>
      </c>
      <c r="S27" s="711">
        <f>F27</f>
        <v>100</v>
      </c>
      <c r="T27" s="710" t="s">
        <v>17</v>
      </c>
      <c r="U27" s="711">
        <f>H27</f>
        <v>100</v>
      </c>
      <c r="V27" s="710" t="s">
        <v>17</v>
      </c>
      <c r="W27" s="711">
        <f>J27</f>
        <v>100</v>
      </c>
      <c r="X27" s="712"/>
      <c r="Y27" s="3495"/>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0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95"/>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02"/>
      <c r="Q29" s="1486">
        <f t="shared" si="11"/>
        <v>111</v>
      </c>
      <c r="R29" s="714" t="s">
        <v>17</v>
      </c>
      <c r="S29" s="715">
        <f t="shared" si="12"/>
        <v>100</v>
      </c>
      <c r="T29" s="714" t="s">
        <v>17</v>
      </c>
      <c r="U29" s="715">
        <f t="shared" si="13"/>
        <v>100</v>
      </c>
      <c r="V29" s="714" t="s">
        <v>17</v>
      </c>
      <c r="W29" s="715">
        <f t="shared" si="14"/>
        <v>100</v>
      </c>
      <c r="X29" s="1489"/>
      <c r="Y29" s="3495"/>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02"/>
      <c r="Q30" s="1486">
        <f t="shared" si="11"/>
        <v>111</v>
      </c>
      <c r="R30" s="714" t="s">
        <v>17</v>
      </c>
      <c r="S30" s="715">
        <f t="shared" si="12"/>
        <v>100</v>
      </c>
      <c r="T30" s="714" t="s">
        <v>17</v>
      </c>
      <c r="U30" s="715">
        <f t="shared" si="13"/>
        <v>100</v>
      </c>
      <c r="V30" s="714" t="s">
        <v>17</v>
      </c>
      <c r="W30" s="715">
        <f t="shared" si="14"/>
        <v>100</v>
      </c>
      <c r="X30" s="1489"/>
      <c r="Y30" s="3495"/>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02"/>
      <c r="Q31" s="1486">
        <f t="shared" si="11"/>
        <v>111</v>
      </c>
      <c r="R31" s="714" t="s">
        <v>17</v>
      </c>
      <c r="S31" s="715">
        <f t="shared" si="12"/>
        <v>100</v>
      </c>
      <c r="T31" s="714" t="s">
        <v>17</v>
      </c>
      <c r="U31" s="715">
        <f t="shared" si="13"/>
        <v>100</v>
      </c>
      <c r="V31" s="714" t="s">
        <v>17</v>
      </c>
      <c r="W31" s="715">
        <f t="shared" si="14"/>
        <v>100</v>
      </c>
      <c r="X31" s="1489"/>
      <c r="Y31" s="3495"/>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96" t="s">
        <v>2145</v>
      </c>
      <c r="Q32" s="1486" t="str">
        <f t="shared" si="11"/>
        <v>商业类型</v>
      </c>
      <c r="R32" s="714" t="s">
        <v>17</v>
      </c>
      <c r="S32" s="715">
        <f t="shared" si="12"/>
        <v>100</v>
      </c>
      <c r="T32" s="714" t="s">
        <v>17</v>
      </c>
      <c r="U32" s="715">
        <f t="shared" si="13"/>
        <v>100</v>
      </c>
      <c r="V32" s="714" t="s">
        <v>17</v>
      </c>
      <c r="W32" s="715">
        <f t="shared" si="14"/>
        <v>100</v>
      </c>
      <c r="X32" s="1489"/>
      <c r="Y32" s="3499"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97"/>
      <c r="Q34" s="1486" t="str">
        <f t="shared" si="11"/>
        <v>建筑结构</v>
      </c>
      <c r="R34" s="714" t="s">
        <v>17</v>
      </c>
      <c r="S34" s="715">
        <f t="shared" si="12"/>
        <v>100</v>
      </c>
      <c r="T34" s="714" t="s">
        <v>17</v>
      </c>
      <c r="U34" s="715">
        <f t="shared" si="13"/>
        <v>100</v>
      </c>
      <c r="V34" s="714" t="s">
        <v>17</v>
      </c>
      <c r="W34" s="715">
        <f t="shared" si="14"/>
        <v>100</v>
      </c>
      <c r="X34" s="1489"/>
      <c r="Y34" s="3499"/>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97"/>
      <c r="Q35" s="1486" t="str">
        <f t="shared" si="11"/>
        <v>公共部分装修</v>
      </c>
      <c r="R35" s="714" t="s">
        <v>17</v>
      </c>
      <c r="S35" s="715">
        <f t="shared" si="12"/>
        <v>100</v>
      </c>
      <c r="T35" s="714" t="s">
        <v>17</v>
      </c>
      <c r="U35" s="715">
        <f t="shared" si="13"/>
        <v>100</v>
      </c>
      <c r="V35" s="714" t="s">
        <v>17</v>
      </c>
      <c r="W35" s="715">
        <f t="shared" si="14"/>
        <v>100</v>
      </c>
      <c r="X35" s="1489"/>
      <c r="Y35" s="3499"/>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7"/>
      <c r="Q36" s="1486" t="str">
        <f t="shared" si="11"/>
        <v>成新度</v>
      </c>
      <c r="R36" s="714" t="s">
        <v>17</v>
      </c>
      <c r="S36" s="715" t="e">
        <f t="shared" si="12"/>
        <v>#N/A</v>
      </c>
      <c r="T36" s="714" t="s">
        <v>17</v>
      </c>
      <c r="U36" s="715" t="e">
        <f t="shared" si="13"/>
        <v>#N/A</v>
      </c>
      <c r="V36" s="714" t="s">
        <v>17</v>
      </c>
      <c r="W36" s="715" t="e">
        <f t="shared" si="14"/>
        <v>#N/A</v>
      </c>
      <c r="X36" s="1489"/>
      <c r="Y36" s="3499"/>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97"/>
      <c r="Q37" s="1477"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97" t="s">
        <v>2145</v>
      </c>
      <c r="Q38" s="1486" t="str">
        <f t="shared" si="11"/>
        <v>业态</v>
      </c>
      <c r="R38" s="714" t="s">
        <v>17</v>
      </c>
      <c r="S38" s="715">
        <f t="shared" si="12"/>
        <v>100</v>
      </c>
      <c r="T38" s="714" t="s">
        <v>17</v>
      </c>
      <c r="U38" s="715">
        <f t="shared" si="13"/>
        <v>100</v>
      </c>
      <c r="V38" s="714" t="s">
        <v>17</v>
      </c>
      <c r="W38" s="715">
        <f t="shared" si="14"/>
        <v>100</v>
      </c>
      <c r="X38" s="1489"/>
      <c r="Y38" s="3499"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97"/>
      <c r="Q39" s="1486" t="str">
        <f t="shared" si="11"/>
        <v>层高</v>
      </c>
      <c r="R39" s="714" t="s">
        <v>17</v>
      </c>
      <c r="S39" s="715">
        <f t="shared" si="12"/>
        <v>100</v>
      </c>
      <c r="T39" s="714" t="s">
        <v>17</v>
      </c>
      <c r="U39" s="715">
        <f t="shared" si="13"/>
        <v>100</v>
      </c>
      <c r="V39" s="714" t="s">
        <v>17</v>
      </c>
      <c r="W39" s="715">
        <f t="shared" si="14"/>
        <v>100</v>
      </c>
      <c r="X39" s="1489"/>
      <c r="Y39" s="3499"/>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7"/>
      <c r="Q40" s="1486" t="str">
        <f t="shared" si="11"/>
        <v>单套建筑面积</v>
      </c>
      <c r="R40" s="714" t="s">
        <v>17</v>
      </c>
      <c r="S40" s="715">
        <f t="shared" si="12"/>
        <v>100</v>
      </c>
      <c r="T40" s="714" t="s">
        <v>17</v>
      </c>
      <c r="U40" s="715">
        <f t="shared" si="13"/>
        <v>100</v>
      </c>
      <c r="V40" s="714" t="s">
        <v>17</v>
      </c>
      <c r="W40" s="715">
        <f t="shared" si="14"/>
        <v>100</v>
      </c>
      <c r="X40" s="1489"/>
      <c r="Y40" s="3499"/>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97"/>
      <c r="Q42" s="1486" t="str">
        <f t="shared" si="11"/>
        <v>内部装修</v>
      </c>
      <c r="R42" s="714" t="s">
        <v>17</v>
      </c>
      <c r="S42" s="715">
        <f t="shared" si="12"/>
        <v>100</v>
      </c>
      <c r="T42" s="714" t="s">
        <v>17</v>
      </c>
      <c r="U42" s="715">
        <f t="shared" si="13"/>
        <v>100</v>
      </c>
      <c r="V42" s="714" t="s">
        <v>17</v>
      </c>
      <c r="W42" s="715">
        <f t="shared" si="14"/>
        <v>100</v>
      </c>
      <c r="X42" s="1489"/>
      <c r="Y42" s="3499"/>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97"/>
      <c r="Q43" s="1486" t="str">
        <f t="shared" si="11"/>
        <v>内部装修维护情况</v>
      </c>
      <c r="R43" s="714" t="s">
        <v>17</v>
      </c>
      <c r="S43" s="715">
        <f t="shared" si="12"/>
        <v>100</v>
      </c>
      <c r="T43" s="714" t="s">
        <v>17</v>
      </c>
      <c r="U43" s="715">
        <f t="shared" si="13"/>
        <v>100</v>
      </c>
      <c r="V43" s="714" t="s">
        <v>17</v>
      </c>
      <c r="W43" s="715">
        <f t="shared" si="14"/>
        <v>100</v>
      </c>
      <c r="X43" s="1489"/>
      <c r="Y43" s="3499"/>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7"/>
      <c r="Q44" s="1477">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7"/>
      <c r="Q45" s="1486">
        <f t="shared" si="11"/>
        <v>111</v>
      </c>
      <c r="R45" s="714" t="s">
        <v>17</v>
      </c>
      <c r="S45" s="715">
        <f t="shared" si="12"/>
        <v>100</v>
      </c>
      <c r="T45" s="714" t="s">
        <v>17</v>
      </c>
      <c r="U45" s="715">
        <f t="shared" si="13"/>
        <v>100</v>
      </c>
      <c r="V45" s="714" t="s">
        <v>17</v>
      </c>
      <c r="W45" s="715">
        <f t="shared" si="14"/>
        <v>100</v>
      </c>
      <c r="X45" s="1489"/>
      <c r="Y45" s="3499"/>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8"/>
      <c r="Q46" s="1486">
        <f t="shared" si="11"/>
        <v>111</v>
      </c>
      <c r="R46" s="714" t="s">
        <v>17</v>
      </c>
      <c r="S46" s="715">
        <f t="shared" si="12"/>
        <v>100</v>
      </c>
      <c r="T46" s="714" t="s">
        <v>17</v>
      </c>
      <c r="U46" s="715">
        <f t="shared" si="13"/>
        <v>100</v>
      </c>
      <c r="V46" s="714" t="s">
        <v>17</v>
      </c>
      <c r="W46" s="715">
        <f t="shared" si="14"/>
        <v>100</v>
      </c>
      <c r="X46" s="1489"/>
      <c r="Y46" s="3500"/>
      <c r="Z46" s="1490">
        <f t="shared" si="15"/>
        <v>111</v>
      </c>
      <c r="AA46" s="1487">
        <f t="shared" si="3"/>
        <v>1</v>
      </c>
      <c r="AB46" s="1487">
        <f t="shared" si="4"/>
        <v>1</v>
      </c>
      <c r="AC46" s="1487">
        <f t="shared" si="5"/>
        <v>1</v>
      </c>
    </row>
    <row r="47" spans="1:29" ht="15">
      <c r="A47" s="438" t="s">
        <v>2157</v>
      </c>
      <c r="B47" s="439"/>
      <c r="C47" s="1268" t="s">
        <v>1</v>
      </c>
      <c r="D47" s="1269"/>
      <c r="E47" s="1270"/>
      <c r="F47" s="1271"/>
      <c r="G47" s="1272"/>
      <c r="H47" s="1273"/>
      <c r="I47" s="1270"/>
      <c r="J47" s="1273"/>
      <c r="K47" s="723"/>
      <c r="L47" s="2902"/>
      <c r="M47" s="2903"/>
      <c r="N47" s="2894"/>
      <c r="O47" s="2903"/>
      <c r="P47" s="3492" t="str">
        <f>A47</f>
        <v>成交单价（元/平方米）</v>
      </c>
      <c r="Q47" s="3492"/>
      <c r="R47" s="3523">
        <f>E47</f>
        <v>0</v>
      </c>
      <c r="S47" s="3523"/>
      <c r="T47" s="3523">
        <f>G47</f>
        <v>0</v>
      </c>
      <c r="U47" s="3523"/>
      <c r="V47" s="3523">
        <f>I47</f>
        <v>0</v>
      </c>
      <c r="W47" s="3523"/>
      <c r="X47" s="699"/>
      <c r="Y47" s="721"/>
      <c r="Z47" s="699"/>
      <c r="AA47" s="699"/>
      <c r="AB47" s="699"/>
      <c r="AC47" s="699"/>
    </row>
    <row r="48" spans="1:29" ht="15.75" thickBot="1">
      <c r="A48" s="445" t="s">
        <v>2249</v>
      </c>
      <c r="B48" s="446"/>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2250</v>
      </c>
      <c r="B49" s="450"/>
      <c r="C49" s="1277" t="e">
        <f>R49</f>
        <v>#DIV/0!</v>
      </c>
      <c r="D49" s="1277"/>
      <c r="E49" s="1277"/>
      <c r="F49" s="1277"/>
      <c r="G49" s="1277"/>
      <c r="H49" s="1277"/>
      <c r="I49" s="1277"/>
      <c r="J49" s="1277"/>
      <c r="K49" s="724"/>
      <c r="L49" s="2902"/>
      <c r="M49" s="2903"/>
      <c r="N49" s="2894"/>
      <c r="O49" s="290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8" t="str">
        <f>YEAR(C7)&amp;"-"&amp;MONTH(C7)</f>
        <v>2022-9</v>
      </c>
      <c r="D58" s="1299">
        <f>EDATE(C58,-1)</f>
        <v>44774</v>
      </c>
      <c r="E58" s="1299">
        <f t="shared" ref="E58:N58" si="16">EDATE(D58,-1)</f>
        <v>44743</v>
      </c>
      <c r="F58" s="1299">
        <f t="shared" si="16"/>
        <v>44713</v>
      </c>
      <c r="G58" s="1299">
        <f t="shared" si="16"/>
        <v>44682</v>
      </c>
      <c r="H58" s="1299">
        <f t="shared" si="16"/>
        <v>44652</v>
      </c>
      <c r="I58" s="1299">
        <f t="shared" si="16"/>
        <v>44621</v>
      </c>
      <c r="J58" s="1299">
        <f t="shared" si="16"/>
        <v>44593</v>
      </c>
      <c r="K58" s="1299">
        <f t="shared" si="16"/>
        <v>44562</v>
      </c>
      <c r="L58" s="1299">
        <f t="shared" si="16"/>
        <v>44531</v>
      </c>
      <c r="M58" s="1299">
        <f t="shared" si="16"/>
        <v>44501</v>
      </c>
      <c r="N58" s="1299">
        <f t="shared" si="16"/>
        <v>44470</v>
      </c>
      <c r="O58" s="1299">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7">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3"/>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23576.31</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507" t="s">
        <v>2226</v>
      </c>
      <c r="D4" s="3508"/>
      <c r="E4" s="3509" t="s">
        <v>2227</v>
      </c>
      <c r="F4" s="3510"/>
      <c r="G4" s="3507" t="s">
        <v>2228</v>
      </c>
      <c r="H4" s="3508"/>
      <c r="I4" s="3507" t="s">
        <v>2229</v>
      </c>
      <c r="J4" s="3508"/>
      <c r="K4" s="567" t="s">
        <v>2230</v>
      </c>
      <c r="L4" s="2893"/>
      <c r="M4" s="2894"/>
      <c r="N4" s="2894"/>
      <c r="O4" s="2894"/>
      <c r="P4" s="3541" t="s">
        <v>2231</v>
      </c>
      <c r="Q4" s="3542"/>
      <c r="R4" s="3545" t="s">
        <v>2227</v>
      </c>
      <c r="S4" s="3546"/>
      <c r="T4" s="3545" t="s">
        <v>2228</v>
      </c>
      <c r="U4" s="3546"/>
      <c r="V4" s="3547" t="s">
        <v>2229</v>
      </c>
      <c r="W4" s="3547"/>
      <c r="X4" s="2094"/>
      <c r="Y4" s="3545" t="s">
        <v>2231</v>
      </c>
      <c r="Z4" s="3546"/>
      <c r="AA4" s="3549" t="s">
        <v>2227</v>
      </c>
      <c r="AB4" s="3549" t="s">
        <v>2228</v>
      </c>
      <c r="AC4" s="3538" t="s">
        <v>2229</v>
      </c>
    </row>
    <row r="5" spans="1:29" ht="15">
      <c r="A5" s="364"/>
      <c r="B5" s="365"/>
      <c r="C5" s="3526" t="s">
        <v>2122</v>
      </c>
      <c r="D5" s="3527"/>
      <c r="E5" s="3533" t="s">
        <v>2123</v>
      </c>
      <c r="F5" s="3534"/>
      <c r="G5" s="3526" t="s">
        <v>2124</v>
      </c>
      <c r="H5" s="3527"/>
      <c r="I5" s="3526" t="s">
        <v>2125</v>
      </c>
      <c r="J5" s="3527"/>
      <c r="K5" s="567"/>
      <c r="L5" s="2893"/>
      <c r="M5" s="2894"/>
      <c r="N5" s="2894"/>
      <c r="O5" s="2894"/>
      <c r="P5" s="3543"/>
      <c r="Q5" s="3514"/>
      <c r="R5" s="3519"/>
      <c r="S5" s="3520"/>
      <c r="T5" s="3519"/>
      <c r="U5" s="3520"/>
      <c r="V5" s="3523"/>
      <c r="W5" s="3523"/>
      <c r="X5" s="1489"/>
      <c r="Y5" s="3519"/>
      <c r="Z5" s="3520"/>
      <c r="AA5" s="3505"/>
      <c r="AB5" s="3505"/>
      <c r="AC5" s="3539"/>
    </row>
    <row r="6" spans="1:29" ht="15.75" thickBot="1">
      <c r="A6" s="366"/>
      <c r="B6" s="367"/>
      <c r="C6" s="3524" t="s">
        <v>2126</v>
      </c>
      <c r="D6" s="3525"/>
      <c r="E6" s="3531" t="s">
        <v>2126</v>
      </c>
      <c r="F6" s="3532"/>
      <c r="G6" s="3524" t="s">
        <v>2126</v>
      </c>
      <c r="H6" s="3525"/>
      <c r="I6" s="3524" t="s">
        <v>2126</v>
      </c>
      <c r="J6" s="3525"/>
      <c r="K6" s="567" t="s">
        <v>2127</v>
      </c>
      <c r="L6" s="2893"/>
      <c r="M6" s="2894"/>
      <c r="N6" s="2894"/>
      <c r="O6" s="2894"/>
      <c r="P6" s="3544"/>
      <c r="Q6" s="3516"/>
      <c r="R6" s="3519"/>
      <c r="S6" s="3520"/>
      <c r="T6" s="3521"/>
      <c r="U6" s="3522"/>
      <c r="V6" s="3523"/>
      <c r="W6" s="3523"/>
      <c r="X6" s="1489"/>
      <c r="Y6" s="3521"/>
      <c r="Z6" s="3522"/>
      <c r="AA6" s="3506"/>
      <c r="AB6" s="3506"/>
      <c r="AC6" s="3540"/>
    </row>
    <row r="7" spans="1:29" s="113" customFormat="1" ht="15.75" thickBot="1">
      <c r="A7" s="368" t="s">
        <v>2128</v>
      </c>
      <c r="B7" s="369"/>
      <c r="C7" s="370">
        <f>'数据-取费表'!B2</f>
        <v>44818</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48" t="s">
        <v>2129</v>
      </c>
      <c r="Q7" s="3530"/>
      <c r="R7" s="710" t="s">
        <v>17</v>
      </c>
      <c r="S7" s="711">
        <f t="shared" ref="S7:S15" si="0">F7</f>
        <v>0</v>
      </c>
      <c r="T7" s="710" t="s">
        <v>17</v>
      </c>
      <c r="U7" s="711">
        <f t="shared" ref="U7:U15" si="1">H7</f>
        <v>0</v>
      </c>
      <c r="V7" s="710" t="s">
        <v>17</v>
      </c>
      <c r="W7" s="711">
        <f t="shared" ref="W7:W15" si="2">J7</f>
        <v>0</v>
      </c>
      <c r="X7" s="712"/>
      <c r="Y7" s="3528" t="s">
        <v>2129</v>
      </c>
      <c r="Z7" s="3529"/>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48" t="s">
        <v>2132</v>
      </c>
      <c r="Q8" s="3529"/>
      <c r="R8" s="710" t="s">
        <v>17</v>
      </c>
      <c r="S8" s="711">
        <f t="shared" si="0"/>
        <v>0</v>
      </c>
      <c r="T8" s="710" t="s">
        <v>17</v>
      </c>
      <c r="U8" s="711">
        <f t="shared" si="1"/>
        <v>0</v>
      </c>
      <c r="V8" s="710" t="s">
        <v>17</v>
      </c>
      <c r="W8" s="711">
        <f t="shared" si="2"/>
        <v>0</v>
      </c>
      <c r="X8" s="712"/>
      <c r="Y8" s="3528" t="s">
        <v>2132</v>
      </c>
      <c r="Z8" s="3529"/>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503"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503"/>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503"/>
      <c r="Q11" s="1477" t="str">
        <f t="shared" si="6"/>
        <v>容积率</v>
      </c>
      <c r="R11" s="710" t="s">
        <v>17</v>
      </c>
      <c r="S11" s="711" t="e">
        <f t="shared" si="0"/>
        <v>#N/A</v>
      </c>
      <c r="T11" s="710" t="s">
        <v>17</v>
      </c>
      <c r="U11" s="711" t="e">
        <f t="shared" si="1"/>
        <v>#N/A</v>
      </c>
      <c r="V11" s="710" t="s">
        <v>17</v>
      </c>
      <c r="W11" s="711" t="e">
        <f t="shared" si="2"/>
        <v>#N/A</v>
      </c>
      <c r="X11" s="712"/>
      <c r="Y11" s="3364"/>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503"/>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503"/>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503"/>
      <c r="Q14" s="1477">
        <f t="shared" si="6"/>
        <v>111</v>
      </c>
      <c r="R14" s="710" t="s">
        <v>17</v>
      </c>
      <c r="S14" s="711">
        <f t="shared" si="0"/>
        <v>100</v>
      </c>
      <c r="T14" s="710" t="s">
        <v>17</v>
      </c>
      <c r="U14" s="711">
        <f t="shared" si="1"/>
        <v>100</v>
      </c>
      <c r="V14" s="710" t="s">
        <v>17</v>
      </c>
      <c r="W14" s="711">
        <f t="shared" si="2"/>
        <v>100</v>
      </c>
      <c r="X14" s="712"/>
      <c r="Y14" s="3364"/>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01" t="s">
        <v>2140</v>
      </c>
      <c r="Q15" s="1486" t="str">
        <f t="shared" si="6"/>
        <v>办公集聚程度</v>
      </c>
      <c r="R15" s="714" t="s">
        <v>17</v>
      </c>
      <c r="S15" s="715">
        <f t="shared" si="0"/>
        <v>100</v>
      </c>
      <c r="T15" s="714" t="s">
        <v>17</v>
      </c>
      <c r="U15" s="715">
        <f t="shared" si="1"/>
        <v>100</v>
      </c>
      <c r="V15" s="714" t="s">
        <v>17</v>
      </c>
      <c r="W15" s="715">
        <f t="shared" si="2"/>
        <v>100</v>
      </c>
      <c r="X15" s="1489"/>
      <c r="Y15" s="3494"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900"/>
      <c r="M16" s="2894"/>
      <c r="N16" s="2894"/>
      <c r="O16" s="2894"/>
      <c r="P16" s="3502"/>
      <c r="Q16" s="1486"/>
      <c r="R16" s="714"/>
      <c r="S16" s="715"/>
      <c r="T16" s="714"/>
      <c r="U16" s="715"/>
      <c r="V16" s="714"/>
      <c r="W16" s="715"/>
      <c r="X16" s="1489"/>
      <c r="Y16" s="3495"/>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02"/>
      <c r="Q17" s="1486" t="str">
        <f>B17</f>
        <v>交通便捷度</v>
      </c>
      <c r="R17" s="714" t="s">
        <v>17</v>
      </c>
      <c r="S17" s="715">
        <f>F17</f>
        <v>100</v>
      </c>
      <c r="T17" s="714" t="s">
        <v>17</v>
      </c>
      <c r="U17" s="715">
        <f>H17</f>
        <v>100</v>
      </c>
      <c r="V17" s="714" t="s">
        <v>17</v>
      </c>
      <c r="W17" s="715">
        <f>J17</f>
        <v>100</v>
      </c>
      <c r="X17" s="1489"/>
      <c r="Y17" s="3495"/>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900"/>
      <c r="M18" s="2894"/>
      <c r="N18" s="2894"/>
      <c r="O18" s="2894"/>
      <c r="P18" s="3502"/>
      <c r="Q18" s="1486"/>
      <c r="R18" s="714"/>
      <c r="S18" s="715"/>
      <c r="T18" s="714"/>
      <c r="U18" s="715"/>
      <c r="V18" s="714"/>
      <c r="W18" s="715"/>
      <c r="X18" s="1489"/>
      <c r="Y18" s="3495"/>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02"/>
      <c r="Q19" s="1486" t="str">
        <f>B19</f>
        <v>公共配套设施</v>
      </c>
      <c r="R19" s="714" t="s">
        <v>17</v>
      </c>
      <c r="S19" s="715">
        <f>F19</f>
        <v>100</v>
      </c>
      <c r="T19" s="714" t="s">
        <v>17</v>
      </c>
      <c r="U19" s="715">
        <f>H19</f>
        <v>100</v>
      </c>
      <c r="V19" s="714" t="s">
        <v>17</v>
      </c>
      <c r="W19" s="715">
        <f>J19</f>
        <v>100</v>
      </c>
      <c r="X19" s="1489"/>
      <c r="Y19" s="3495"/>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900"/>
      <c r="M20" s="2894"/>
      <c r="N20" s="2894"/>
      <c r="O20" s="2894"/>
      <c r="P20" s="3502"/>
      <c r="Q20" s="1486"/>
      <c r="R20" s="714"/>
      <c r="S20" s="715"/>
      <c r="T20" s="714"/>
      <c r="U20" s="715"/>
      <c r="V20" s="714"/>
      <c r="W20" s="715"/>
      <c r="X20" s="1489"/>
      <c r="Y20" s="3495"/>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02"/>
      <c r="Q21" s="1486" t="str">
        <f>B21</f>
        <v>基础设施水平</v>
      </c>
      <c r="R21" s="714" t="s">
        <v>17</v>
      </c>
      <c r="S21" s="715">
        <f>F21</f>
        <v>100</v>
      </c>
      <c r="T21" s="714" t="s">
        <v>17</v>
      </c>
      <c r="U21" s="715">
        <f>H21</f>
        <v>100</v>
      </c>
      <c r="V21" s="714" t="s">
        <v>17</v>
      </c>
      <c r="W21" s="715">
        <f>J21</f>
        <v>100</v>
      </c>
      <c r="X21" s="1489"/>
      <c r="Y21" s="3495"/>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900"/>
      <c r="M22" s="2894"/>
      <c r="N22" s="2894"/>
      <c r="O22" s="2894"/>
      <c r="P22" s="3502"/>
      <c r="Q22" s="1486"/>
      <c r="R22" s="714"/>
      <c r="S22" s="715"/>
      <c r="T22" s="714"/>
      <c r="U22" s="715"/>
      <c r="V22" s="714"/>
      <c r="W22" s="715"/>
      <c r="X22" s="1489"/>
      <c r="Y22" s="3495"/>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02"/>
      <c r="Q23" s="1486" t="str">
        <f>B23</f>
        <v>环境质量</v>
      </c>
      <c r="R23" s="714" t="s">
        <v>17</v>
      </c>
      <c r="S23" s="715">
        <f>F23</f>
        <v>100</v>
      </c>
      <c r="T23" s="714" t="s">
        <v>17</v>
      </c>
      <c r="U23" s="715">
        <f>H23</f>
        <v>100</v>
      </c>
      <c r="V23" s="714" t="s">
        <v>17</v>
      </c>
      <c r="W23" s="715">
        <f>J23</f>
        <v>100</v>
      </c>
      <c r="X23" s="1489"/>
      <c r="Y23" s="3495"/>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900"/>
      <c r="M24" s="2894"/>
      <c r="N24" s="2894"/>
      <c r="O24" s="2894"/>
      <c r="P24" s="3502"/>
      <c r="Q24" s="1486"/>
      <c r="R24" s="714"/>
      <c r="S24" s="715"/>
      <c r="T24" s="714"/>
      <c r="U24" s="715"/>
      <c r="V24" s="714"/>
      <c r="W24" s="715"/>
      <c r="X24" s="1489"/>
      <c r="Y24" s="3495"/>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02"/>
      <c r="Q25" s="1486" t="str">
        <f>B25</f>
        <v>毗邻道路的类型与等级</v>
      </c>
      <c r="R25" s="714" t="s">
        <v>17</v>
      </c>
      <c r="S25" s="715">
        <f>F25</f>
        <v>100</v>
      </c>
      <c r="T25" s="714" t="s">
        <v>17</v>
      </c>
      <c r="U25" s="715">
        <f>H25</f>
        <v>100</v>
      </c>
      <c r="V25" s="714" t="s">
        <v>17</v>
      </c>
      <c r="W25" s="715">
        <f>J25</f>
        <v>100</v>
      </c>
      <c r="X25" s="1489"/>
      <c r="Y25" s="3495"/>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900"/>
      <c r="M26" s="2894"/>
      <c r="N26" s="2894"/>
      <c r="O26" s="2894"/>
      <c r="P26" s="3502"/>
      <c r="Q26" s="1486"/>
      <c r="R26" s="714"/>
      <c r="S26" s="715"/>
      <c r="T26" s="714"/>
      <c r="U26" s="715"/>
      <c r="V26" s="714"/>
      <c r="W26" s="715"/>
      <c r="X26" s="1489"/>
      <c r="Y26" s="3495"/>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02"/>
      <c r="Q27" s="1486" t="str">
        <f t="shared" ref="Q27:Q47" si="11">B27</f>
        <v>楼层</v>
      </c>
      <c r="R27" s="714" t="s">
        <v>17</v>
      </c>
      <c r="S27" s="715">
        <f>F27</f>
        <v>100</v>
      </c>
      <c r="T27" s="714" t="s">
        <v>17</v>
      </c>
      <c r="U27" s="715">
        <f>H27</f>
        <v>100</v>
      </c>
      <c r="V27" s="714" t="s">
        <v>17</v>
      </c>
      <c r="W27" s="715">
        <f>J27</f>
        <v>100</v>
      </c>
      <c r="X27" s="1489"/>
      <c r="Y27" s="3495"/>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02"/>
      <c r="Q28" s="1477" t="str">
        <f t="shared" si="11"/>
        <v>朝向</v>
      </c>
      <c r="R28" s="710" t="s">
        <v>17</v>
      </c>
      <c r="S28" s="711">
        <f>F28</f>
        <v>100</v>
      </c>
      <c r="T28" s="710" t="s">
        <v>17</v>
      </c>
      <c r="U28" s="711">
        <f>H28</f>
        <v>100</v>
      </c>
      <c r="V28" s="710" t="s">
        <v>17</v>
      </c>
      <c r="W28" s="711">
        <f>J28</f>
        <v>100</v>
      </c>
      <c r="X28" s="712"/>
      <c r="Y28" s="3495"/>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02"/>
      <c r="Q29" s="1486">
        <f t="shared" si="11"/>
        <v>111</v>
      </c>
      <c r="R29" s="714" t="s">
        <v>17</v>
      </c>
      <c r="S29" s="715">
        <f t="shared" ref="S29:S47" si="12">F29</f>
        <v>100</v>
      </c>
      <c r="T29" s="714" t="s">
        <v>17</v>
      </c>
      <c r="U29" s="715">
        <f t="shared" ref="U29:U47" si="13">H29</f>
        <v>100</v>
      </c>
      <c r="V29" s="714" t="s">
        <v>17</v>
      </c>
      <c r="W29" s="715">
        <f t="shared" ref="W29:W47" si="14">J29</f>
        <v>100</v>
      </c>
      <c r="X29" s="1489"/>
      <c r="Y29" s="3495"/>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02"/>
      <c r="Q30" s="1486">
        <f t="shared" si="11"/>
        <v>111</v>
      </c>
      <c r="R30" s="714" t="s">
        <v>17</v>
      </c>
      <c r="S30" s="715">
        <f t="shared" si="12"/>
        <v>100</v>
      </c>
      <c r="T30" s="714" t="s">
        <v>17</v>
      </c>
      <c r="U30" s="715">
        <f t="shared" si="13"/>
        <v>100</v>
      </c>
      <c r="V30" s="714" t="s">
        <v>17</v>
      </c>
      <c r="W30" s="715">
        <f t="shared" si="14"/>
        <v>100</v>
      </c>
      <c r="X30" s="1489"/>
      <c r="Y30" s="3495"/>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02"/>
      <c r="Q31" s="1486">
        <f t="shared" si="11"/>
        <v>111</v>
      </c>
      <c r="R31" s="714" t="s">
        <v>17</v>
      </c>
      <c r="S31" s="715">
        <f t="shared" si="12"/>
        <v>100</v>
      </c>
      <c r="T31" s="714" t="s">
        <v>17</v>
      </c>
      <c r="U31" s="715">
        <f t="shared" si="13"/>
        <v>100</v>
      </c>
      <c r="V31" s="714" t="s">
        <v>17</v>
      </c>
      <c r="W31" s="715">
        <f t="shared" si="14"/>
        <v>100</v>
      </c>
      <c r="X31" s="1489"/>
      <c r="Y31" s="3495"/>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02"/>
      <c r="Q32" s="1486">
        <f t="shared" si="11"/>
        <v>111</v>
      </c>
      <c r="R32" s="714" t="s">
        <v>17</v>
      </c>
      <c r="S32" s="715">
        <f t="shared" si="12"/>
        <v>100</v>
      </c>
      <c r="T32" s="714" t="s">
        <v>17</v>
      </c>
      <c r="U32" s="715">
        <f t="shared" si="13"/>
        <v>100</v>
      </c>
      <c r="V32" s="714" t="s">
        <v>17</v>
      </c>
      <c r="W32" s="715">
        <f t="shared" si="14"/>
        <v>100</v>
      </c>
      <c r="X32" s="1489"/>
      <c r="Y32" s="3495"/>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96" t="s">
        <v>2145</v>
      </c>
      <c r="Q33" s="1486" t="str">
        <f t="shared" si="11"/>
        <v>建筑类型</v>
      </c>
      <c r="R33" s="714" t="s">
        <v>17</v>
      </c>
      <c r="S33" s="715">
        <f t="shared" si="12"/>
        <v>100</v>
      </c>
      <c r="T33" s="714" t="s">
        <v>17</v>
      </c>
      <c r="U33" s="715">
        <f t="shared" si="13"/>
        <v>100</v>
      </c>
      <c r="V33" s="714" t="s">
        <v>17</v>
      </c>
      <c r="W33" s="715">
        <f t="shared" si="14"/>
        <v>100</v>
      </c>
      <c r="X33" s="1489"/>
      <c r="Y33" s="3499"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7"/>
      <c r="Q35" s="1486" t="str">
        <f t="shared" si="11"/>
        <v>建筑结构</v>
      </c>
      <c r="R35" s="714" t="s">
        <v>17</v>
      </c>
      <c r="S35" s="715">
        <f t="shared" si="12"/>
        <v>100</v>
      </c>
      <c r="T35" s="714" t="s">
        <v>17</v>
      </c>
      <c r="U35" s="715">
        <f t="shared" si="13"/>
        <v>100</v>
      </c>
      <c r="V35" s="714" t="s">
        <v>17</v>
      </c>
      <c r="W35" s="715">
        <f t="shared" si="14"/>
        <v>100</v>
      </c>
      <c r="X35" s="1489"/>
      <c r="Y35" s="3499"/>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7"/>
      <c r="Q36" s="1486" t="str">
        <f t="shared" si="11"/>
        <v>公共部分装修</v>
      </c>
      <c r="R36" s="714" t="s">
        <v>17</v>
      </c>
      <c r="S36" s="715">
        <f t="shared" si="12"/>
        <v>100</v>
      </c>
      <c r="T36" s="714" t="s">
        <v>17</v>
      </c>
      <c r="U36" s="715">
        <f t="shared" si="13"/>
        <v>100</v>
      </c>
      <c r="V36" s="714" t="s">
        <v>17</v>
      </c>
      <c r="W36" s="715">
        <f t="shared" si="14"/>
        <v>100</v>
      </c>
      <c r="X36" s="1489"/>
      <c r="Y36" s="3499"/>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7"/>
      <c r="Q37" s="1486" t="str">
        <f t="shared" si="11"/>
        <v>成新度</v>
      </c>
      <c r="R37" s="714" t="s">
        <v>17</v>
      </c>
      <c r="S37" s="715" t="e">
        <f t="shared" si="12"/>
        <v>#N/A</v>
      </c>
      <c r="T37" s="714" t="s">
        <v>17</v>
      </c>
      <c r="U37" s="715" t="e">
        <f t="shared" si="13"/>
        <v>#N/A</v>
      </c>
      <c r="V37" s="714" t="s">
        <v>17</v>
      </c>
      <c r="W37" s="715" t="e">
        <f t="shared" si="14"/>
        <v>#N/A</v>
      </c>
      <c r="X37" s="1489"/>
      <c r="Y37" s="3499"/>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7"/>
      <c r="Q38" s="1477"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7" t="s">
        <v>2145</v>
      </c>
      <c r="Q39" s="1486" t="str">
        <f t="shared" si="11"/>
        <v>物业管理</v>
      </c>
      <c r="R39" s="714" t="s">
        <v>17</v>
      </c>
      <c r="S39" s="715">
        <f t="shared" si="12"/>
        <v>100</v>
      </c>
      <c r="T39" s="714" t="s">
        <v>17</v>
      </c>
      <c r="U39" s="715">
        <f t="shared" si="13"/>
        <v>100</v>
      </c>
      <c r="V39" s="714" t="s">
        <v>17</v>
      </c>
      <c r="W39" s="715">
        <f t="shared" si="14"/>
        <v>100</v>
      </c>
      <c r="X39" s="1489"/>
      <c r="Y39" s="3499"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7"/>
      <c r="Q40" s="1486" t="str">
        <f t="shared" si="11"/>
        <v>市政基础设施</v>
      </c>
      <c r="R40" s="714" t="s">
        <v>17</v>
      </c>
      <c r="S40" s="715">
        <f t="shared" si="12"/>
        <v>100</v>
      </c>
      <c r="T40" s="714" t="s">
        <v>17</v>
      </c>
      <c r="U40" s="715">
        <f t="shared" si="13"/>
        <v>100</v>
      </c>
      <c r="V40" s="714" t="s">
        <v>17</v>
      </c>
      <c r="W40" s="715">
        <f t="shared" si="14"/>
        <v>100</v>
      </c>
      <c r="X40" s="1489"/>
      <c r="Y40" s="3499"/>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7"/>
      <c r="Q41" s="1486" t="str">
        <f t="shared" si="11"/>
        <v>层高</v>
      </c>
      <c r="R41" s="714" t="s">
        <v>17</v>
      </c>
      <c r="S41" s="715">
        <f t="shared" si="12"/>
        <v>100</v>
      </c>
      <c r="T41" s="714" t="s">
        <v>17</v>
      </c>
      <c r="U41" s="715">
        <f t="shared" si="13"/>
        <v>100</v>
      </c>
      <c r="V41" s="714" t="s">
        <v>17</v>
      </c>
      <c r="W41" s="715">
        <f t="shared" si="14"/>
        <v>100</v>
      </c>
      <c r="X41" s="1489"/>
      <c r="Y41" s="3499"/>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7"/>
      <c r="Q43" s="1486" t="str">
        <f t="shared" si="11"/>
        <v>内部装修</v>
      </c>
      <c r="R43" s="714" t="s">
        <v>17</v>
      </c>
      <c r="S43" s="715">
        <f t="shared" si="12"/>
        <v>100</v>
      </c>
      <c r="T43" s="714" t="s">
        <v>17</v>
      </c>
      <c r="U43" s="715">
        <f t="shared" si="13"/>
        <v>100</v>
      </c>
      <c r="V43" s="714" t="s">
        <v>17</v>
      </c>
      <c r="W43" s="715">
        <f t="shared" si="14"/>
        <v>100</v>
      </c>
      <c r="X43" s="1489"/>
      <c r="Y43" s="3499"/>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97"/>
      <c r="Q44" s="1486" t="str">
        <f t="shared" si="11"/>
        <v>内部装修维护情况</v>
      </c>
      <c r="R44" s="714" t="s">
        <v>17</v>
      </c>
      <c r="S44" s="715">
        <f t="shared" si="12"/>
        <v>100</v>
      </c>
      <c r="T44" s="714" t="s">
        <v>17</v>
      </c>
      <c r="U44" s="715">
        <f t="shared" si="13"/>
        <v>100</v>
      </c>
      <c r="V44" s="714" t="s">
        <v>17</v>
      </c>
      <c r="W44" s="715">
        <f t="shared" si="14"/>
        <v>100</v>
      </c>
      <c r="X44" s="1489"/>
      <c r="Y44" s="3499"/>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7"/>
      <c r="Q45" s="1477">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7"/>
      <c r="Q46" s="1486">
        <f t="shared" si="11"/>
        <v>111</v>
      </c>
      <c r="R46" s="714" t="s">
        <v>17</v>
      </c>
      <c r="S46" s="715">
        <f t="shared" si="12"/>
        <v>100</v>
      </c>
      <c r="T46" s="714" t="s">
        <v>17</v>
      </c>
      <c r="U46" s="715">
        <f t="shared" si="13"/>
        <v>100</v>
      </c>
      <c r="V46" s="714" t="s">
        <v>17</v>
      </c>
      <c r="W46" s="715">
        <f t="shared" si="14"/>
        <v>100</v>
      </c>
      <c r="X46" s="1489"/>
      <c r="Y46" s="3499"/>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8"/>
      <c r="Q47" s="1486">
        <f t="shared" si="11"/>
        <v>111</v>
      </c>
      <c r="R47" s="714" t="s">
        <v>17</v>
      </c>
      <c r="S47" s="715">
        <f t="shared" si="12"/>
        <v>100</v>
      </c>
      <c r="T47" s="714" t="s">
        <v>17</v>
      </c>
      <c r="U47" s="715">
        <f t="shared" si="13"/>
        <v>100</v>
      </c>
      <c r="V47" s="714" t="s">
        <v>17</v>
      </c>
      <c r="W47" s="715">
        <f t="shared" si="14"/>
        <v>100</v>
      </c>
      <c r="X47" s="1489"/>
      <c r="Y47" s="3500"/>
      <c r="Z47" s="1490">
        <f t="shared" si="15"/>
        <v>111</v>
      </c>
      <c r="AA47" s="1487">
        <f t="shared" si="3"/>
        <v>1</v>
      </c>
      <c r="AB47" s="1487">
        <f t="shared" si="4"/>
        <v>1</v>
      </c>
      <c r="AC47" s="2098">
        <f t="shared" si="5"/>
        <v>1</v>
      </c>
    </row>
    <row r="48" spans="1:29" ht="15">
      <c r="A48" s="438" t="s">
        <v>2157</v>
      </c>
      <c r="B48" s="439"/>
      <c r="C48" s="1268" t="s">
        <v>1</v>
      </c>
      <c r="D48" s="1269"/>
      <c r="E48" s="1270"/>
      <c r="F48" s="1271"/>
      <c r="G48" s="1272"/>
      <c r="H48" s="1273"/>
      <c r="I48" s="1270"/>
      <c r="J48" s="444"/>
      <c r="K48" s="723"/>
      <c r="L48" s="2902"/>
      <c r="M48" s="2894"/>
      <c r="N48" s="2894"/>
      <c r="O48" s="2894"/>
      <c r="P48" s="3503"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2249</v>
      </c>
      <c r="B49" s="446"/>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503"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2250</v>
      </c>
      <c r="B50" s="450"/>
      <c r="C50" s="1277" t="e">
        <f>R50</f>
        <v>#DIV/0!</v>
      </c>
      <c r="D50" s="1277"/>
      <c r="E50" s="1277"/>
      <c r="F50" s="1277"/>
      <c r="G50" s="1277"/>
      <c r="H50" s="1277"/>
      <c r="I50" s="1277"/>
      <c r="J50" s="451"/>
      <c r="K50" s="724"/>
      <c r="L50" s="2902"/>
      <c r="M50" s="2894"/>
      <c r="N50" s="2894"/>
      <c r="O50" s="2894"/>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8" t="str">
        <f>YEAR(C7)&amp;"-"&amp;MONTH(C7)</f>
        <v>2022-9</v>
      </c>
      <c r="D59" s="1299">
        <f>EDATE(C59,-1)</f>
        <v>44774</v>
      </c>
      <c r="E59" s="1299">
        <f>EDATE(D59,-1)</f>
        <v>44743</v>
      </c>
      <c r="F59" s="1299">
        <f t="shared" ref="F59:O59" si="16">EDATE(E59,-1)</f>
        <v>44713</v>
      </c>
      <c r="G59" s="1299">
        <f t="shared" si="16"/>
        <v>44682</v>
      </c>
      <c r="H59" s="1299">
        <f t="shared" si="16"/>
        <v>44652</v>
      </c>
      <c r="I59" s="1299">
        <f t="shared" si="16"/>
        <v>44621</v>
      </c>
      <c r="J59" s="1299">
        <f t="shared" si="16"/>
        <v>44593</v>
      </c>
      <c r="K59" s="1299">
        <f t="shared" si="16"/>
        <v>44562</v>
      </c>
      <c r="L59" s="1299">
        <f t="shared" si="16"/>
        <v>44531</v>
      </c>
      <c r="M59" s="1299">
        <f t="shared" si="16"/>
        <v>44501</v>
      </c>
      <c r="N59" s="1299">
        <f t="shared" si="16"/>
        <v>44470</v>
      </c>
      <c r="O59" s="1299">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7">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3"/>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23576.31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7" t="s">
        <v>2226</v>
      </c>
      <c r="D4" s="3508"/>
      <c r="E4" s="3509" t="s">
        <v>2227</v>
      </c>
      <c r="F4" s="3510"/>
      <c r="G4" s="3507" t="s">
        <v>2228</v>
      </c>
      <c r="H4" s="3508"/>
      <c r="I4" s="3507" t="s">
        <v>2229</v>
      </c>
      <c r="J4" s="3508"/>
      <c r="K4" s="567" t="s">
        <v>2230</v>
      </c>
      <c r="L4" s="1025"/>
      <c r="M4" s="1026"/>
      <c r="N4" s="1026"/>
      <c r="O4" s="1026"/>
      <c r="P4" s="3511" t="s">
        <v>2231</v>
      </c>
      <c r="Q4" s="3512"/>
      <c r="R4" s="3517" t="s">
        <v>2227</v>
      </c>
      <c r="S4" s="3518"/>
      <c r="T4" s="3517" t="s">
        <v>2228</v>
      </c>
      <c r="U4" s="3518"/>
      <c r="V4" s="3523" t="s">
        <v>2229</v>
      </c>
      <c r="W4" s="3523"/>
      <c r="X4" s="1489"/>
      <c r="Y4" s="3517" t="s">
        <v>2231</v>
      </c>
      <c r="Z4" s="3518"/>
      <c r="AA4" s="3504" t="s">
        <v>2227</v>
      </c>
      <c r="AB4" s="3505" t="s">
        <v>2228</v>
      </c>
      <c r="AC4" s="3504" t="s">
        <v>2229</v>
      </c>
    </row>
    <row r="5" spans="1:29" ht="15">
      <c r="A5" s="364"/>
      <c r="B5" s="365"/>
      <c r="C5" s="3526" t="s">
        <v>2122</v>
      </c>
      <c r="D5" s="3527"/>
      <c r="E5" s="3533" t="s">
        <v>2123</v>
      </c>
      <c r="F5" s="3534"/>
      <c r="G5" s="3526" t="s">
        <v>2124</v>
      </c>
      <c r="H5" s="3527"/>
      <c r="I5" s="3526" t="s">
        <v>2125</v>
      </c>
      <c r="J5" s="3527"/>
      <c r="K5" s="567"/>
      <c r="L5" s="1025"/>
      <c r="M5" s="1026"/>
      <c r="N5" s="1026"/>
      <c r="O5" s="1026"/>
      <c r="P5" s="3513"/>
      <c r="Q5" s="3514"/>
      <c r="R5" s="3519"/>
      <c r="S5" s="3520"/>
      <c r="T5" s="3519"/>
      <c r="U5" s="3520"/>
      <c r="V5" s="3523"/>
      <c r="W5" s="3523"/>
      <c r="X5" s="1489"/>
      <c r="Y5" s="3519"/>
      <c r="Z5" s="3520"/>
      <c r="AA5" s="3505"/>
      <c r="AB5" s="3505"/>
      <c r="AC5" s="3505"/>
    </row>
    <row r="6" spans="1:29" ht="15.75" thickBot="1">
      <c r="A6" s="366"/>
      <c r="B6" s="367"/>
      <c r="C6" s="3524" t="s">
        <v>2126</v>
      </c>
      <c r="D6" s="3525"/>
      <c r="E6" s="3531" t="s">
        <v>2126</v>
      </c>
      <c r="F6" s="3532"/>
      <c r="G6" s="3524" t="s">
        <v>2126</v>
      </c>
      <c r="H6" s="3525"/>
      <c r="I6" s="3524" t="s">
        <v>2126</v>
      </c>
      <c r="J6" s="3525"/>
      <c r="K6" s="567" t="s">
        <v>2127</v>
      </c>
      <c r="L6" s="1025"/>
      <c r="M6" s="1026"/>
      <c r="N6" s="1026"/>
      <c r="O6" s="1026"/>
      <c r="P6" s="3515"/>
      <c r="Q6" s="3516"/>
      <c r="R6" s="3519"/>
      <c r="S6" s="3520"/>
      <c r="T6" s="3521"/>
      <c r="U6" s="3522"/>
      <c r="V6" s="3523"/>
      <c r="W6" s="3523"/>
      <c r="X6" s="1489"/>
      <c r="Y6" s="3521"/>
      <c r="Z6" s="3522"/>
      <c r="AA6" s="3506"/>
      <c r="AB6" s="3506"/>
      <c r="AC6" s="3506"/>
    </row>
    <row r="7" spans="1:29" s="113" customFormat="1" ht="15.75" thickBot="1">
      <c r="A7" s="368" t="s">
        <v>2128</v>
      </c>
      <c r="B7" s="369"/>
      <c r="C7" s="370">
        <f>'数据-取费表'!B2</f>
        <v>44818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528" t="s">
        <v>2129</v>
      </c>
      <c r="Q7" s="3530"/>
      <c r="R7" s="710" t="s">
        <v>17</v>
      </c>
      <c r="S7" s="711">
        <f t="shared" ref="S7:S15" si="0">F7</f>
        <v>0</v>
      </c>
      <c r="T7" s="710" t="s">
        <v>17</v>
      </c>
      <c r="U7" s="711">
        <f t="shared" ref="U7:U15" si="1">H7</f>
        <v>0</v>
      </c>
      <c r="V7" s="710" t="s">
        <v>17</v>
      </c>
      <c r="W7" s="711">
        <f t="shared" ref="W7:W15" si="2">J7</f>
        <v>0</v>
      </c>
      <c r="X7" s="712"/>
      <c r="Y7" s="3528" t="s">
        <v>2129</v>
      </c>
      <c r="Z7" s="352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528" t="s">
        <v>2132</v>
      </c>
      <c r="Q8" s="3529"/>
      <c r="R8" s="710" t="s">
        <v>17</v>
      </c>
      <c r="S8" s="711">
        <f t="shared" si="0"/>
        <v>0</v>
      </c>
      <c r="T8" s="710" t="s">
        <v>17</v>
      </c>
      <c r="U8" s="711">
        <f t="shared" si="1"/>
        <v>0</v>
      </c>
      <c r="V8" s="710" t="s">
        <v>17</v>
      </c>
      <c r="W8" s="711">
        <f t="shared" si="2"/>
        <v>0</v>
      </c>
      <c r="X8" s="712"/>
      <c r="Y8" s="3528" t="s">
        <v>2132</v>
      </c>
      <c r="Z8" s="352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2"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2"/>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2"/>
      <c r="Q11" s="1477" t="str">
        <f t="shared" si="6"/>
        <v>容积率</v>
      </c>
      <c r="R11" s="710" t="s">
        <v>17</v>
      </c>
      <c r="S11" s="711" t="e">
        <f t="shared" si="0"/>
        <v>#N/A</v>
      </c>
      <c r="T11" s="710" t="s">
        <v>17</v>
      </c>
      <c r="U11" s="711" t="e">
        <f t="shared" si="1"/>
        <v>#N/A</v>
      </c>
      <c r="V11" s="710" t="s">
        <v>17</v>
      </c>
      <c r="W11" s="711" t="e">
        <f t="shared" si="2"/>
        <v>#N/A</v>
      </c>
      <c r="X11" s="712"/>
      <c r="Y11" s="3364"/>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92"/>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92"/>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92"/>
      <c r="Q14" s="1477">
        <f t="shared" si="6"/>
        <v>111</v>
      </c>
      <c r="R14" s="710" t="s">
        <v>17</v>
      </c>
      <c r="S14" s="711">
        <f t="shared" si="0"/>
        <v>100</v>
      </c>
      <c r="T14" s="710" t="s">
        <v>17</v>
      </c>
      <c r="U14" s="711">
        <f t="shared" si="1"/>
        <v>100</v>
      </c>
      <c r="V14" s="710" t="s">
        <v>17</v>
      </c>
      <c r="W14" s="711">
        <f t="shared" si="2"/>
        <v>100</v>
      </c>
      <c r="X14" s="712"/>
      <c r="Y14" s="3364"/>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4" t="s">
        <v>2140</v>
      </c>
      <c r="Q15" s="1486" t="str">
        <f t="shared" si="6"/>
        <v>产业集聚程度</v>
      </c>
      <c r="R15" s="714" t="s">
        <v>17</v>
      </c>
      <c r="S15" s="715">
        <f t="shared" si="0"/>
        <v>100</v>
      </c>
      <c r="T15" s="714" t="s">
        <v>17</v>
      </c>
      <c r="U15" s="715">
        <f t="shared" si="1"/>
        <v>100</v>
      </c>
      <c r="V15" s="714" t="s">
        <v>17</v>
      </c>
      <c r="W15" s="715">
        <f t="shared" si="2"/>
        <v>100</v>
      </c>
      <c r="X15" s="1489"/>
      <c r="Y15" s="3494"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95"/>
      <c r="Q16" s="1486"/>
      <c r="R16" s="714"/>
      <c r="S16" s="715"/>
      <c r="T16" s="714"/>
      <c r="U16" s="715"/>
      <c r="V16" s="714"/>
      <c r="W16" s="715"/>
      <c r="X16" s="1489"/>
      <c r="Y16" s="3495"/>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5"/>
      <c r="Q17" s="1486" t="str">
        <f>B17</f>
        <v>交通便捷度</v>
      </c>
      <c r="R17" s="714" t="s">
        <v>17</v>
      </c>
      <c r="S17" s="715">
        <f>F17</f>
        <v>100</v>
      </c>
      <c r="T17" s="714" t="s">
        <v>17</v>
      </c>
      <c r="U17" s="715">
        <f>H17</f>
        <v>100</v>
      </c>
      <c r="V17" s="714" t="s">
        <v>17</v>
      </c>
      <c r="W17" s="715">
        <f>J17</f>
        <v>100</v>
      </c>
      <c r="X17" s="1489"/>
      <c r="Y17" s="3495"/>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95"/>
      <c r="Q18" s="1486"/>
      <c r="R18" s="714"/>
      <c r="S18" s="715"/>
      <c r="T18" s="714"/>
      <c r="U18" s="715"/>
      <c r="V18" s="714"/>
      <c r="W18" s="715"/>
      <c r="X18" s="1489"/>
      <c r="Y18" s="3495"/>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5"/>
      <c r="Q19" s="1486" t="str">
        <f>B19</f>
        <v>公共配套设施</v>
      </c>
      <c r="R19" s="714" t="s">
        <v>17</v>
      </c>
      <c r="S19" s="715">
        <f>F19</f>
        <v>100</v>
      </c>
      <c r="T19" s="714" t="s">
        <v>17</v>
      </c>
      <c r="U19" s="715">
        <f>H19</f>
        <v>100</v>
      </c>
      <c r="V19" s="714" t="s">
        <v>17</v>
      </c>
      <c r="W19" s="715">
        <f>J19</f>
        <v>100</v>
      </c>
      <c r="X19" s="1489"/>
      <c r="Y19" s="3495"/>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95"/>
      <c r="Q20" s="1486"/>
      <c r="R20" s="714"/>
      <c r="S20" s="715"/>
      <c r="T20" s="714"/>
      <c r="U20" s="715"/>
      <c r="V20" s="714"/>
      <c r="W20" s="715"/>
      <c r="X20" s="1489"/>
      <c r="Y20" s="3495"/>
      <c r="Z20" s="1490"/>
      <c r="AA20" s="1487">
        <v>1</v>
      </c>
      <c r="AB20" s="1487">
        <v>1</v>
      </c>
      <c r="AC20" s="1487">
        <v>1</v>
      </c>
    </row>
    <row r="21" spans="1:29" ht="28.5">
      <c r="A21" s="387"/>
      <c r="B21" s="1245"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5"/>
      <c r="Q21" s="1486" t="str">
        <f>B21</f>
        <v>基础设施水平</v>
      </c>
      <c r="R21" s="714" t="s">
        <v>17</v>
      </c>
      <c r="S21" s="715">
        <f>F21</f>
        <v>100</v>
      </c>
      <c r="T21" s="714" t="s">
        <v>17</v>
      </c>
      <c r="U21" s="715">
        <f>H21</f>
        <v>100</v>
      </c>
      <c r="V21" s="714" t="s">
        <v>17</v>
      </c>
      <c r="W21" s="715">
        <f>J21</f>
        <v>100</v>
      </c>
      <c r="X21" s="1489"/>
      <c r="Y21" s="3495"/>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5"/>
      <c r="M22" s="1026"/>
      <c r="N22" s="1026"/>
      <c r="O22" s="1034"/>
      <c r="P22" s="3495"/>
      <c r="Q22" s="1486"/>
      <c r="R22" s="714"/>
      <c r="S22" s="715"/>
      <c r="T22" s="714"/>
      <c r="U22" s="715"/>
      <c r="V22" s="714"/>
      <c r="W22" s="715"/>
      <c r="X22" s="1489"/>
      <c r="Y22" s="3495"/>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5"/>
      <c r="Q23" s="1486" t="str">
        <f>B23</f>
        <v>环境质量</v>
      </c>
      <c r="R23" s="714" t="s">
        <v>17</v>
      </c>
      <c r="S23" s="715">
        <f>F23</f>
        <v>100</v>
      </c>
      <c r="T23" s="714" t="s">
        <v>17</v>
      </c>
      <c r="U23" s="715">
        <f>H23</f>
        <v>100</v>
      </c>
      <c r="V23" s="714" t="s">
        <v>17</v>
      </c>
      <c r="W23" s="715">
        <f>J23</f>
        <v>100</v>
      </c>
      <c r="X23" s="1489"/>
      <c r="Y23" s="3495"/>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5"/>
      <c r="M24" s="1026"/>
      <c r="N24" s="1026"/>
      <c r="O24" s="1034"/>
      <c r="P24" s="3495"/>
      <c r="Q24" s="1486"/>
      <c r="R24" s="714"/>
      <c r="S24" s="715"/>
      <c r="T24" s="714"/>
      <c r="U24" s="715"/>
      <c r="V24" s="714"/>
      <c r="W24" s="715"/>
      <c r="X24" s="1489"/>
      <c r="Y24" s="3495"/>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5"/>
      <c r="Q25" s="1486">
        <f>B25</f>
        <v>111</v>
      </c>
      <c r="R25" s="714" t="s">
        <v>17</v>
      </c>
      <c r="S25" s="715">
        <f>F25</f>
        <v>100</v>
      </c>
      <c r="T25" s="714" t="s">
        <v>17</v>
      </c>
      <c r="U25" s="715">
        <f>H25</f>
        <v>100</v>
      </c>
      <c r="V25" s="714" t="s">
        <v>17</v>
      </c>
      <c r="W25" s="715">
        <f>J25</f>
        <v>100</v>
      </c>
      <c r="X25" s="1489"/>
      <c r="Y25" s="3495"/>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5"/>
      <c r="Q26" s="1486">
        <f t="shared" ref="Q26:Q40" si="11">B26</f>
        <v>111</v>
      </c>
      <c r="R26" s="714" t="s">
        <v>17</v>
      </c>
      <c r="S26" s="715">
        <f>F26</f>
        <v>100</v>
      </c>
      <c r="T26" s="714" t="s">
        <v>17</v>
      </c>
      <c r="U26" s="715">
        <f>H26</f>
        <v>100</v>
      </c>
      <c r="V26" s="714" t="s">
        <v>17</v>
      </c>
      <c r="W26" s="715">
        <f>J26</f>
        <v>100</v>
      </c>
      <c r="X26" s="1489"/>
      <c r="Y26" s="3495"/>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5"/>
      <c r="Q27" s="1477">
        <f t="shared" si="11"/>
        <v>111</v>
      </c>
      <c r="R27" s="710" t="s">
        <v>17</v>
      </c>
      <c r="S27" s="711">
        <f>F27</f>
        <v>100</v>
      </c>
      <c r="T27" s="710" t="s">
        <v>17</v>
      </c>
      <c r="U27" s="711">
        <f>H27</f>
        <v>100</v>
      </c>
      <c r="V27" s="710" t="s">
        <v>17</v>
      </c>
      <c r="W27" s="711">
        <f>J27</f>
        <v>100</v>
      </c>
      <c r="X27" s="712"/>
      <c r="Y27" s="3495"/>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5"/>
      <c r="Q28" s="1486">
        <f t="shared" si="11"/>
        <v>111</v>
      </c>
      <c r="R28" s="714" t="s">
        <v>17</v>
      </c>
      <c r="S28" s="715">
        <f t="shared" ref="S28:S40" si="12">F28</f>
        <v>100</v>
      </c>
      <c r="T28" s="714" t="s">
        <v>17</v>
      </c>
      <c r="U28" s="715">
        <f t="shared" ref="U28:U40" si="13">H28</f>
        <v>100</v>
      </c>
      <c r="V28" s="714" t="s">
        <v>17</v>
      </c>
      <c r="W28" s="715">
        <f t="shared" ref="W28:W40" si="14">J28</f>
        <v>100</v>
      </c>
      <c r="X28" s="1489"/>
      <c r="Y28" s="3495"/>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50" t="s">
        <v>2145</v>
      </c>
      <c r="Q29" s="1486" t="str">
        <f t="shared" si="11"/>
        <v>建筑类型</v>
      </c>
      <c r="R29" s="714" t="s">
        <v>17</v>
      </c>
      <c r="S29" s="715">
        <f t="shared" si="12"/>
        <v>100</v>
      </c>
      <c r="T29" s="714" t="s">
        <v>17</v>
      </c>
      <c r="U29" s="715">
        <f t="shared" si="13"/>
        <v>100</v>
      </c>
      <c r="V29" s="714" t="s">
        <v>17</v>
      </c>
      <c r="W29" s="715">
        <f t="shared" si="14"/>
        <v>100</v>
      </c>
      <c r="X29" s="1489"/>
      <c r="Y29" s="3499"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9"/>
      <c r="Q31" s="1486" t="str">
        <f t="shared" si="11"/>
        <v>建筑结构</v>
      </c>
      <c r="R31" s="714" t="s">
        <v>17</v>
      </c>
      <c r="S31" s="715">
        <f t="shared" si="12"/>
        <v>100</v>
      </c>
      <c r="T31" s="714" t="s">
        <v>17</v>
      </c>
      <c r="U31" s="715">
        <f t="shared" si="13"/>
        <v>100</v>
      </c>
      <c r="V31" s="714" t="s">
        <v>17</v>
      </c>
      <c r="W31" s="715">
        <f t="shared" si="14"/>
        <v>100</v>
      </c>
      <c r="X31" s="1489"/>
      <c r="Y31" s="3499"/>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9"/>
      <c r="Q32" s="1486" t="str">
        <f t="shared" si="11"/>
        <v>公共部分装修</v>
      </c>
      <c r="R32" s="714" t="s">
        <v>17</v>
      </c>
      <c r="S32" s="715">
        <f t="shared" si="12"/>
        <v>100</v>
      </c>
      <c r="T32" s="714" t="s">
        <v>17</v>
      </c>
      <c r="U32" s="715">
        <f t="shared" si="13"/>
        <v>100</v>
      </c>
      <c r="V32" s="714" t="s">
        <v>17</v>
      </c>
      <c r="W32" s="715">
        <f t="shared" si="14"/>
        <v>100</v>
      </c>
      <c r="X32" s="1489"/>
      <c r="Y32" s="3499"/>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9"/>
      <c r="Q33" s="1486" t="str">
        <f t="shared" si="11"/>
        <v>成新度</v>
      </c>
      <c r="R33" s="714" t="s">
        <v>17</v>
      </c>
      <c r="S33" s="715" t="e">
        <f t="shared" si="12"/>
        <v>#N/A</v>
      </c>
      <c r="T33" s="714" t="s">
        <v>17</v>
      </c>
      <c r="U33" s="715" t="e">
        <f t="shared" si="13"/>
        <v>#N/A</v>
      </c>
      <c r="V33" s="714" t="s">
        <v>17</v>
      </c>
      <c r="W33" s="715" t="e">
        <f t="shared" si="14"/>
        <v>#N/A</v>
      </c>
      <c r="X33" s="1489"/>
      <c r="Y33" s="3499"/>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9"/>
      <c r="Q34" s="1477"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9" t="s">
        <v>2145</v>
      </c>
      <c r="Q35" s="1486" t="str">
        <f t="shared" si="11"/>
        <v>市政基础设施</v>
      </c>
      <c r="R35" s="714" t="s">
        <v>17</v>
      </c>
      <c r="S35" s="715">
        <f t="shared" si="12"/>
        <v>100</v>
      </c>
      <c r="T35" s="714" t="s">
        <v>17</v>
      </c>
      <c r="U35" s="715">
        <f t="shared" si="13"/>
        <v>100</v>
      </c>
      <c r="V35" s="714" t="s">
        <v>17</v>
      </c>
      <c r="W35" s="715">
        <f t="shared" si="14"/>
        <v>100</v>
      </c>
      <c r="X35" s="1489"/>
      <c r="Y35" s="3499"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9"/>
      <c r="Q36" s="1486" t="str">
        <f t="shared" si="11"/>
        <v>内部装修</v>
      </c>
      <c r="R36" s="714" t="s">
        <v>17</v>
      </c>
      <c r="S36" s="715">
        <f t="shared" si="12"/>
        <v>100</v>
      </c>
      <c r="T36" s="714" t="s">
        <v>17</v>
      </c>
      <c r="U36" s="715">
        <f t="shared" si="13"/>
        <v>100</v>
      </c>
      <c r="V36" s="714" t="s">
        <v>17</v>
      </c>
      <c r="W36" s="715">
        <f t="shared" si="14"/>
        <v>100</v>
      </c>
      <c r="X36" s="1489"/>
      <c r="Y36" s="3499"/>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9"/>
      <c r="Q37" s="1486" t="str">
        <f t="shared" si="11"/>
        <v>内部装修状况</v>
      </c>
      <c r="R37" s="714" t="s">
        <v>17</v>
      </c>
      <c r="S37" s="715">
        <f t="shared" si="12"/>
        <v>100</v>
      </c>
      <c r="T37" s="714" t="s">
        <v>17</v>
      </c>
      <c r="U37" s="715">
        <f t="shared" si="13"/>
        <v>100</v>
      </c>
      <c r="V37" s="714" t="s">
        <v>17</v>
      </c>
      <c r="W37" s="715">
        <f t="shared" si="14"/>
        <v>100</v>
      </c>
      <c r="X37" s="1489"/>
      <c r="Y37" s="3499"/>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9"/>
      <c r="Q39" s="1486">
        <f t="shared" si="11"/>
        <v>111</v>
      </c>
      <c r="R39" s="714" t="s">
        <v>17</v>
      </c>
      <c r="S39" s="715">
        <f t="shared" si="12"/>
        <v>100</v>
      </c>
      <c r="T39" s="714" t="s">
        <v>17</v>
      </c>
      <c r="U39" s="715">
        <f t="shared" si="13"/>
        <v>100</v>
      </c>
      <c r="V39" s="714" t="s">
        <v>17</v>
      </c>
      <c r="W39" s="715">
        <f t="shared" si="14"/>
        <v>100</v>
      </c>
      <c r="X39" s="1489"/>
      <c r="Y39" s="3499"/>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0"/>
      <c r="Q40" s="1486">
        <f t="shared" si="11"/>
        <v>111</v>
      </c>
      <c r="R40" s="714" t="s">
        <v>17</v>
      </c>
      <c r="S40" s="715">
        <f t="shared" si="12"/>
        <v>100</v>
      </c>
      <c r="T40" s="714" t="s">
        <v>17</v>
      </c>
      <c r="U40" s="715">
        <f t="shared" si="13"/>
        <v>100</v>
      </c>
      <c r="V40" s="714" t="s">
        <v>17</v>
      </c>
      <c r="W40" s="715">
        <f t="shared" si="14"/>
        <v>100</v>
      </c>
      <c r="X40" s="1489"/>
      <c r="Y40" s="3500"/>
      <c r="Z40" s="1490">
        <f t="shared" si="15"/>
        <v>111</v>
      </c>
      <c r="AA40" s="1487">
        <f t="shared" si="3"/>
        <v>1</v>
      </c>
      <c r="AB40" s="1487">
        <f t="shared" si="4"/>
        <v>1</v>
      </c>
      <c r="AC40" s="1487">
        <f t="shared" si="5"/>
        <v>1</v>
      </c>
    </row>
    <row r="41" spans="1:29" ht="15">
      <c r="A41" s="438" t="s">
        <v>2157</v>
      </c>
      <c r="B41" s="439"/>
      <c r="C41" s="1268" t="s">
        <v>1</v>
      </c>
      <c r="D41" s="1269"/>
      <c r="E41" s="1270"/>
      <c r="F41" s="1271"/>
      <c r="G41" s="1272"/>
      <c r="H41" s="1273"/>
      <c r="I41" s="1270"/>
      <c r="J41" s="1273"/>
      <c r="K41" s="723"/>
      <c r="L41" s="1038"/>
      <c r="M41" s="1039"/>
      <c r="N41" s="1026"/>
      <c r="O41" s="1039"/>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2249</v>
      </c>
      <c r="B42" s="446"/>
      <c r="C42" s="1274" t="e">
        <f>R43</f>
        <v>#DIV/0!</v>
      </c>
      <c r="D42" s="2488" t="s">
        <v>2639</v>
      </c>
      <c r="E42" s="1275" t="e">
        <f>R42</f>
        <v>#DIV/0!</v>
      </c>
      <c r="F42" s="2489"/>
      <c r="G42" s="1274" t="e">
        <f>T42</f>
        <v>#DIV/0!</v>
      </c>
      <c r="H42" s="2489"/>
      <c r="I42" s="1275" t="e">
        <f>V42</f>
        <v>#DIV/0!</v>
      </c>
      <c r="J42" s="2489"/>
      <c r="K42" s="2491">
        <f>F42+H42+J42</f>
        <v>0</v>
      </c>
      <c r="L42" s="1038"/>
      <c r="M42" s="1039"/>
      <c r="N42" s="1026"/>
      <c r="O42" s="1039"/>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2250</v>
      </c>
      <c r="B43" s="450"/>
      <c r="C43" s="1277" t="e">
        <f>R43</f>
        <v>#DIV/0!</v>
      </c>
      <c r="D43" s="1277"/>
      <c r="E43" s="1277"/>
      <c r="F43" s="1277"/>
      <c r="G43" s="1277"/>
      <c r="H43" s="1277"/>
      <c r="I43" s="1277"/>
      <c r="J43" s="1277"/>
      <c r="K43" s="724"/>
      <c r="L43" s="1038"/>
      <c r="M43" s="1039"/>
      <c r="N43" s="1039"/>
      <c r="O43" s="1039"/>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2022-9</v>
      </c>
      <c r="D52" s="1299">
        <f>EDATE(C52,-1)</f>
        <v>44774</v>
      </c>
      <c r="E52" s="1299">
        <f t="shared" ref="E52:O52" si="16">EDATE(D52,-1)</f>
        <v>44743</v>
      </c>
      <c r="F52" s="1299">
        <f t="shared" si="16"/>
        <v>44713</v>
      </c>
      <c r="G52" s="1299">
        <f t="shared" si="16"/>
        <v>44682</v>
      </c>
      <c r="H52" s="1299">
        <f t="shared" si="16"/>
        <v>44652</v>
      </c>
      <c r="I52" s="1299">
        <f t="shared" si="16"/>
        <v>44621</v>
      </c>
      <c r="J52" s="1299">
        <f t="shared" si="16"/>
        <v>44593</v>
      </c>
      <c r="K52" s="1299">
        <f t="shared" si="16"/>
        <v>44562</v>
      </c>
      <c r="L52" s="1299">
        <f t="shared" si="16"/>
        <v>44531</v>
      </c>
      <c r="M52" s="1299">
        <f t="shared" si="16"/>
        <v>44501</v>
      </c>
      <c r="N52" s="1299">
        <f t="shared" si="16"/>
        <v>44470</v>
      </c>
      <c r="O52" s="1299">
        <f t="shared" si="16"/>
        <v>44440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3"/>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估价对象为北京市房地产，为所有。根据《国有土地使用证》[]，估价对象（分摊）出让国有建设用地使用权面积为2435.9平方米，建筑面积为23576.31平方米。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估价对象为北京市房地产,属开发建设的，该项目尚在开发建设中。根据《国有土地使用证》[]，估价对象（分摊）出让国有建设用地使用权面积为2435.9平方米，规划建筑面积为23576.31平方米。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2022年9月14日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1279"/>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79"/>
      <c r="Q3" s="708"/>
      <c r="R3" s="708"/>
      <c r="S3" s="708"/>
      <c r="T3" s="708"/>
      <c r="U3" s="708"/>
      <c r="V3" s="708"/>
      <c r="W3" s="708"/>
      <c r="X3" s="708"/>
      <c r="Y3" s="708"/>
      <c r="Z3" s="708"/>
      <c r="AA3" s="708"/>
      <c r="AB3" s="725"/>
      <c r="AC3" s="722"/>
    </row>
    <row r="4" spans="1:29" ht="15">
      <c r="A4" s="361" t="s">
        <v>2225</v>
      </c>
      <c r="B4" s="362"/>
      <c r="C4" s="3507" t="s">
        <v>2226</v>
      </c>
      <c r="D4" s="3508"/>
      <c r="E4" s="3509" t="s">
        <v>2227</v>
      </c>
      <c r="F4" s="3510"/>
      <c r="G4" s="3507" t="s">
        <v>2228</v>
      </c>
      <c r="H4" s="3508"/>
      <c r="I4" s="3507" t="s">
        <v>2229</v>
      </c>
      <c r="J4" s="3508"/>
      <c r="K4" s="567" t="s">
        <v>2230</v>
      </c>
      <c r="L4" s="2893"/>
      <c r="M4" s="2894"/>
      <c r="N4" s="2894"/>
      <c r="O4" s="2894"/>
      <c r="P4" s="3511" t="s">
        <v>2231</v>
      </c>
      <c r="Q4" s="3512"/>
      <c r="R4" s="3517" t="s">
        <v>2227</v>
      </c>
      <c r="S4" s="3518"/>
      <c r="T4" s="3517" t="s">
        <v>2228</v>
      </c>
      <c r="U4" s="3518"/>
      <c r="V4" s="3523" t="s">
        <v>2229</v>
      </c>
      <c r="W4" s="3523"/>
      <c r="X4" s="1489"/>
      <c r="Y4" s="3517" t="s">
        <v>2231</v>
      </c>
      <c r="Z4" s="3518"/>
      <c r="AA4" s="3504" t="s">
        <v>2227</v>
      </c>
      <c r="AB4" s="3505" t="s">
        <v>2228</v>
      </c>
      <c r="AC4" s="3504" t="s">
        <v>2229</v>
      </c>
    </row>
    <row r="5" spans="1:29" ht="15">
      <c r="A5" s="364"/>
      <c r="B5" s="365"/>
      <c r="C5" s="3526" t="s">
        <v>2122</v>
      </c>
      <c r="D5" s="3527"/>
      <c r="E5" s="3533" t="s">
        <v>2123</v>
      </c>
      <c r="F5" s="3534"/>
      <c r="G5" s="3526" t="s">
        <v>2124</v>
      </c>
      <c r="H5" s="3527"/>
      <c r="I5" s="3526" t="s">
        <v>2125</v>
      </c>
      <c r="J5" s="3527"/>
      <c r="K5" s="567"/>
      <c r="L5" s="2893"/>
      <c r="M5" s="2894"/>
      <c r="N5" s="2894"/>
      <c r="O5" s="2894"/>
      <c r="P5" s="3513"/>
      <c r="Q5" s="3514"/>
      <c r="R5" s="3519"/>
      <c r="S5" s="3520"/>
      <c r="T5" s="3519"/>
      <c r="U5" s="3520"/>
      <c r="V5" s="3523"/>
      <c r="W5" s="3523"/>
      <c r="X5" s="1489"/>
      <c r="Y5" s="3519"/>
      <c r="Z5" s="3520"/>
      <c r="AA5" s="3505"/>
      <c r="AB5" s="3505"/>
      <c r="AC5" s="3505"/>
    </row>
    <row r="6" spans="1:29" ht="15.75" thickBot="1">
      <c r="A6" s="366"/>
      <c r="B6" s="367"/>
      <c r="C6" s="3524" t="s">
        <v>2126</v>
      </c>
      <c r="D6" s="3525"/>
      <c r="E6" s="3531" t="s">
        <v>2126</v>
      </c>
      <c r="F6" s="3532"/>
      <c r="G6" s="3524" t="s">
        <v>2126</v>
      </c>
      <c r="H6" s="3525"/>
      <c r="I6" s="3524" t="s">
        <v>2126</v>
      </c>
      <c r="J6" s="3525"/>
      <c r="K6" s="567" t="s">
        <v>2127</v>
      </c>
      <c r="L6" s="2893"/>
      <c r="M6" s="2894"/>
      <c r="N6" s="2894"/>
      <c r="O6" s="2894"/>
      <c r="P6" s="3515"/>
      <c r="Q6" s="3516"/>
      <c r="R6" s="3519"/>
      <c r="S6" s="3520"/>
      <c r="T6" s="3521"/>
      <c r="U6" s="3522"/>
      <c r="V6" s="3523"/>
      <c r="W6" s="3523"/>
      <c r="X6" s="1489"/>
      <c r="Y6" s="3521"/>
      <c r="Z6" s="3522"/>
      <c r="AA6" s="3506"/>
      <c r="AB6" s="3506"/>
      <c r="AC6" s="3506"/>
    </row>
    <row r="7" spans="1:29" s="113" customFormat="1" ht="15.75" thickBot="1">
      <c r="A7" s="368" t="s">
        <v>2128</v>
      </c>
      <c r="B7" s="369"/>
      <c r="C7" s="370">
        <f>'数据-取费表'!B2</f>
        <v>44818</v>
      </c>
      <c r="D7" s="371">
        <v>100</v>
      </c>
      <c r="E7" s="372"/>
      <c r="F7" s="373">
        <f>SUMIF(48:48,YEAR(E7)&amp;"-"&amp;MONTH(E7),49:49)</f>
        <v>0</v>
      </c>
      <c r="G7" s="372"/>
      <c r="H7" s="371">
        <f>SUMIF(48:48,YEAR(G7)&amp;"-"&amp;MONTH(G7),49:49)</f>
        <v>0</v>
      </c>
      <c r="I7" s="372"/>
      <c r="J7" s="371">
        <f>SUMIF(48:48,YEAR(I7)&amp;"-"&amp;MONTH(I7),49:49)</f>
        <v>0</v>
      </c>
      <c r="K7" s="568"/>
      <c r="L7" s="2895"/>
      <c r="M7" s="2896"/>
      <c r="N7" s="2896"/>
      <c r="O7" s="2896"/>
      <c r="P7" s="3528" t="s">
        <v>2129</v>
      </c>
      <c r="Q7" s="3530"/>
      <c r="R7" s="710" t="s">
        <v>17</v>
      </c>
      <c r="S7" s="711">
        <f t="shared" ref="S7:S14" si="0">F7</f>
        <v>0</v>
      </c>
      <c r="T7" s="710" t="s">
        <v>17</v>
      </c>
      <c r="U7" s="711">
        <f t="shared" ref="U7:U14" si="1">H7</f>
        <v>0</v>
      </c>
      <c r="V7" s="710" t="s">
        <v>17</v>
      </c>
      <c r="W7" s="711">
        <f t="shared" ref="W7:W14" si="2">J7</f>
        <v>0</v>
      </c>
      <c r="X7" s="712"/>
      <c r="Y7" s="3528" t="s">
        <v>2129</v>
      </c>
      <c r="Z7" s="352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528" t="s">
        <v>2132</v>
      </c>
      <c r="Q8" s="3529"/>
      <c r="R8" s="710" t="s">
        <v>17</v>
      </c>
      <c r="S8" s="711">
        <f t="shared" si="0"/>
        <v>0</v>
      </c>
      <c r="T8" s="710" t="s">
        <v>17</v>
      </c>
      <c r="U8" s="711">
        <f t="shared" si="1"/>
        <v>0</v>
      </c>
      <c r="V8" s="710" t="s">
        <v>17</v>
      </c>
      <c r="W8" s="711">
        <f t="shared" si="2"/>
        <v>0</v>
      </c>
      <c r="X8" s="712"/>
      <c r="Y8" s="3528" t="s">
        <v>2132</v>
      </c>
      <c r="Z8" s="352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92" t="s">
        <v>2135</v>
      </c>
      <c r="Q9" s="1477" t="str">
        <f t="shared" ref="Q9:Q14" si="6">B9</f>
        <v>用途</v>
      </c>
      <c r="R9" s="710" t="s">
        <v>17</v>
      </c>
      <c r="S9" s="711">
        <f t="shared" si="0"/>
        <v>100</v>
      </c>
      <c r="T9" s="710" t="s">
        <v>17</v>
      </c>
      <c r="U9" s="711">
        <f t="shared" si="1"/>
        <v>100</v>
      </c>
      <c r="V9" s="710" t="s">
        <v>17</v>
      </c>
      <c r="W9" s="711">
        <f t="shared" si="2"/>
        <v>100</v>
      </c>
      <c r="X9" s="712"/>
      <c r="Y9" s="336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92"/>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92"/>
      <c r="Q11" s="1477">
        <f t="shared" si="6"/>
        <v>111</v>
      </c>
      <c r="R11" s="710" t="s">
        <v>17</v>
      </c>
      <c r="S11" s="711">
        <f t="shared" si="0"/>
        <v>100</v>
      </c>
      <c r="T11" s="710" t="s">
        <v>17</v>
      </c>
      <c r="U11" s="711">
        <f t="shared" si="1"/>
        <v>100</v>
      </c>
      <c r="V11" s="710" t="s">
        <v>17</v>
      </c>
      <c r="W11" s="711">
        <f t="shared" si="2"/>
        <v>100</v>
      </c>
      <c r="X11" s="712"/>
      <c r="Y11" s="33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92"/>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92"/>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94" t="s">
        <v>2140</v>
      </c>
      <c r="Q14" s="1486" t="str">
        <f t="shared" si="6"/>
        <v>交通便捷度</v>
      </c>
      <c r="R14" s="714" t="s">
        <v>17</v>
      </c>
      <c r="S14" s="715">
        <f t="shared" si="0"/>
        <v>100</v>
      </c>
      <c r="T14" s="714" t="s">
        <v>17</v>
      </c>
      <c r="U14" s="715">
        <f t="shared" si="1"/>
        <v>100</v>
      </c>
      <c r="V14" s="714" t="s">
        <v>17</v>
      </c>
      <c r="W14" s="715">
        <f t="shared" si="2"/>
        <v>100</v>
      </c>
      <c r="X14" s="1489"/>
      <c r="Y14" s="3494"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900"/>
      <c r="M15" s="2894"/>
      <c r="N15" s="2894"/>
      <c r="O15" s="2894"/>
      <c r="P15" s="3495"/>
      <c r="Q15" s="1486"/>
      <c r="R15" s="714"/>
      <c r="S15" s="715"/>
      <c r="T15" s="714"/>
      <c r="U15" s="715"/>
      <c r="V15" s="714"/>
      <c r="W15" s="715"/>
      <c r="X15" s="1489"/>
      <c r="Y15" s="3495"/>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95"/>
      <c r="Q16" s="1486" t="str">
        <f>B16</f>
        <v>公共配套设施</v>
      </c>
      <c r="R16" s="714" t="s">
        <v>17</v>
      </c>
      <c r="S16" s="715">
        <f>F16</f>
        <v>100</v>
      </c>
      <c r="T16" s="714" t="s">
        <v>17</v>
      </c>
      <c r="U16" s="715">
        <f>H16</f>
        <v>100</v>
      </c>
      <c r="V16" s="714" t="s">
        <v>17</v>
      </c>
      <c r="W16" s="715">
        <f>J16</f>
        <v>100</v>
      </c>
      <c r="X16" s="1489"/>
      <c r="Y16" s="3495"/>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900"/>
      <c r="M17" s="2894"/>
      <c r="N17" s="2894"/>
      <c r="O17" s="2894"/>
      <c r="P17" s="3495"/>
      <c r="Q17" s="1486"/>
      <c r="R17" s="714"/>
      <c r="S17" s="715"/>
      <c r="T17" s="714"/>
      <c r="U17" s="715"/>
      <c r="V17" s="714"/>
      <c r="W17" s="715"/>
      <c r="X17" s="1489"/>
      <c r="Y17" s="3495"/>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95"/>
      <c r="Q18" s="1486" t="str">
        <f>B18</f>
        <v>基础设施水平</v>
      </c>
      <c r="R18" s="714" t="s">
        <v>17</v>
      </c>
      <c r="S18" s="715">
        <f>F18</f>
        <v>100</v>
      </c>
      <c r="T18" s="714" t="s">
        <v>17</v>
      </c>
      <c r="U18" s="715">
        <f>H18</f>
        <v>100</v>
      </c>
      <c r="V18" s="714" t="s">
        <v>17</v>
      </c>
      <c r="W18" s="715">
        <f>J18</f>
        <v>100</v>
      </c>
      <c r="X18" s="1489"/>
      <c r="Y18" s="3495"/>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900"/>
      <c r="M19" s="2894"/>
      <c r="N19" s="2894"/>
      <c r="O19" s="2894"/>
      <c r="P19" s="3495"/>
      <c r="Q19" s="1486"/>
      <c r="R19" s="714"/>
      <c r="S19" s="715"/>
      <c r="T19" s="714"/>
      <c r="U19" s="715"/>
      <c r="V19" s="714"/>
      <c r="W19" s="715"/>
      <c r="X19" s="1489"/>
      <c r="Y19" s="3495"/>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95"/>
      <c r="Q20" s="1486" t="str">
        <f>B20</f>
        <v>自然及人文环境</v>
      </c>
      <c r="R20" s="714" t="s">
        <v>17</v>
      </c>
      <c r="S20" s="715">
        <f>F20</f>
        <v>100</v>
      </c>
      <c r="T20" s="714" t="s">
        <v>17</v>
      </c>
      <c r="U20" s="715">
        <f>H20</f>
        <v>100</v>
      </c>
      <c r="V20" s="714" t="s">
        <v>17</v>
      </c>
      <c r="W20" s="715">
        <f>J20</f>
        <v>100</v>
      </c>
      <c r="X20" s="1489"/>
      <c r="Y20" s="3495"/>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900"/>
      <c r="M21" s="2894"/>
      <c r="N21" s="2894"/>
      <c r="O21" s="2894"/>
      <c r="P21" s="3495"/>
      <c r="Q21" s="1486"/>
      <c r="R21" s="714"/>
      <c r="S21" s="715"/>
      <c r="T21" s="714"/>
      <c r="U21" s="715"/>
      <c r="V21" s="714"/>
      <c r="W21" s="715"/>
      <c r="X21" s="1489"/>
      <c r="Y21" s="3495"/>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95"/>
      <c r="Q22" s="1486" t="str">
        <f>B22</f>
        <v>楼层</v>
      </c>
      <c r="R22" s="714" t="s">
        <v>17</v>
      </c>
      <c r="S22" s="715">
        <f>F22</f>
        <v>100</v>
      </c>
      <c r="T22" s="714" t="s">
        <v>17</v>
      </c>
      <c r="U22" s="715">
        <f>H22</f>
        <v>100</v>
      </c>
      <c r="V22" s="714" t="s">
        <v>17</v>
      </c>
      <c r="W22" s="715">
        <f>J22</f>
        <v>100</v>
      </c>
      <c r="X22" s="1489"/>
      <c r="Y22" s="3495"/>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95"/>
      <c r="Q23" s="1486">
        <f>B23</f>
        <v>111</v>
      </c>
      <c r="R23" s="714" t="s">
        <v>17</v>
      </c>
      <c r="S23" s="715">
        <f>F23</f>
        <v>100</v>
      </c>
      <c r="T23" s="714" t="s">
        <v>17</v>
      </c>
      <c r="U23" s="715">
        <f>H23</f>
        <v>100</v>
      </c>
      <c r="V23" s="714" t="s">
        <v>17</v>
      </c>
      <c r="W23" s="715">
        <f>J23</f>
        <v>100</v>
      </c>
      <c r="X23" s="1489"/>
      <c r="Y23" s="3495"/>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95"/>
      <c r="Q24" s="1486">
        <f t="shared" ref="Q24:Q36" si="11">B24</f>
        <v>111</v>
      </c>
      <c r="R24" s="714" t="s">
        <v>17</v>
      </c>
      <c r="S24" s="715">
        <f>F24</f>
        <v>100</v>
      </c>
      <c r="T24" s="714" t="s">
        <v>17</v>
      </c>
      <c r="U24" s="715">
        <f>H24</f>
        <v>100</v>
      </c>
      <c r="V24" s="714" t="s">
        <v>17</v>
      </c>
      <c r="W24" s="715">
        <f>J24</f>
        <v>100</v>
      </c>
      <c r="X24" s="1489"/>
      <c r="Y24" s="3495"/>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95"/>
      <c r="Q25" s="1477">
        <f t="shared" si="11"/>
        <v>111</v>
      </c>
      <c r="R25" s="710" t="s">
        <v>17</v>
      </c>
      <c r="S25" s="711">
        <f>F25</f>
        <v>100</v>
      </c>
      <c r="T25" s="710" t="s">
        <v>17</v>
      </c>
      <c r="U25" s="711">
        <f>H25</f>
        <v>100</v>
      </c>
      <c r="V25" s="710" t="s">
        <v>17</v>
      </c>
      <c r="W25" s="711">
        <f>J25</f>
        <v>100</v>
      </c>
      <c r="X25" s="712"/>
      <c r="Y25" s="3495"/>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50"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9"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9"/>
      <c r="Q28" s="1486" t="str">
        <f t="shared" si="11"/>
        <v>公共部分装修</v>
      </c>
      <c r="R28" s="714" t="s">
        <v>17</v>
      </c>
      <c r="S28" s="715">
        <f t="shared" si="12"/>
        <v>100</v>
      </c>
      <c r="T28" s="714" t="s">
        <v>17</v>
      </c>
      <c r="U28" s="715">
        <f t="shared" si="13"/>
        <v>100</v>
      </c>
      <c r="V28" s="714" t="s">
        <v>17</v>
      </c>
      <c r="W28" s="715">
        <f t="shared" si="14"/>
        <v>100</v>
      </c>
      <c r="X28" s="1489"/>
      <c r="Y28" s="3499"/>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9"/>
      <c r="Q29" s="1486" t="str">
        <f t="shared" si="11"/>
        <v>成新率</v>
      </c>
      <c r="R29" s="714" t="s">
        <v>17</v>
      </c>
      <c r="S29" s="715" t="e">
        <f t="shared" si="12"/>
        <v>#N/A</v>
      </c>
      <c r="T29" s="714" t="s">
        <v>17</v>
      </c>
      <c r="U29" s="715" t="e">
        <f t="shared" si="13"/>
        <v>#N/A</v>
      </c>
      <c r="V29" s="714" t="s">
        <v>17</v>
      </c>
      <c r="W29" s="715" t="e">
        <f t="shared" si="14"/>
        <v>#N/A</v>
      </c>
      <c r="X29" s="1489"/>
      <c r="Y29" s="3499"/>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9"/>
      <c r="Q30" s="1486" t="str">
        <f t="shared" si="11"/>
        <v>物业等级</v>
      </c>
      <c r="R30" s="714" t="s">
        <v>17</v>
      </c>
      <c r="S30" s="715">
        <f t="shared" si="12"/>
        <v>100</v>
      </c>
      <c r="T30" s="714" t="s">
        <v>17</v>
      </c>
      <c r="U30" s="715">
        <f t="shared" si="13"/>
        <v>100</v>
      </c>
      <c r="V30" s="714" t="s">
        <v>17</v>
      </c>
      <c r="W30" s="715">
        <f t="shared" si="14"/>
        <v>100</v>
      </c>
      <c r="X30" s="1489"/>
      <c r="Y30" s="3499"/>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9"/>
      <c r="Q31" s="1477"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9" t="s">
        <v>2145</v>
      </c>
      <c r="Q32" s="1486" t="str">
        <f t="shared" si="11"/>
        <v>车位类型</v>
      </c>
      <c r="R32" s="714" t="s">
        <v>17</v>
      </c>
      <c r="S32" s="715">
        <f t="shared" si="12"/>
        <v>100</v>
      </c>
      <c r="T32" s="714" t="s">
        <v>17</v>
      </c>
      <c r="U32" s="715">
        <f t="shared" si="13"/>
        <v>100</v>
      </c>
      <c r="V32" s="714" t="s">
        <v>17</v>
      </c>
      <c r="W32" s="715">
        <f t="shared" si="14"/>
        <v>100</v>
      </c>
      <c r="X32" s="1489"/>
      <c r="Y32" s="3499"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9"/>
      <c r="Q33" s="1486" t="str">
        <f t="shared" si="11"/>
        <v>是否直接入户</v>
      </c>
      <c r="R33" s="714" t="s">
        <v>17</v>
      </c>
      <c r="S33" s="715">
        <f t="shared" si="12"/>
        <v>100</v>
      </c>
      <c r="T33" s="714" t="s">
        <v>17</v>
      </c>
      <c r="U33" s="715">
        <f t="shared" si="13"/>
        <v>100</v>
      </c>
      <c r="V33" s="714" t="s">
        <v>17</v>
      </c>
      <c r="W33" s="715">
        <f t="shared" si="14"/>
        <v>100</v>
      </c>
      <c r="X33" s="1489"/>
      <c r="Y33" s="3499"/>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9"/>
      <c r="Q34" s="1486">
        <f t="shared" si="11"/>
        <v>111</v>
      </c>
      <c r="R34" s="714" t="s">
        <v>17</v>
      </c>
      <c r="S34" s="715">
        <f t="shared" si="12"/>
        <v>100</v>
      </c>
      <c r="T34" s="714" t="s">
        <v>17</v>
      </c>
      <c r="U34" s="715">
        <f t="shared" si="13"/>
        <v>100</v>
      </c>
      <c r="V34" s="714" t="s">
        <v>17</v>
      </c>
      <c r="W34" s="715">
        <f t="shared" si="14"/>
        <v>100</v>
      </c>
      <c r="X34" s="1489"/>
      <c r="Y34" s="3499"/>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9"/>
      <c r="Q36" s="1486">
        <f t="shared" si="11"/>
        <v>111</v>
      </c>
      <c r="R36" s="714" t="s">
        <v>17</v>
      </c>
      <c r="S36" s="715">
        <f t="shared" si="12"/>
        <v>100</v>
      </c>
      <c r="T36" s="714" t="s">
        <v>17</v>
      </c>
      <c r="U36" s="715">
        <f t="shared" si="13"/>
        <v>100</v>
      </c>
      <c r="V36" s="714" t="s">
        <v>17</v>
      </c>
      <c r="W36" s="715">
        <f t="shared" si="14"/>
        <v>100</v>
      </c>
      <c r="X36" s="1489"/>
      <c r="Y36" s="3499"/>
      <c r="Z36" s="1490">
        <f t="shared" si="15"/>
        <v>111</v>
      </c>
      <c r="AA36" s="1487">
        <f t="shared" si="3"/>
        <v>1</v>
      </c>
      <c r="AB36" s="1487">
        <f t="shared" si="4"/>
        <v>1</v>
      </c>
      <c r="AC36" s="1487">
        <f t="shared" si="5"/>
        <v>1</v>
      </c>
    </row>
    <row r="37" spans="1:29" ht="15">
      <c r="A37" s="438" t="s">
        <v>2300</v>
      </c>
      <c r="B37" s="2109" t="s">
        <v>2301</v>
      </c>
      <c r="C37" s="1268" t="s">
        <v>1</v>
      </c>
      <c r="D37" s="1269"/>
      <c r="E37" s="1270"/>
      <c r="F37" s="1271"/>
      <c r="G37" s="1272"/>
      <c r="H37" s="1273"/>
      <c r="I37" s="1270"/>
      <c r="J37" s="1273"/>
      <c r="K37" s="576"/>
      <c r="L37" s="2902"/>
      <c r="M37" s="2903"/>
      <c r="N37" s="2894"/>
      <c r="O37" s="2903"/>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2302</v>
      </c>
      <c r="B38" s="446"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2303</v>
      </c>
      <c r="B39" s="450"/>
      <c r="C39" s="1277" t="e">
        <f>R39</f>
        <v>#DIV/0!</v>
      </c>
      <c r="D39" s="1277"/>
      <c r="E39" s="1277"/>
      <c r="F39" s="1277"/>
      <c r="G39" s="1277"/>
      <c r="H39" s="1277"/>
      <c r="I39" s="1277"/>
      <c r="J39" s="1277"/>
      <c r="K39" s="577"/>
      <c r="L39" s="2902"/>
      <c r="M39" s="2903"/>
      <c r="N39" s="2903"/>
      <c r="O39" s="2903"/>
      <c r="P39" s="3489" t="str">
        <f>A39</f>
        <v>估价对象XX用房的比较价值（楼面单价，元/平方米）</v>
      </c>
      <c r="Q39" s="3490"/>
      <c r="R39" s="3551" t="e">
        <f>IF(F1="售价",ROUND(IF(D38="简单平均",AVERAGE(R38:W38),R38*F38+T38*H38+V38*J38),0),ROUND(IF(D38="简单平均",AVERAGE(R38:V38),R38*F38+T38*H38+V38*J38),1))</f>
        <v>#DIV/0!</v>
      </c>
      <c r="S39" s="3551"/>
      <c r="T39" s="3551"/>
      <c r="U39" s="3551"/>
      <c r="V39" s="3551"/>
      <c r="W39" s="3551"/>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9"/>
      <c r="C47" s="1052"/>
      <c r="D47" s="1052"/>
      <c r="E47" s="1052"/>
      <c r="F47" s="1281"/>
      <c r="G47" s="1281"/>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8" t="str">
        <f>YEAR(C7)&amp;"-"&amp;MONTH(C7)</f>
        <v>2022-9</v>
      </c>
      <c r="D48" s="1299">
        <f>EDATE(C48,-1)</f>
        <v>44774</v>
      </c>
      <c r="E48" s="1299">
        <f t="shared" ref="E48:O48" si="16">EDATE(D48,-1)</f>
        <v>44743</v>
      </c>
      <c r="F48" s="1299">
        <f t="shared" si="16"/>
        <v>44713</v>
      </c>
      <c r="G48" s="1299">
        <f t="shared" si="16"/>
        <v>44682</v>
      </c>
      <c r="H48" s="1299">
        <f t="shared" si="16"/>
        <v>44652</v>
      </c>
      <c r="I48" s="1299">
        <f t="shared" si="16"/>
        <v>44621</v>
      </c>
      <c r="J48" s="1299">
        <f t="shared" si="16"/>
        <v>44593</v>
      </c>
      <c r="K48" s="1299">
        <f t="shared" si="16"/>
        <v>44562</v>
      </c>
      <c r="L48" s="1299">
        <f t="shared" si="16"/>
        <v>44531</v>
      </c>
      <c r="M48" s="1299">
        <f t="shared" si="16"/>
        <v>44501</v>
      </c>
      <c r="N48" s="1299">
        <f t="shared" si="16"/>
        <v>44470</v>
      </c>
      <c r="O48" s="1299">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1">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3"/>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7" t="s">
        <v>2226</v>
      </c>
      <c r="D4" s="3508"/>
      <c r="E4" s="3509" t="s">
        <v>2227</v>
      </c>
      <c r="F4" s="3510"/>
      <c r="G4" s="3507" t="s">
        <v>2228</v>
      </c>
      <c r="H4" s="3508"/>
      <c r="I4" s="3507" t="s">
        <v>2229</v>
      </c>
      <c r="J4" s="3508"/>
      <c r="K4" s="567" t="s">
        <v>2230</v>
      </c>
      <c r="L4" s="2893"/>
      <c r="M4" s="2894"/>
      <c r="N4" s="2894"/>
      <c r="O4" s="2894"/>
      <c r="P4" s="3511" t="s">
        <v>2231</v>
      </c>
      <c r="Q4" s="3512"/>
      <c r="R4" s="3517" t="s">
        <v>2227</v>
      </c>
      <c r="S4" s="3518"/>
      <c r="T4" s="3517" t="s">
        <v>2228</v>
      </c>
      <c r="U4" s="3518"/>
      <c r="V4" s="3523" t="s">
        <v>2229</v>
      </c>
      <c r="W4" s="3523"/>
      <c r="X4" s="1489"/>
      <c r="Y4" s="3517" t="s">
        <v>2231</v>
      </c>
      <c r="Z4" s="3518"/>
      <c r="AA4" s="3504" t="s">
        <v>2227</v>
      </c>
      <c r="AB4" s="3505" t="s">
        <v>2228</v>
      </c>
      <c r="AC4" s="3504" t="s">
        <v>2229</v>
      </c>
    </row>
    <row r="5" spans="1:29" ht="15">
      <c r="A5" s="364"/>
      <c r="B5" s="365"/>
      <c r="C5" s="3526" t="s">
        <v>2122</v>
      </c>
      <c r="D5" s="3527"/>
      <c r="E5" s="3533" t="s">
        <v>2123</v>
      </c>
      <c r="F5" s="3534"/>
      <c r="G5" s="3526" t="s">
        <v>2124</v>
      </c>
      <c r="H5" s="3527"/>
      <c r="I5" s="3526" t="s">
        <v>2125</v>
      </c>
      <c r="J5" s="3527"/>
      <c r="K5" s="567"/>
      <c r="L5" s="2893"/>
      <c r="M5" s="2894"/>
      <c r="N5" s="2894"/>
      <c r="O5" s="2894"/>
      <c r="P5" s="3513"/>
      <c r="Q5" s="3514"/>
      <c r="R5" s="3519"/>
      <c r="S5" s="3520"/>
      <c r="T5" s="3519"/>
      <c r="U5" s="3520"/>
      <c r="V5" s="3523"/>
      <c r="W5" s="3523"/>
      <c r="X5" s="1489"/>
      <c r="Y5" s="3519"/>
      <c r="Z5" s="3520"/>
      <c r="AA5" s="3505"/>
      <c r="AB5" s="3505"/>
      <c r="AC5" s="3505"/>
    </row>
    <row r="6" spans="1:29" ht="15.75" thickBot="1">
      <c r="A6" s="366"/>
      <c r="B6" s="367"/>
      <c r="C6" s="3524" t="s">
        <v>2126</v>
      </c>
      <c r="D6" s="3525"/>
      <c r="E6" s="3531" t="s">
        <v>2126</v>
      </c>
      <c r="F6" s="3532"/>
      <c r="G6" s="3524" t="s">
        <v>2126</v>
      </c>
      <c r="H6" s="3525"/>
      <c r="I6" s="3524" t="s">
        <v>2126</v>
      </c>
      <c r="J6" s="3525"/>
      <c r="K6" s="567" t="s">
        <v>2127</v>
      </c>
      <c r="L6" s="2893"/>
      <c r="M6" s="2894"/>
      <c r="N6" s="2894"/>
      <c r="O6" s="2894"/>
      <c r="P6" s="3515"/>
      <c r="Q6" s="3516"/>
      <c r="R6" s="3519"/>
      <c r="S6" s="3520"/>
      <c r="T6" s="3521"/>
      <c r="U6" s="3522"/>
      <c r="V6" s="3523"/>
      <c r="W6" s="3523"/>
      <c r="X6" s="1489"/>
      <c r="Y6" s="3521"/>
      <c r="Z6" s="3522"/>
      <c r="AA6" s="3506"/>
      <c r="AB6" s="3506"/>
      <c r="AC6" s="3506"/>
    </row>
    <row r="7" spans="1:29" s="113" customFormat="1" ht="15.75" thickBot="1">
      <c r="A7" s="368" t="s">
        <v>2128</v>
      </c>
      <c r="B7" s="369"/>
      <c r="C7" s="370">
        <f>'数据-取费表'!B2</f>
        <v>44818</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528" t="s">
        <v>2129</v>
      </c>
      <c r="Q7" s="3530"/>
      <c r="R7" s="710" t="s">
        <v>17</v>
      </c>
      <c r="S7" s="711">
        <f t="shared" ref="S7:S14" si="0">F7</f>
        <v>0</v>
      </c>
      <c r="T7" s="710" t="s">
        <v>17</v>
      </c>
      <c r="U7" s="711">
        <f t="shared" ref="U7:U14" si="1">H7</f>
        <v>0</v>
      </c>
      <c r="V7" s="710" t="s">
        <v>17</v>
      </c>
      <c r="W7" s="711">
        <f t="shared" ref="W7:W14" si="2">J7</f>
        <v>0</v>
      </c>
      <c r="X7" s="712"/>
      <c r="Y7" s="3528" t="s">
        <v>2129</v>
      </c>
      <c r="Z7" s="352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528" t="s">
        <v>2132</v>
      </c>
      <c r="Q8" s="3529"/>
      <c r="R8" s="710" t="s">
        <v>17</v>
      </c>
      <c r="S8" s="711">
        <f t="shared" si="0"/>
        <v>0</v>
      </c>
      <c r="T8" s="710" t="s">
        <v>17</v>
      </c>
      <c r="U8" s="711">
        <f t="shared" si="1"/>
        <v>0</v>
      </c>
      <c r="V8" s="710" t="s">
        <v>17</v>
      </c>
      <c r="W8" s="711">
        <f t="shared" si="2"/>
        <v>0</v>
      </c>
      <c r="X8" s="712"/>
      <c r="Y8" s="3528" t="s">
        <v>2132</v>
      </c>
      <c r="Z8" s="352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92" t="s">
        <v>2135</v>
      </c>
      <c r="Q9" s="1477" t="str">
        <f t="shared" ref="Q9:Q14" si="6">B9</f>
        <v>用途</v>
      </c>
      <c r="R9" s="710" t="s">
        <v>17</v>
      </c>
      <c r="S9" s="711">
        <f t="shared" si="0"/>
        <v>100</v>
      </c>
      <c r="T9" s="710" t="s">
        <v>17</v>
      </c>
      <c r="U9" s="711">
        <f t="shared" si="1"/>
        <v>100</v>
      </c>
      <c r="V9" s="710" t="s">
        <v>17</v>
      </c>
      <c r="W9" s="711">
        <f t="shared" si="2"/>
        <v>100</v>
      </c>
      <c r="X9" s="712"/>
      <c r="Y9" s="336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92"/>
      <c r="Q10" s="1477" t="str">
        <f t="shared" si="6"/>
        <v>土地使用年限（年）</v>
      </c>
      <c r="R10" s="710" t="s">
        <v>17</v>
      </c>
      <c r="S10" s="711">
        <f t="shared" si="0"/>
        <v>100</v>
      </c>
      <c r="T10" s="710" t="s">
        <v>17</v>
      </c>
      <c r="U10" s="711">
        <f t="shared" si="1"/>
        <v>100</v>
      </c>
      <c r="V10" s="710" t="s">
        <v>17</v>
      </c>
      <c r="W10" s="711">
        <f t="shared" si="2"/>
        <v>100</v>
      </c>
      <c r="X10" s="712"/>
      <c r="Y10" s="3364"/>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92"/>
      <c r="Q11" s="1477">
        <f t="shared" si="6"/>
        <v>111</v>
      </c>
      <c r="R11" s="710" t="s">
        <v>17</v>
      </c>
      <c r="S11" s="711">
        <f t="shared" si="0"/>
        <v>100</v>
      </c>
      <c r="T11" s="710" t="s">
        <v>17</v>
      </c>
      <c r="U11" s="711">
        <f t="shared" si="1"/>
        <v>100</v>
      </c>
      <c r="V11" s="710" t="s">
        <v>17</v>
      </c>
      <c r="W11" s="711">
        <f t="shared" si="2"/>
        <v>100</v>
      </c>
      <c r="X11" s="712"/>
      <c r="Y11" s="3364"/>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92"/>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92"/>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94" t="s">
        <v>2140</v>
      </c>
      <c r="Q14" s="1486" t="str">
        <f t="shared" si="6"/>
        <v>交通便捷度</v>
      </c>
      <c r="R14" s="714" t="s">
        <v>17</v>
      </c>
      <c r="S14" s="715">
        <f t="shared" si="0"/>
        <v>100</v>
      </c>
      <c r="T14" s="714" t="s">
        <v>17</v>
      </c>
      <c r="U14" s="715">
        <f t="shared" si="1"/>
        <v>100</v>
      </c>
      <c r="V14" s="714" t="s">
        <v>17</v>
      </c>
      <c r="W14" s="715">
        <f t="shared" si="2"/>
        <v>100</v>
      </c>
      <c r="X14" s="1489"/>
      <c r="Y14" s="3494"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900"/>
      <c r="M15" s="2894"/>
      <c r="N15" s="2894"/>
      <c r="O15" s="2952"/>
      <c r="P15" s="3495"/>
      <c r="Q15" s="1486"/>
      <c r="R15" s="714"/>
      <c r="S15" s="715"/>
      <c r="T15" s="714"/>
      <c r="U15" s="715"/>
      <c r="V15" s="714"/>
      <c r="W15" s="715"/>
      <c r="X15" s="1489"/>
      <c r="Y15" s="3495"/>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95"/>
      <c r="Q16" s="1486" t="str">
        <f>B16</f>
        <v>公共配套设施</v>
      </c>
      <c r="R16" s="714" t="s">
        <v>17</v>
      </c>
      <c r="S16" s="715">
        <f>F16</f>
        <v>100</v>
      </c>
      <c r="T16" s="714" t="s">
        <v>17</v>
      </c>
      <c r="U16" s="715">
        <f>H16</f>
        <v>100</v>
      </c>
      <c r="V16" s="714" t="s">
        <v>17</v>
      </c>
      <c r="W16" s="715">
        <f>J16</f>
        <v>100</v>
      </c>
      <c r="X16" s="1489"/>
      <c r="Y16" s="3495"/>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900"/>
      <c r="M17" s="2894"/>
      <c r="N17" s="2894"/>
      <c r="O17" s="2952"/>
      <c r="P17" s="3495"/>
      <c r="Q17" s="1486"/>
      <c r="R17" s="714"/>
      <c r="S17" s="715"/>
      <c r="T17" s="714"/>
      <c r="U17" s="715"/>
      <c r="V17" s="714"/>
      <c r="W17" s="715"/>
      <c r="X17" s="1489"/>
      <c r="Y17" s="3495"/>
      <c r="Z17" s="1490"/>
      <c r="AA17" s="1487">
        <v>1</v>
      </c>
      <c r="AB17" s="1487">
        <v>1</v>
      </c>
      <c r="AC17" s="1487">
        <v>1</v>
      </c>
    </row>
    <row r="18" spans="1:29" ht="28.5">
      <c r="A18" s="387"/>
      <c r="B18" s="1245"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95"/>
      <c r="Q18" s="1486" t="str">
        <f>B18</f>
        <v>基础设施水平</v>
      </c>
      <c r="R18" s="714" t="s">
        <v>17</v>
      </c>
      <c r="S18" s="715">
        <f>F18</f>
        <v>100</v>
      </c>
      <c r="T18" s="714" t="s">
        <v>17</v>
      </c>
      <c r="U18" s="715">
        <f>H18</f>
        <v>100</v>
      </c>
      <c r="V18" s="714" t="s">
        <v>17</v>
      </c>
      <c r="W18" s="715">
        <f>J18</f>
        <v>100</v>
      </c>
      <c r="X18" s="1489"/>
      <c r="Y18" s="3495"/>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900"/>
      <c r="M19" s="2894"/>
      <c r="N19" s="2894"/>
      <c r="O19" s="2952"/>
      <c r="P19" s="3495"/>
      <c r="Q19" s="1486"/>
      <c r="R19" s="714"/>
      <c r="S19" s="715"/>
      <c r="T19" s="714"/>
      <c r="U19" s="715"/>
      <c r="V19" s="714"/>
      <c r="W19" s="715"/>
      <c r="X19" s="1489"/>
      <c r="Y19" s="3495"/>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95"/>
      <c r="Q20" s="1486" t="str">
        <f>B20</f>
        <v>自然及人文环境</v>
      </c>
      <c r="R20" s="714" t="s">
        <v>17</v>
      </c>
      <c r="S20" s="715">
        <f>F20</f>
        <v>100</v>
      </c>
      <c r="T20" s="714" t="s">
        <v>17</v>
      </c>
      <c r="U20" s="715">
        <f>H20</f>
        <v>100</v>
      </c>
      <c r="V20" s="714" t="s">
        <v>17</v>
      </c>
      <c r="W20" s="715">
        <f>J20</f>
        <v>100</v>
      </c>
      <c r="X20" s="1489"/>
      <c r="Y20" s="3495"/>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900"/>
      <c r="M21" s="2894"/>
      <c r="N21" s="2894"/>
      <c r="O21" s="2952"/>
      <c r="P21" s="3495"/>
      <c r="Q21" s="1486"/>
      <c r="R21" s="714"/>
      <c r="S21" s="715"/>
      <c r="T21" s="714"/>
      <c r="U21" s="715"/>
      <c r="V21" s="714"/>
      <c r="W21" s="715"/>
      <c r="X21" s="1489"/>
      <c r="Y21" s="3495"/>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95"/>
      <c r="Q22" s="1486" t="str">
        <f>B22</f>
        <v>楼层</v>
      </c>
      <c r="R22" s="714" t="s">
        <v>17</v>
      </c>
      <c r="S22" s="715">
        <f>F22</f>
        <v>100</v>
      </c>
      <c r="T22" s="714" t="s">
        <v>17</v>
      </c>
      <c r="U22" s="715">
        <f>H22</f>
        <v>100</v>
      </c>
      <c r="V22" s="714" t="s">
        <v>17</v>
      </c>
      <c r="W22" s="715">
        <f>J22</f>
        <v>100</v>
      </c>
      <c r="X22" s="1489"/>
      <c r="Y22" s="3495"/>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95"/>
      <c r="Q23" s="1486">
        <f>B23</f>
        <v>111</v>
      </c>
      <c r="R23" s="714" t="s">
        <v>17</v>
      </c>
      <c r="S23" s="715">
        <f>F23</f>
        <v>100</v>
      </c>
      <c r="T23" s="714" t="s">
        <v>17</v>
      </c>
      <c r="U23" s="715">
        <f>H23</f>
        <v>100</v>
      </c>
      <c r="V23" s="714" t="s">
        <v>17</v>
      </c>
      <c r="W23" s="715">
        <f>J23</f>
        <v>100</v>
      </c>
      <c r="X23" s="1489"/>
      <c r="Y23" s="3495"/>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95"/>
      <c r="Q24" s="1486">
        <f t="shared" ref="Q24:Q34" si="11">B24</f>
        <v>111</v>
      </c>
      <c r="R24" s="714" t="s">
        <v>17</v>
      </c>
      <c r="S24" s="715">
        <f>F24</f>
        <v>100</v>
      </c>
      <c r="T24" s="714" t="s">
        <v>17</v>
      </c>
      <c r="U24" s="715">
        <f>H24</f>
        <v>100</v>
      </c>
      <c r="V24" s="714" t="s">
        <v>17</v>
      </c>
      <c r="W24" s="715">
        <f>J24</f>
        <v>100</v>
      </c>
      <c r="X24" s="1489"/>
      <c r="Y24" s="3495"/>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95"/>
      <c r="Q25" s="1477">
        <f t="shared" si="11"/>
        <v>111</v>
      </c>
      <c r="R25" s="710" t="s">
        <v>17</v>
      </c>
      <c r="S25" s="711">
        <f>F25</f>
        <v>100</v>
      </c>
      <c r="T25" s="710" t="s">
        <v>17</v>
      </c>
      <c r="U25" s="711">
        <f>H25</f>
        <v>100</v>
      </c>
      <c r="V25" s="710" t="s">
        <v>17</v>
      </c>
      <c r="W25" s="711">
        <f>J25</f>
        <v>100</v>
      </c>
      <c r="X25" s="712"/>
      <c r="Y25" s="3495"/>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50"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9"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9"/>
      <c r="Q28" s="1486" t="str">
        <f t="shared" si="11"/>
        <v>物业等级</v>
      </c>
      <c r="R28" s="714" t="s">
        <v>17</v>
      </c>
      <c r="S28" s="715">
        <f t="shared" si="12"/>
        <v>100</v>
      </c>
      <c r="T28" s="714" t="s">
        <v>17</v>
      </c>
      <c r="U28" s="715">
        <f t="shared" si="13"/>
        <v>100</v>
      </c>
      <c r="V28" s="714" t="s">
        <v>17</v>
      </c>
      <c r="W28" s="715">
        <f t="shared" si="14"/>
        <v>100</v>
      </c>
      <c r="X28" s="1489"/>
      <c r="Y28" s="3499"/>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9"/>
      <c r="Q29" s="1486" t="str">
        <f t="shared" si="11"/>
        <v>有无电梯</v>
      </c>
      <c r="R29" s="714" t="s">
        <v>17</v>
      </c>
      <c r="S29" s="715">
        <f t="shared" si="12"/>
        <v>100</v>
      </c>
      <c r="T29" s="714" t="s">
        <v>17</v>
      </c>
      <c r="U29" s="715">
        <f t="shared" si="13"/>
        <v>100</v>
      </c>
      <c r="V29" s="714" t="s">
        <v>17</v>
      </c>
      <c r="W29" s="715">
        <f t="shared" si="14"/>
        <v>100</v>
      </c>
      <c r="X29" s="1489"/>
      <c r="Y29" s="3499"/>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9"/>
      <c r="Q30" s="1486" t="str">
        <f t="shared" si="11"/>
        <v>建筑面积</v>
      </c>
      <c r="R30" s="714" t="s">
        <v>17</v>
      </c>
      <c r="S30" s="715" t="e">
        <f t="shared" si="12"/>
        <v>#N/A</v>
      </c>
      <c r="T30" s="714" t="s">
        <v>17</v>
      </c>
      <c r="U30" s="715" t="e">
        <f t="shared" si="13"/>
        <v>#N/A</v>
      </c>
      <c r="V30" s="714" t="s">
        <v>17</v>
      </c>
      <c r="W30" s="715" t="e">
        <f t="shared" si="14"/>
        <v>#N/A</v>
      </c>
      <c r="X30" s="1489"/>
      <c r="Y30" s="3499"/>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9"/>
      <c r="Q31" s="1477"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9" t="s">
        <v>2145</v>
      </c>
      <c r="Q32" s="1486">
        <f t="shared" si="11"/>
        <v>111</v>
      </c>
      <c r="R32" s="714" t="s">
        <v>17</v>
      </c>
      <c r="S32" s="715">
        <f t="shared" si="12"/>
        <v>100</v>
      </c>
      <c r="T32" s="714" t="s">
        <v>17</v>
      </c>
      <c r="U32" s="715">
        <f t="shared" si="13"/>
        <v>100</v>
      </c>
      <c r="V32" s="714" t="s">
        <v>17</v>
      </c>
      <c r="W32" s="715">
        <f t="shared" si="14"/>
        <v>100</v>
      </c>
      <c r="X32" s="1489"/>
      <c r="Y32" s="3499"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9"/>
      <c r="Q33" s="1486">
        <f t="shared" si="11"/>
        <v>111</v>
      </c>
      <c r="R33" s="714" t="s">
        <v>17</v>
      </c>
      <c r="S33" s="715">
        <f t="shared" si="12"/>
        <v>100</v>
      </c>
      <c r="T33" s="714" t="s">
        <v>17</v>
      </c>
      <c r="U33" s="715">
        <f t="shared" si="13"/>
        <v>100</v>
      </c>
      <c r="V33" s="714" t="s">
        <v>17</v>
      </c>
      <c r="W33" s="715">
        <f t="shared" si="14"/>
        <v>100</v>
      </c>
      <c r="X33" s="1489"/>
      <c r="Y33" s="3499"/>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99"/>
      <c r="Q34" s="1486">
        <f t="shared" si="11"/>
        <v>111</v>
      </c>
      <c r="R34" s="714" t="s">
        <v>17</v>
      </c>
      <c r="S34" s="715">
        <f t="shared" si="12"/>
        <v>100</v>
      </c>
      <c r="T34" s="714" t="s">
        <v>17</v>
      </c>
      <c r="U34" s="715">
        <f t="shared" si="13"/>
        <v>100</v>
      </c>
      <c r="V34" s="714" t="s">
        <v>17</v>
      </c>
      <c r="W34" s="715">
        <f t="shared" si="14"/>
        <v>100</v>
      </c>
      <c r="X34" s="1489"/>
      <c r="Y34" s="3499"/>
      <c r="Z34" s="1490">
        <f t="shared" si="15"/>
        <v>111</v>
      </c>
      <c r="AA34" s="1487">
        <f t="shared" si="3"/>
        <v>1</v>
      </c>
      <c r="AB34" s="1487">
        <f t="shared" si="4"/>
        <v>1</v>
      </c>
      <c r="AC34" s="1487">
        <f t="shared" si="5"/>
        <v>1</v>
      </c>
    </row>
    <row r="35" spans="1:30" ht="15">
      <c r="A35" s="438" t="s">
        <v>2157</v>
      </c>
      <c r="B35" s="439"/>
      <c r="C35" s="1268" t="s">
        <v>1</v>
      </c>
      <c r="D35" s="1269"/>
      <c r="E35" s="1270"/>
      <c r="F35" s="1271"/>
      <c r="G35" s="1272"/>
      <c r="H35" s="1273"/>
      <c r="I35" s="1270"/>
      <c r="J35" s="1273"/>
      <c r="K35" s="723"/>
      <c r="L35" s="2902"/>
      <c r="M35" s="2903"/>
      <c r="N35" s="2894"/>
      <c r="O35" s="2903"/>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2249</v>
      </c>
      <c r="B36" s="446"/>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2250</v>
      </c>
      <c r="B37" s="450"/>
      <c r="C37" s="1277" t="e">
        <f>R37</f>
        <v>#DIV/0!</v>
      </c>
      <c r="D37" s="1277"/>
      <c r="E37" s="1277"/>
      <c r="F37" s="1277"/>
      <c r="G37" s="1277"/>
      <c r="H37" s="1277"/>
      <c r="I37" s="1277"/>
      <c r="J37" s="1277"/>
      <c r="K37" s="724"/>
      <c r="L37" s="2902"/>
      <c r="M37" s="2903"/>
      <c r="N37" s="2903"/>
      <c r="O37" s="2903"/>
      <c r="P37" s="3489" t="str">
        <f>A37</f>
        <v>估价对象XX用房的比较价值（楼面单价，元/平方米）</v>
      </c>
      <c r="Q37" s="3490"/>
      <c r="R37" s="3551" t="e">
        <f>IF(F1="售价",ROUND(IF(D36="简单平均",AVERAGE(R36:W36),R36*F36+T36*H36+V36*J36),0),ROUND(IF(D36="简单平均",AVERAGE(R36:V36),R36*F36+T36*H36+V36*J36),1))</f>
        <v>#DIV/0!</v>
      </c>
      <c r="S37" s="3551"/>
      <c r="T37" s="3551"/>
      <c r="U37" s="3551"/>
      <c r="V37" s="3551"/>
      <c r="W37" s="3551"/>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8" t="str">
        <f>YEAR(C7)&amp;"-"&amp;MONTH(C7)</f>
        <v>2022-9</v>
      </c>
      <c r="D46" s="1299">
        <f>EDATE(C46,-1)</f>
        <v>44774</v>
      </c>
      <c r="E46" s="1299">
        <f t="shared" ref="E46:O46" si="16">EDATE(D46,-1)</f>
        <v>44743</v>
      </c>
      <c r="F46" s="1299">
        <f t="shared" si="16"/>
        <v>44713</v>
      </c>
      <c r="G46" s="1299">
        <f t="shared" si="16"/>
        <v>44682</v>
      </c>
      <c r="H46" s="1299">
        <f t="shared" si="16"/>
        <v>44652</v>
      </c>
      <c r="I46" s="1299">
        <f t="shared" si="16"/>
        <v>44621</v>
      </c>
      <c r="J46" s="1299">
        <f t="shared" si="16"/>
        <v>44593</v>
      </c>
      <c r="K46" s="1299">
        <f t="shared" si="16"/>
        <v>44562</v>
      </c>
      <c r="L46" s="1299">
        <f t="shared" si="16"/>
        <v>44531</v>
      </c>
      <c r="M46" s="1299">
        <f t="shared" si="16"/>
        <v>44501</v>
      </c>
      <c r="N46" s="1299">
        <f t="shared" si="16"/>
        <v>44470</v>
      </c>
      <c r="O46" s="1299">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7">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507" t="s">
        <v>2226</v>
      </c>
      <c r="D4" s="3508"/>
      <c r="E4" s="3509" t="s">
        <v>2227</v>
      </c>
      <c r="F4" s="3510"/>
      <c r="G4" s="3507" t="s">
        <v>2228</v>
      </c>
      <c r="H4" s="3508"/>
      <c r="I4" s="3507" t="s">
        <v>2229</v>
      </c>
      <c r="J4" s="3508"/>
      <c r="K4" s="567" t="s">
        <v>2230</v>
      </c>
      <c r="L4" s="2893"/>
      <c r="M4" s="2894"/>
      <c r="N4" s="2894"/>
      <c r="O4" s="2894"/>
      <c r="P4" s="3511" t="s">
        <v>2231</v>
      </c>
      <c r="Q4" s="3512"/>
      <c r="R4" s="3517" t="s">
        <v>2227</v>
      </c>
      <c r="S4" s="3518"/>
      <c r="T4" s="3517" t="s">
        <v>2228</v>
      </c>
      <c r="U4" s="3518"/>
      <c r="V4" s="3523" t="s">
        <v>2229</v>
      </c>
      <c r="W4" s="3523"/>
      <c r="X4" s="1489"/>
      <c r="Y4" s="3517" t="s">
        <v>2231</v>
      </c>
      <c r="Z4" s="3518"/>
      <c r="AA4" s="3504" t="s">
        <v>2227</v>
      </c>
      <c r="AB4" s="3505" t="s">
        <v>2228</v>
      </c>
      <c r="AC4" s="3504" t="s">
        <v>2229</v>
      </c>
    </row>
    <row r="5" spans="1:30" ht="15">
      <c r="A5" s="364"/>
      <c r="B5" s="365"/>
      <c r="C5" s="3526" t="s">
        <v>2122</v>
      </c>
      <c r="D5" s="3527"/>
      <c r="E5" s="3533" t="s">
        <v>2123</v>
      </c>
      <c r="F5" s="3534"/>
      <c r="G5" s="3526" t="s">
        <v>2124</v>
      </c>
      <c r="H5" s="3527"/>
      <c r="I5" s="3526" t="s">
        <v>2125</v>
      </c>
      <c r="J5" s="3527"/>
      <c r="K5" s="567"/>
      <c r="L5" s="2893"/>
      <c r="M5" s="2894"/>
      <c r="N5" s="2894"/>
      <c r="O5" s="2894"/>
      <c r="P5" s="3513"/>
      <c r="Q5" s="3514"/>
      <c r="R5" s="3519"/>
      <c r="S5" s="3520"/>
      <c r="T5" s="3519"/>
      <c r="U5" s="3520"/>
      <c r="V5" s="3523"/>
      <c r="W5" s="3523"/>
      <c r="X5" s="1489"/>
      <c r="Y5" s="3519"/>
      <c r="Z5" s="3520"/>
      <c r="AA5" s="3505"/>
      <c r="AB5" s="3505"/>
      <c r="AC5" s="3505"/>
    </row>
    <row r="6" spans="1:30" ht="15.75" thickBot="1">
      <c r="A6" s="366"/>
      <c r="B6" s="367"/>
      <c r="C6" s="3524" t="s">
        <v>2126</v>
      </c>
      <c r="D6" s="3525"/>
      <c r="E6" s="3531" t="s">
        <v>2126</v>
      </c>
      <c r="F6" s="3532"/>
      <c r="G6" s="3524" t="s">
        <v>2126</v>
      </c>
      <c r="H6" s="3525"/>
      <c r="I6" s="3524" t="s">
        <v>2126</v>
      </c>
      <c r="J6" s="3525"/>
      <c r="K6" s="567" t="s">
        <v>2127</v>
      </c>
      <c r="L6" s="2893"/>
      <c r="M6" s="2894"/>
      <c r="N6" s="2894"/>
      <c r="O6" s="2894"/>
      <c r="P6" s="3515"/>
      <c r="Q6" s="3516"/>
      <c r="R6" s="3519"/>
      <c r="S6" s="3520"/>
      <c r="T6" s="3521"/>
      <c r="U6" s="3522"/>
      <c r="V6" s="3523"/>
      <c r="W6" s="3523"/>
      <c r="X6" s="1489"/>
      <c r="Y6" s="3521"/>
      <c r="Z6" s="3522"/>
      <c r="AA6" s="3506"/>
      <c r="AB6" s="3506"/>
      <c r="AC6" s="3506"/>
    </row>
    <row r="7" spans="1:30" s="113" customFormat="1" ht="15.75" thickBot="1">
      <c r="A7" s="368" t="s">
        <v>2128</v>
      </c>
      <c r="B7" s="369"/>
      <c r="C7" s="370">
        <f>'数据-取费表'!B2</f>
        <v>44818</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528" t="s">
        <v>2129</v>
      </c>
      <c r="Q7" s="3530"/>
      <c r="R7" s="710" t="s">
        <v>17</v>
      </c>
      <c r="S7" s="711">
        <f t="shared" ref="S7:S15" si="0">F7</f>
        <v>0</v>
      </c>
      <c r="T7" s="710" t="s">
        <v>17</v>
      </c>
      <c r="U7" s="711">
        <f t="shared" ref="U7:U15" si="1">H7</f>
        <v>0</v>
      </c>
      <c r="V7" s="710" t="s">
        <v>17</v>
      </c>
      <c r="W7" s="711">
        <f t="shared" ref="W7:W15" si="2">J7</f>
        <v>0</v>
      </c>
      <c r="X7" s="712"/>
      <c r="Y7" s="3528" t="s">
        <v>2129</v>
      </c>
      <c r="Z7" s="352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528" t="s">
        <v>2132</v>
      </c>
      <c r="Q8" s="3529"/>
      <c r="R8" s="710" t="s">
        <v>17</v>
      </c>
      <c r="S8" s="711">
        <f t="shared" si="0"/>
        <v>0</v>
      </c>
      <c r="T8" s="710" t="s">
        <v>17</v>
      </c>
      <c r="U8" s="711">
        <f t="shared" si="1"/>
        <v>0</v>
      </c>
      <c r="V8" s="710" t="s">
        <v>17</v>
      </c>
      <c r="W8" s="711">
        <f t="shared" si="2"/>
        <v>0</v>
      </c>
      <c r="X8" s="712"/>
      <c r="Y8" s="3528" t="s">
        <v>2132</v>
      </c>
      <c r="Z8" s="3529"/>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92"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149</v>
      </c>
      <c r="G10" s="422"/>
      <c r="H10" s="132">
        <f>ROUND(100/'数据-取费表'!G16,0)</f>
        <v>149</v>
      </c>
      <c r="I10" s="422"/>
      <c r="J10" s="132">
        <f>ROUND(100/'数据-取费表'!G16,0)</f>
        <v>149</v>
      </c>
      <c r="K10" s="628"/>
      <c r="L10" s="2897"/>
      <c r="M10" s="2898"/>
      <c r="N10" s="2898"/>
      <c r="O10" s="2951"/>
      <c r="P10" s="3492"/>
      <c r="Q10" s="1477" t="str">
        <f t="shared" si="6"/>
        <v>土地使用年限（年）</v>
      </c>
      <c r="R10" s="710" t="s">
        <v>17</v>
      </c>
      <c r="S10" s="711">
        <f t="shared" si="0"/>
        <v>149</v>
      </c>
      <c r="T10" s="710" t="s">
        <v>17</v>
      </c>
      <c r="U10" s="711">
        <f t="shared" si="1"/>
        <v>149</v>
      </c>
      <c r="V10" s="710" t="s">
        <v>17</v>
      </c>
      <c r="W10" s="711">
        <f t="shared" si="2"/>
        <v>149</v>
      </c>
      <c r="X10" s="712"/>
      <c r="Y10" s="3364"/>
      <c r="Z10" s="55" t="str">
        <f t="shared" si="7"/>
        <v>土地使用年限（年）</v>
      </c>
      <c r="AA10" s="713">
        <f t="shared" si="3"/>
        <v>0.67114093959731547</v>
      </c>
      <c r="AB10" s="713">
        <f t="shared" si="4"/>
        <v>0.67114093959731547</v>
      </c>
      <c r="AC10" s="713">
        <f t="shared" si="5"/>
        <v>0.67114093959731547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92"/>
      <c r="Q11" s="1477" t="str">
        <f t="shared" si="6"/>
        <v>容积率</v>
      </c>
      <c r="R11" s="710" t="s">
        <v>17</v>
      </c>
      <c r="S11" s="711" t="e">
        <f t="shared" si="0"/>
        <v>#N/A</v>
      </c>
      <c r="T11" s="710" t="s">
        <v>17</v>
      </c>
      <c r="U11" s="711" t="e">
        <f t="shared" si="1"/>
        <v>#N/A</v>
      </c>
      <c r="V11" s="710" t="s">
        <v>17</v>
      </c>
      <c r="W11" s="711" t="e">
        <f t="shared" si="2"/>
        <v>#N/A</v>
      </c>
      <c r="X11" s="712"/>
      <c r="Y11" s="3364"/>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92"/>
      <c r="Q12" s="1477" t="str">
        <f t="shared" si="6"/>
        <v>配建</v>
      </c>
      <c r="R12" s="710" t="s">
        <v>17</v>
      </c>
      <c r="S12" s="711">
        <f t="shared" si="0"/>
        <v>100</v>
      </c>
      <c r="T12" s="710" t="s">
        <v>17</v>
      </c>
      <c r="U12" s="711">
        <f t="shared" si="1"/>
        <v>100</v>
      </c>
      <c r="V12" s="710" t="s">
        <v>17</v>
      </c>
      <c r="W12" s="711">
        <f t="shared" si="2"/>
        <v>100</v>
      </c>
      <c r="X12" s="712"/>
      <c r="Y12" s="3364"/>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92"/>
      <c r="Q13" s="1477">
        <f t="shared" si="6"/>
        <v>111</v>
      </c>
      <c r="R13" s="710" t="s">
        <v>17</v>
      </c>
      <c r="S13" s="711">
        <f t="shared" si="0"/>
        <v>100</v>
      </c>
      <c r="T13" s="710" t="s">
        <v>17</v>
      </c>
      <c r="U13" s="711">
        <f t="shared" si="1"/>
        <v>100</v>
      </c>
      <c r="V13" s="710" t="s">
        <v>17</v>
      </c>
      <c r="W13" s="711">
        <f t="shared" si="2"/>
        <v>100</v>
      </c>
      <c r="X13" s="712"/>
      <c r="Y13" s="3364"/>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92"/>
      <c r="Q14" s="1477">
        <f t="shared" si="6"/>
        <v>111</v>
      </c>
      <c r="R14" s="710" t="s">
        <v>17</v>
      </c>
      <c r="S14" s="711">
        <f t="shared" si="0"/>
        <v>100</v>
      </c>
      <c r="T14" s="710" t="s">
        <v>17</v>
      </c>
      <c r="U14" s="711">
        <f t="shared" si="1"/>
        <v>100</v>
      </c>
      <c r="V14" s="710" t="s">
        <v>17</v>
      </c>
      <c r="W14" s="711">
        <f t="shared" si="2"/>
        <v>100</v>
      </c>
      <c r="X14" s="712"/>
      <c r="Y14" s="3364"/>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94" t="s">
        <v>2140</v>
      </c>
      <c r="Q15" s="1486" t="str">
        <f t="shared" si="6"/>
        <v>居住社区成熟度</v>
      </c>
      <c r="R15" s="714" t="s">
        <v>17</v>
      </c>
      <c r="S15" s="715">
        <f t="shared" si="0"/>
        <v>100</v>
      </c>
      <c r="T15" s="714" t="s">
        <v>17</v>
      </c>
      <c r="U15" s="715">
        <f t="shared" si="1"/>
        <v>100</v>
      </c>
      <c r="V15" s="714" t="s">
        <v>17</v>
      </c>
      <c r="W15" s="715">
        <f t="shared" si="2"/>
        <v>100</v>
      </c>
      <c r="X15" s="1489"/>
      <c r="Y15" s="3494"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900"/>
      <c r="M16" s="2894"/>
      <c r="N16" s="2894"/>
      <c r="O16" s="2952"/>
      <c r="P16" s="3495"/>
      <c r="Q16" s="1486"/>
      <c r="R16" s="714"/>
      <c r="S16" s="715"/>
      <c r="T16" s="714"/>
      <c r="U16" s="715"/>
      <c r="V16" s="714"/>
      <c r="W16" s="715"/>
      <c r="X16" s="1489"/>
      <c r="Y16" s="3495"/>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95"/>
      <c r="Q17" s="1486" t="str">
        <f>B17</f>
        <v>商业繁华度</v>
      </c>
      <c r="R17" s="714" t="s">
        <v>17</v>
      </c>
      <c r="S17" s="715">
        <f>F17</f>
        <v>100</v>
      </c>
      <c r="T17" s="714" t="s">
        <v>17</v>
      </c>
      <c r="U17" s="715">
        <f>H17</f>
        <v>100</v>
      </c>
      <c r="V17" s="714" t="s">
        <v>17</v>
      </c>
      <c r="W17" s="715">
        <f>J17</f>
        <v>100</v>
      </c>
      <c r="X17" s="1489"/>
      <c r="Y17" s="3495"/>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900"/>
      <c r="M18" s="2894"/>
      <c r="N18" s="2894"/>
      <c r="O18" s="2952"/>
      <c r="P18" s="3495"/>
      <c r="Q18" s="1486"/>
      <c r="R18" s="714"/>
      <c r="S18" s="715"/>
      <c r="T18" s="714"/>
      <c r="U18" s="715"/>
      <c r="V18" s="714"/>
      <c r="W18" s="715"/>
      <c r="X18" s="1489"/>
      <c r="Y18" s="3495"/>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95"/>
      <c r="Q19" s="1486" t="str">
        <f>B19</f>
        <v>办公集聚程度</v>
      </c>
      <c r="R19" s="714" t="s">
        <v>17</v>
      </c>
      <c r="S19" s="715">
        <f>F19</f>
        <v>100</v>
      </c>
      <c r="T19" s="714" t="s">
        <v>17</v>
      </c>
      <c r="U19" s="715">
        <f>H19</f>
        <v>100</v>
      </c>
      <c r="V19" s="714" t="s">
        <v>17</v>
      </c>
      <c r="W19" s="715">
        <f>J19</f>
        <v>100</v>
      </c>
      <c r="X19" s="1489"/>
      <c r="Y19" s="3495"/>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900"/>
      <c r="M20" s="2894"/>
      <c r="N20" s="2894"/>
      <c r="O20" s="2952"/>
      <c r="P20" s="3495"/>
      <c r="Q20" s="1486"/>
      <c r="R20" s="714"/>
      <c r="S20" s="715"/>
      <c r="T20" s="714"/>
      <c r="U20" s="715"/>
      <c r="V20" s="714"/>
      <c r="W20" s="715"/>
      <c r="X20" s="1489"/>
      <c r="Y20" s="3495"/>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95"/>
      <c r="Q21" s="1486" t="str">
        <f>B21</f>
        <v>交通便捷度</v>
      </c>
      <c r="R21" s="714" t="s">
        <v>17</v>
      </c>
      <c r="S21" s="715">
        <f>F21</f>
        <v>100</v>
      </c>
      <c r="T21" s="714" t="s">
        <v>17</v>
      </c>
      <c r="U21" s="715">
        <f>H21</f>
        <v>100</v>
      </c>
      <c r="V21" s="714" t="s">
        <v>17</v>
      </c>
      <c r="W21" s="715">
        <f>J21</f>
        <v>100</v>
      </c>
      <c r="X21" s="1489"/>
      <c r="Y21" s="3495"/>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900"/>
      <c r="M22" s="2894"/>
      <c r="N22" s="2894"/>
      <c r="O22" s="2952"/>
      <c r="P22" s="3495"/>
      <c r="Q22" s="1486"/>
      <c r="R22" s="714"/>
      <c r="S22" s="715"/>
      <c r="T22" s="714"/>
      <c r="U22" s="715"/>
      <c r="V22" s="714"/>
      <c r="W22" s="715"/>
      <c r="X22" s="1489"/>
      <c r="Y22" s="3495"/>
      <c r="Z22" s="1490"/>
      <c r="AA22" s="1487">
        <v>1</v>
      </c>
      <c r="AB22" s="1487">
        <v>1</v>
      </c>
      <c r="AC22" s="1487">
        <v>1</v>
      </c>
    </row>
    <row r="23" spans="1:29" ht="15">
      <c r="A23" s="364"/>
      <c r="B23" s="410" t="s">
        <v>2328</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95"/>
      <c r="Q23" s="1486" t="str">
        <f t="shared" ref="Q23:Q37" si="8">B23</f>
        <v>区域土地利用方向</v>
      </c>
      <c r="R23" s="714" t="s">
        <v>17</v>
      </c>
      <c r="S23" s="715">
        <f>F23</f>
        <v>100</v>
      </c>
      <c r="T23" s="714" t="s">
        <v>17</v>
      </c>
      <c r="U23" s="715">
        <f>H23</f>
        <v>100</v>
      </c>
      <c r="V23" s="714" t="s">
        <v>17</v>
      </c>
      <c r="W23" s="715">
        <f>J23</f>
        <v>100</v>
      </c>
      <c r="X23" s="1489"/>
      <c r="Y23" s="3495"/>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900"/>
      <c r="M24" s="2894"/>
      <c r="N24" s="2894"/>
      <c r="O24" s="2952"/>
      <c r="P24" s="3495"/>
      <c r="Q24" s="1486"/>
      <c r="R24" s="714"/>
      <c r="S24" s="715"/>
      <c r="T24" s="714"/>
      <c r="U24" s="715"/>
      <c r="V24" s="714"/>
      <c r="W24" s="715"/>
      <c r="X24" s="1489"/>
      <c r="Y24" s="3495"/>
      <c r="Z24" s="1490"/>
      <c r="AA24" s="1487"/>
      <c r="AB24" s="1487"/>
      <c r="AC24" s="1487"/>
    </row>
    <row r="25" spans="1:29" ht="57">
      <c r="A25" s="364"/>
      <c r="B25" s="1245"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95"/>
      <c r="Q25" s="1486" t="str">
        <f t="shared" si="8"/>
        <v>自然及人文环境状况</v>
      </c>
      <c r="R25" s="714" t="s">
        <v>17</v>
      </c>
      <c r="S25" s="715">
        <f>F25</f>
        <v>100</v>
      </c>
      <c r="T25" s="714" t="s">
        <v>17</v>
      </c>
      <c r="U25" s="715">
        <f>H25</f>
        <v>100</v>
      </c>
      <c r="V25" s="714" t="s">
        <v>17</v>
      </c>
      <c r="W25" s="715">
        <f>J25</f>
        <v>100</v>
      </c>
      <c r="X25" s="1489"/>
      <c r="Y25" s="3495"/>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900"/>
      <c r="M26" s="2894"/>
      <c r="N26" s="2894"/>
      <c r="O26" s="2952"/>
      <c r="P26" s="3495"/>
      <c r="Q26" s="1486"/>
      <c r="R26" s="714"/>
      <c r="S26" s="715"/>
      <c r="T26" s="714"/>
      <c r="U26" s="715"/>
      <c r="V26" s="714"/>
      <c r="W26" s="715"/>
      <c r="X26" s="1489"/>
      <c r="Y26" s="3495"/>
      <c r="Z26" s="1490"/>
      <c r="AA26" s="1487">
        <v>1</v>
      </c>
      <c r="AB26" s="1487">
        <v>1</v>
      </c>
      <c r="AC26" s="1487">
        <v>1</v>
      </c>
    </row>
    <row r="27" spans="1:29" s="113" customFormat="1" ht="42.75">
      <c r="A27" s="605"/>
      <c r="B27" s="1245"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95"/>
      <c r="Q27" s="1477" t="str">
        <f t="shared" si="8"/>
        <v>公共配套设施</v>
      </c>
      <c r="R27" s="710" t="s">
        <v>17</v>
      </c>
      <c r="S27" s="711">
        <f>F27</f>
        <v>100</v>
      </c>
      <c r="T27" s="710" t="s">
        <v>17</v>
      </c>
      <c r="U27" s="711">
        <f>H27</f>
        <v>100</v>
      </c>
      <c r="V27" s="710" t="s">
        <v>17</v>
      </c>
      <c r="W27" s="711">
        <f>J27</f>
        <v>100</v>
      </c>
      <c r="X27" s="712"/>
      <c r="Y27" s="3495"/>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5"/>
      <c r="M28" s="2896"/>
      <c r="N28" s="2896"/>
      <c r="O28" s="2950"/>
      <c r="P28" s="3495"/>
      <c r="Q28" s="1477"/>
      <c r="R28" s="710"/>
      <c r="S28" s="711"/>
      <c r="T28" s="710"/>
      <c r="U28" s="711"/>
      <c r="V28" s="710"/>
      <c r="W28" s="711"/>
      <c r="X28" s="712"/>
      <c r="Y28" s="3495"/>
      <c r="Z28" s="55"/>
      <c r="AA28" s="1487">
        <v>1</v>
      </c>
      <c r="AB28" s="1487">
        <v>1</v>
      </c>
      <c r="AC28" s="1487">
        <v>1</v>
      </c>
    </row>
    <row r="29" spans="1:29" s="113" customFormat="1" ht="28.5">
      <c r="A29" s="605"/>
      <c r="B29" s="1245"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95"/>
      <c r="Q29" s="1477" t="str">
        <f t="shared" ref="Q29" si="9">B29</f>
        <v>基础设施水平</v>
      </c>
      <c r="R29" s="710" t="s">
        <v>17</v>
      </c>
      <c r="S29" s="711">
        <f>F29</f>
        <v>100</v>
      </c>
      <c r="T29" s="710" t="s">
        <v>17</v>
      </c>
      <c r="U29" s="711">
        <f>H29</f>
        <v>100</v>
      </c>
      <c r="V29" s="710" t="s">
        <v>17</v>
      </c>
      <c r="W29" s="711">
        <f>J29</f>
        <v>100</v>
      </c>
      <c r="X29" s="712"/>
      <c r="Y29" s="3495"/>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5"/>
      <c r="M30" s="2896"/>
      <c r="N30" s="2896"/>
      <c r="O30" s="2950"/>
      <c r="P30" s="3495"/>
      <c r="Q30" s="1477"/>
      <c r="R30" s="710"/>
      <c r="S30" s="711"/>
      <c r="T30" s="710"/>
      <c r="U30" s="711"/>
      <c r="V30" s="710"/>
      <c r="W30" s="711"/>
      <c r="X30" s="712"/>
      <c r="Y30" s="3495"/>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95"/>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95"/>
      <c r="Z31" s="1490" t="str">
        <f t="shared" ref="Z31:Z45" si="13">Q31</f>
        <v>临街状况</v>
      </c>
      <c r="AA31" s="1487">
        <f t="shared" si="3"/>
        <v>1</v>
      </c>
      <c r="AB31" s="1487">
        <f t="shared" si="4"/>
        <v>1</v>
      </c>
      <c r="AC31" s="1487">
        <f t="shared" si="5"/>
        <v>1</v>
      </c>
    </row>
    <row r="32" spans="1:29" ht="27">
      <c r="A32" s="387"/>
      <c r="B32" s="1245"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95"/>
      <c r="Q32" s="1486" t="str">
        <f t="shared" si="8"/>
        <v>毗邻道路的类型与等级</v>
      </c>
      <c r="R32" s="714" t="s">
        <v>17</v>
      </c>
      <c r="S32" s="715">
        <f t="shared" si="10"/>
        <v>100</v>
      </c>
      <c r="T32" s="714" t="s">
        <v>17</v>
      </c>
      <c r="U32" s="715">
        <f t="shared" si="11"/>
        <v>100</v>
      </c>
      <c r="V32" s="714" t="s">
        <v>17</v>
      </c>
      <c r="W32" s="715">
        <f t="shared" si="12"/>
        <v>100</v>
      </c>
      <c r="X32" s="1489"/>
      <c r="Y32" s="3495"/>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900"/>
      <c r="M33" s="2894"/>
      <c r="N33" s="2894"/>
      <c r="O33" s="2952"/>
      <c r="P33" s="3495"/>
      <c r="Q33" s="1486"/>
      <c r="R33" s="714"/>
      <c r="S33" s="715"/>
      <c r="T33" s="714"/>
      <c r="U33" s="715"/>
      <c r="V33" s="714"/>
      <c r="W33" s="715"/>
      <c r="X33" s="1489"/>
      <c r="Y33" s="3495"/>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95"/>
      <c r="Q34" s="1486" t="str">
        <f t="shared" si="8"/>
        <v>土地级别</v>
      </c>
      <c r="R34" s="714" t="s">
        <v>17</v>
      </c>
      <c r="S34" s="715">
        <f t="shared" si="10"/>
        <v>100</v>
      </c>
      <c r="T34" s="714" t="s">
        <v>17</v>
      </c>
      <c r="U34" s="715">
        <f t="shared" si="11"/>
        <v>100</v>
      </c>
      <c r="V34" s="714" t="s">
        <v>17</v>
      </c>
      <c r="W34" s="715">
        <f t="shared" si="12"/>
        <v>100</v>
      </c>
      <c r="X34" s="1489"/>
      <c r="Y34" s="3495"/>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95"/>
      <c r="Q35" s="1486">
        <f t="shared" si="8"/>
        <v>111</v>
      </c>
      <c r="R35" s="714" t="s">
        <v>17</v>
      </c>
      <c r="S35" s="715">
        <f t="shared" si="10"/>
        <v>100</v>
      </c>
      <c r="T35" s="714" t="s">
        <v>17</v>
      </c>
      <c r="U35" s="715">
        <f t="shared" si="11"/>
        <v>100</v>
      </c>
      <c r="V35" s="714" t="s">
        <v>17</v>
      </c>
      <c r="W35" s="715">
        <f t="shared" si="12"/>
        <v>100</v>
      </c>
      <c r="X35" s="1489"/>
      <c r="Y35" s="3495"/>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50" t="s">
        <v>2145</v>
      </c>
      <c r="Q36" s="1486">
        <f t="shared" si="8"/>
        <v>111</v>
      </c>
      <c r="R36" s="714" t="s">
        <v>17</v>
      </c>
      <c r="S36" s="715">
        <f t="shared" si="10"/>
        <v>100</v>
      </c>
      <c r="T36" s="714" t="s">
        <v>17</v>
      </c>
      <c r="U36" s="715">
        <f t="shared" si="11"/>
        <v>100</v>
      </c>
      <c r="V36" s="714" t="s">
        <v>17</v>
      </c>
      <c r="W36" s="715">
        <f t="shared" si="12"/>
        <v>100</v>
      </c>
      <c r="X36" s="1489"/>
      <c r="Y36" s="3499" t="s">
        <v>2145</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9"/>
      <c r="Q37" s="1486">
        <f t="shared" si="8"/>
        <v>111</v>
      </c>
      <c r="R37" s="717" t="s">
        <v>17</v>
      </c>
      <c r="S37" s="718">
        <f t="shared" si="10"/>
        <v>100</v>
      </c>
      <c r="T37" s="717" t="s">
        <v>17</v>
      </c>
      <c r="U37" s="718">
        <f t="shared" si="11"/>
        <v>100</v>
      </c>
      <c r="V37" s="717" t="s">
        <v>17</v>
      </c>
      <c r="W37" s="718">
        <f t="shared" si="12"/>
        <v>100</v>
      </c>
      <c r="X37" s="719"/>
      <c r="Y37" s="3499"/>
      <c r="Z37" s="720">
        <f t="shared" si="13"/>
        <v>111</v>
      </c>
      <c r="AA37" s="1487">
        <f t="shared" si="3"/>
        <v>1</v>
      </c>
      <c r="AB37" s="1487">
        <f t="shared" si="4"/>
        <v>1</v>
      </c>
      <c r="AC37" s="1487">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9"/>
      <c r="Q38" s="1486" t="str">
        <f>B38</f>
        <v>宗地面积</v>
      </c>
      <c r="R38" s="714" t="s">
        <v>17</v>
      </c>
      <c r="S38" s="715" t="e">
        <f t="shared" si="10"/>
        <v>#N/A</v>
      </c>
      <c r="T38" s="714" t="s">
        <v>17</v>
      </c>
      <c r="U38" s="715" t="e">
        <f t="shared" si="11"/>
        <v>#N/A</v>
      </c>
      <c r="V38" s="714" t="s">
        <v>17</v>
      </c>
      <c r="W38" s="715" t="e">
        <f t="shared" si="12"/>
        <v>#N/A</v>
      </c>
      <c r="X38" s="1489"/>
      <c r="Y38" s="3499"/>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99"/>
      <c r="Q39" s="1486" t="str">
        <f t="shared" ref="Q39:Q45" si="14">B39</f>
        <v>宗地形状</v>
      </c>
      <c r="R39" s="714" t="s">
        <v>17</v>
      </c>
      <c r="S39" s="715">
        <f t="shared" si="10"/>
        <v>100</v>
      </c>
      <c r="T39" s="714" t="s">
        <v>17</v>
      </c>
      <c r="U39" s="715">
        <f t="shared" si="11"/>
        <v>100</v>
      </c>
      <c r="V39" s="714" t="s">
        <v>17</v>
      </c>
      <c r="W39" s="715">
        <f t="shared" si="12"/>
        <v>100</v>
      </c>
      <c r="X39" s="1489"/>
      <c r="Y39" s="3499"/>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99"/>
      <c r="Q40" s="1486" t="str">
        <f t="shared" si="14"/>
        <v>临街宽度及深度</v>
      </c>
      <c r="R40" s="714" t="s">
        <v>17</v>
      </c>
      <c r="S40" s="715">
        <f t="shared" si="10"/>
        <v>100</v>
      </c>
      <c r="T40" s="714" t="s">
        <v>17</v>
      </c>
      <c r="U40" s="715">
        <f t="shared" si="11"/>
        <v>100</v>
      </c>
      <c r="V40" s="714" t="s">
        <v>17</v>
      </c>
      <c r="W40" s="715">
        <f t="shared" si="12"/>
        <v>100</v>
      </c>
      <c r="X40" s="1489"/>
      <c r="Y40" s="3499"/>
      <c r="Z40" s="1490" t="str">
        <f t="shared" si="13"/>
        <v>临街宽度及深度</v>
      </c>
      <c r="AA40" s="1487">
        <f t="shared" si="3"/>
        <v>1</v>
      </c>
      <c r="AB40" s="1487">
        <f t="shared" si="4"/>
        <v>1</v>
      </c>
      <c r="AC40" s="1487">
        <f t="shared" si="5"/>
        <v>1</v>
      </c>
    </row>
    <row r="41" spans="1:29" s="113" customFormat="1" ht="15">
      <c r="A41" s="432"/>
      <c r="B41" s="381" t="s">
        <v>2334</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99"/>
      <c r="Q41" s="1486"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99" t="s">
        <v>2145</v>
      </c>
      <c r="Q42" s="1486" t="str">
        <f t="shared" si="14"/>
        <v>工程地质条件</v>
      </c>
      <c r="R42" s="714" t="s">
        <v>17</v>
      </c>
      <c r="S42" s="715">
        <f t="shared" si="10"/>
        <v>100</v>
      </c>
      <c r="T42" s="714" t="s">
        <v>17</v>
      </c>
      <c r="U42" s="715">
        <f t="shared" si="11"/>
        <v>100</v>
      </c>
      <c r="V42" s="714" t="s">
        <v>17</v>
      </c>
      <c r="W42" s="715">
        <f t="shared" si="12"/>
        <v>100</v>
      </c>
      <c r="X42" s="1489"/>
      <c r="Y42" s="3499" t="s">
        <v>2145</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9"/>
      <c r="Q43" s="1486">
        <f t="shared" si="14"/>
        <v>111</v>
      </c>
      <c r="R43" s="714" t="s">
        <v>17</v>
      </c>
      <c r="S43" s="715">
        <f t="shared" si="10"/>
        <v>100</v>
      </c>
      <c r="T43" s="714" t="s">
        <v>17</v>
      </c>
      <c r="U43" s="715">
        <f t="shared" si="11"/>
        <v>100</v>
      </c>
      <c r="V43" s="714" t="s">
        <v>17</v>
      </c>
      <c r="W43" s="715">
        <f t="shared" si="12"/>
        <v>100</v>
      </c>
      <c r="X43" s="1489"/>
      <c r="Y43" s="3499"/>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9"/>
      <c r="Q44" s="1486">
        <f t="shared" si="14"/>
        <v>111</v>
      </c>
      <c r="R44" s="714" t="s">
        <v>17</v>
      </c>
      <c r="S44" s="715">
        <f t="shared" si="10"/>
        <v>100</v>
      </c>
      <c r="T44" s="714" t="s">
        <v>17</v>
      </c>
      <c r="U44" s="715">
        <f t="shared" si="11"/>
        <v>100</v>
      </c>
      <c r="V44" s="714" t="s">
        <v>17</v>
      </c>
      <c r="W44" s="715">
        <f t="shared" si="12"/>
        <v>100</v>
      </c>
      <c r="X44" s="1489"/>
      <c r="Y44" s="3499"/>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9"/>
      <c r="Q45" s="1486">
        <f t="shared" si="14"/>
        <v>111</v>
      </c>
      <c r="R45" s="717" t="s">
        <v>17</v>
      </c>
      <c r="S45" s="718">
        <f t="shared" si="10"/>
        <v>100</v>
      </c>
      <c r="T45" s="717" t="s">
        <v>17</v>
      </c>
      <c r="U45" s="718">
        <f t="shared" si="11"/>
        <v>100</v>
      </c>
      <c r="V45" s="717" t="s">
        <v>17</v>
      </c>
      <c r="W45" s="718">
        <f t="shared" si="12"/>
        <v>100</v>
      </c>
      <c r="X45" s="719"/>
      <c r="Y45" s="3499"/>
      <c r="Z45" s="720">
        <f t="shared" si="13"/>
        <v>111</v>
      </c>
      <c r="AA45" s="1487">
        <f t="shared" si="3"/>
        <v>1</v>
      </c>
      <c r="AB45" s="1487">
        <f t="shared" si="4"/>
        <v>1</v>
      </c>
      <c r="AC45" s="1487">
        <f t="shared" si="5"/>
        <v>1</v>
      </c>
    </row>
    <row r="46" spans="1:29" ht="15">
      <c r="A46" s="438" t="s">
        <v>2300</v>
      </c>
      <c r="B46" s="2118" t="s">
        <v>2336</v>
      </c>
      <c r="C46" s="638" t="s">
        <v>1</v>
      </c>
      <c r="D46" s="440"/>
      <c r="E46" s="441"/>
      <c r="F46" s="442"/>
      <c r="G46" s="443"/>
      <c r="H46" s="444"/>
      <c r="I46" s="441"/>
      <c r="J46" s="444"/>
      <c r="K46" s="723"/>
      <c r="L46" s="2902"/>
      <c r="M46" s="2903"/>
      <c r="N46" s="2894"/>
      <c r="O46" s="2903"/>
      <c r="P46" s="3492" t="str">
        <f>A46</f>
        <v>成交单价</v>
      </c>
      <c r="Q46" s="3492"/>
      <c r="R46" s="3523">
        <f>E46</f>
        <v>0</v>
      </c>
      <c r="S46" s="3523"/>
      <c r="T46" s="3523">
        <f>G46</f>
        <v>0</v>
      </c>
      <c r="U46" s="3523"/>
      <c r="V46" s="3523">
        <f>I46</f>
        <v>0</v>
      </c>
      <c r="W46" s="3523"/>
      <c r="X46" s="699"/>
      <c r="Y46" s="721"/>
      <c r="Z46" s="699"/>
      <c r="AA46" s="699"/>
      <c r="AB46" s="699"/>
      <c r="AC46" s="699"/>
    </row>
    <row r="47" spans="1:29" ht="15.75" thickBot="1">
      <c r="A47" s="445" t="s">
        <v>2249</v>
      </c>
      <c r="B47" s="639"/>
      <c r="C47" s="448" t="e">
        <f>R48</f>
        <v>#DIV/0!</v>
      </c>
      <c r="D47" s="2488" t="s">
        <v>2639</v>
      </c>
      <c r="E47" s="448" t="e">
        <f>R47</f>
        <v>#DIV/0!</v>
      </c>
      <c r="F47" s="2489"/>
      <c r="G47" s="447" t="e">
        <f>T47</f>
        <v>#DIV/0!</v>
      </c>
      <c r="H47" s="2489"/>
      <c r="I47" s="448" t="e">
        <f>V47</f>
        <v>#DIV/0!</v>
      </c>
      <c r="J47" s="2489"/>
      <c r="K47" s="2491">
        <f>F47+H47+J47</f>
        <v>0</v>
      </c>
      <c r="L47" s="2902"/>
      <c r="M47" s="2903"/>
      <c r="N47" s="2903"/>
      <c r="O47" s="2903"/>
      <c r="P47" s="3492" t="str">
        <f>A47</f>
        <v>比较价值（元/平方米）</v>
      </c>
      <c r="Q47" s="3492"/>
      <c r="R47" s="3552" t="e">
        <f>ROUND(PRODUCT(R46,AA7:AA45),0)</f>
        <v>#DIV/0!</v>
      </c>
      <c r="S47" s="3552"/>
      <c r="T47" s="3552" t="e">
        <f>ROUND(PRODUCT(T46,AB7:AB45),0)</f>
        <v>#DIV/0!</v>
      </c>
      <c r="U47" s="3552"/>
      <c r="V47" s="3552" t="e">
        <f>ROUND(PRODUCT(V46,AC7:AC45),0)</f>
        <v>#DIV/0!</v>
      </c>
      <c r="W47" s="355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89" t="str">
        <f>A48</f>
        <v>估价对象XX用房的比较价值（楼面单价，元/平方米）</v>
      </c>
      <c r="Q48" s="3490"/>
      <c r="R48" s="3553" t="e">
        <f>ROUND(IF(D47="简单平均",AVERAGE(R47:W47),R47*F47+T47*H47+V47*J47),0)</f>
        <v>#DIV/0!</v>
      </c>
      <c r="S48" s="3553"/>
      <c r="T48" s="3553"/>
      <c r="U48" s="3553"/>
      <c r="V48" s="3553"/>
      <c r="W48" s="3553"/>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19" t="s">
        <v>2340</v>
      </c>
      <c r="D55" s="2120" t="s">
        <v>2341</v>
      </c>
      <c r="E55" s="642" t="s">
        <v>2342</v>
      </c>
      <c r="F55" s="1002" t="s">
        <v>2343</v>
      </c>
      <c r="G55" s="3507" t="s">
        <v>2344</v>
      </c>
      <c r="H55" s="3554"/>
      <c r="I55" s="140"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9808.48</v>
      </c>
      <c r="F56" s="998" t="e">
        <f t="shared" ref="F56:F64" si="15">ROUND(B56*E56/10000,0)</f>
        <v>#DIV/0!</v>
      </c>
      <c r="G56" s="3503"/>
      <c r="H56" s="3492"/>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3"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10112.900000000001</v>
      </c>
      <c r="F63" s="998" t="e">
        <f t="shared" si="15"/>
        <v>#DIV/0!</v>
      </c>
      <c r="G63" s="2123"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4"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19921.38</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2361</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6"/>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7"/>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507" t="s">
        <v>2226</v>
      </c>
      <c r="D4" s="3508"/>
      <c r="E4" s="3509" t="s">
        <v>2227</v>
      </c>
      <c r="F4" s="3510"/>
      <c r="G4" s="3507" t="s">
        <v>2228</v>
      </c>
      <c r="H4" s="3508"/>
      <c r="I4" s="3507" t="s">
        <v>2229</v>
      </c>
      <c r="J4" s="3508"/>
      <c r="K4" s="567" t="s">
        <v>2230</v>
      </c>
      <c r="L4" s="2893"/>
      <c r="M4" s="2894"/>
      <c r="N4" s="2894"/>
      <c r="O4" s="2894"/>
      <c r="P4" s="3511" t="s">
        <v>2231</v>
      </c>
      <c r="Q4" s="3512"/>
      <c r="R4" s="3517" t="s">
        <v>2227</v>
      </c>
      <c r="S4" s="3518"/>
      <c r="T4" s="3517" t="s">
        <v>2228</v>
      </c>
      <c r="U4" s="3518"/>
      <c r="V4" s="3523" t="s">
        <v>2229</v>
      </c>
      <c r="W4" s="3523"/>
      <c r="X4" s="1489"/>
      <c r="Y4" s="3517" t="s">
        <v>2231</v>
      </c>
      <c r="Z4" s="3518"/>
      <c r="AA4" s="3504" t="s">
        <v>2227</v>
      </c>
      <c r="AB4" s="3505" t="s">
        <v>2228</v>
      </c>
      <c r="AC4" s="3504" t="s">
        <v>2229</v>
      </c>
    </row>
    <row r="5" spans="1:29" ht="15">
      <c r="A5" s="364"/>
      <c r="B5" s="365"/>
      <c r="C5" s="3526" t="s">
        <v>2122</v>
      </c>
      <c r="D5" s="3527"/>
      <c r="E5" s="3533" t="s">
        <v>2123</v>
      </c>
      <c r="F5" s="3534"/>
      <c r="G5" s="3526" t="s">
        <v>2124</v>
      </c>
      <c r="H5" s="3527"/>
      <c r="I5" s="3526" t="s">
        <v>2125</v>
      </c>
      <c r="J5" s="3527"/>
      <c r="K5" s="567"/>
      <c r="L5" s="2893"/>
      <c r="M5" s="2894"/>
      <c r="N5" s="2894"/>
      <c r="O5" s="2894"/>
      <c r="P5" s="3513"/>
      <c r="Q5" s="3514"/>
      <c r="R5" s="3519"/>
      <c r="S5" s="3520"/>
      <c r="T5" s="3519"/>
      <c r="U5" s="3520"/>
      <c r="V5" s="3523"/>
      <c r="W5" s="3523"/>
      <c r="X5" s="1489"/>
      <c r="Y5" s="3519"/>
      <c r="Z5" s="3520"/>
      <c r="AA5" s="3505"/>
      <c r="AB5" s="3505"/>
      <c r="AC5" s="3505"/>
    </row>
    <row r="6" spans="1:29" ht="15.75" thickBot="1">
      <c r="A6" s="366"/>
      <c r="B6" s="367"/>
      <c r="C6" s="3555" t="s">
        <v>2376</v>
      </c>
      <c r="D6" s="3556"/>
      <c r="E6" s="3557" t="s">
        <v>2376</v>
      </c>
      <c r="F6" s="3558"/>
      <c r="G6" s="3555" t="s">
        <v>2376</v>
      </c>
      <c r="H6" s="3556"/>
      <c r="I6" s="3555" t="s">
        <v>2376</v>
      </c>
      <c r="J6" s="3556"/>
      <c r="K6" s="567" t="s">
        <v>2127</v>
      </c>
      <c r="L6" s="2893"/>
      <c r="M6" s="2894"/>
      <c r="N6" s="2894"/>
      <c r="O6" s="2894"/>
      <c r="P6" s="3515"/>
      <c r="Q6" s="3516"/>
      <c r="R6" s="3519"/>
      <c r="S6" s="3520"/>
      <c r="T6" s="3521"/>
      <c r="U6" s="3522"/>
      <c r="V6" s="3523"/>
      <c r="W6" s="3523"/>
      <c r="X6" s="1489"/>
      <c r="Y6" s="3521"/>
      <c r="Z6" s="3522"/>
      <c r="AA6" s="3506"/>
      <c r="AB6" s="3506"/>
      <c r="AC6" s="3506"/>
    </row>
    <row r="7" spans="1:29" s="113" customFormat="1" ht="15.75" thickBot="1">
      <c r="A7" s="368" t="s">
        <v>2128</v>
      </c>
      <c r="B7" s="369"/>
      <c r="C7" s="370">
        <f>'数据-取费表'!B2</f>
        <v>44818</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528" t="s">
        <v>2129</v>
      </c>
      <c r="Q7" s="3530"/>
      <c r="R7" s="710" t="s">
        <v>17</v>
      </c>
      <c r="S7" s="711">
        <f t="shared" ref="S7:S15" si="0">F7</f>
        <v>0</v>
      </c>
      <c r="T7" s="710" t="s">
        <v>17</v>
      </c>
      <c r="U7" s="711">
        <f t="shared" ref="U7:U15" si="1">H7</f>
        <v>0</v>
      </c>
      <c r="V7" s="710" t="s">
        <v>17</v>
      </c>
      <c r="W7" s="711">
        <f t="shared" ref="W7:W15" si="2">J7</f>
        <v>0</v>
      </c>
      <c r="X7" s="712"/>
      <c r="Y7" s="3528" t="s">
        <v>2129</v>
      </c>
      <c r="Z7" s="352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528" t="s">
        <v>2132</v>
      </c>
      <c r="Q8" s="3529"/>
      <c r="R8" s="710" t="s">
        <v>17</v>
      </c>
      <c r="S8" s="711">
        <f t="shared" si="0"/>
        <v>0</v>
      </c>
      <c r="T8" s="710" t="s">
        <v>17</v>
      </c>
      <c r="U8" s="711">
        <f t="shared" si="1"/>
        <v>0</v>
      </c>
      <c r="V8" s="710" t="s">
        <v>17</v>
      </c>
      <c r="W8" s="711">
        <f t="shared" si="2"/>
        <v>0</v>
      </c>
      <c r="X8" s="712"/>
      <c r="Y8" s="3528" t="s">
        <v>2132</v>
      </c>
      <c r="Z8" s="3529"/>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92" t="s">
        <v>2135</v>
      </c>
      <c r="Q9" s="1477" t="str">
        <f t="shared" ref="Q9:Q15" si="6">B9</f>
        <v>用途</v>
      </c>
      <c r="R9" s="710" t="s">
        <v>17</v>
      </c>
      <c r="S9" s="711">
        <f t="shared" si="0"/>
        <v>100</v>
      </c>
      <c r="T9" s="710" t="s">
        <v>17</v>
      </c>
      <c r="U9" s="711">
        <f t="shared" si="1"/>
        <v>100</v>
      </c>
      <c r="V9" s="710" t="s">
        <v>17</v>
      </c>
      <c r="W9" s="711">
        <f t="shared" si="2"/>
        <v>100</v>
      </c>
      <c r="X9" s="712"/>
      <c r="Y9" s="336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149</v>
      </c>
      <c r="G10" s="391"/>
      <c r="H10" s="132">
        <f>ROUND(100/'数据-取费表'!G16,0)</f>
        <v>149</v>
      </c>
      <c r="I10" s="391"/>
      <c r="J10" s="132">
        <f>ROUND(100/'数据-取费表'!G16,0)</f>
        <v>149</v>
      </c>
      <c r="K10" s="628"/>
      <c r="L10" s="2897"/>
      <c r="M10" s="2898"/>
      <c r="N10" s="2898"/>
      <c r="O10" s="2951"/>
      <c r="P10" s="3492"/>
      <c r="Q10" s="1477" t="str">
        <f t="shared" si="6"/>
        <v>土地使用年限（年）</v>
      </c>
      <c r="R10" s="710" t="s">
        <v>17</v>
      </c>
      <c r="S10" s="711">
        <f t="shared" si="0"/>
        <v>149</v>
      </c>
      <c r="T10" s="710" t="s">
        <v>17</v>
      </c>
      <c r="U10" s="711">
        <f t="shared" si="1"/>
        <v>149</v>
      </c>
      <c r="V10" s="710" t="s">
        <v>17</v>
      </c>
      <c r="W10" s="711">
        <f t="shared" si="2"/>
        <v>149</v>
      </c>
      <c r="X10" s="712"/>
      <c r="Y10" s="3364"/>
      <c r="Z10" s="55" t="str">
        <f t="shared" si="7"/>
        <v>土地使用年限（年）</v>
      </c>
      <c r="AA10" s="713">
        <f t="shared" si="3"/>
        <v>0.67114093959731547</v>
      </c>
      <c r="AB10" s="713">
        <f t="shared" si="4"/>
        <v>0.67114093959731547</v>
      </c>
      <c r="AC10" s="713">
        <f t="shared" si="5"/>
        <v>0.67114093959731547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92"/>
      <c r="Q11" s="1477" t="str">
        <f t="shared" si="6"/>
        <v>容积率</v>
      </c>
      <c r="R11" s="710" t="s">
        <v>17</v>
      </c>
      <c r="S11" s="711" t="e">
        <f t="shared" si="0"/>
        <v>#N/A</v>
      </c>
      <c r="T11" s="710" t="s">
        <v>17</v>
      </c>
      <c r="U11" s="711" t="e">
        <f t="shared" si="1"/>
        <v>#N/A</v>
      </c>
      <c r="V11" s="710" t="s">
        <v>17</v>
      </c>
      <c r="W11" s="711" t="e">
        <f t="shared" si="2"/>
        <v>#N/A</v>
      </c>
      <c r="X11" s="712"/>
      <c r="Y11" s="3364"/>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92"/>
      <c r="Q12" s="1477">
        <f t="shared" si="6"/>
        <v>111</v>
      </c>
      <c r="R12" s="710" t="s">
        <v>17</v>
      </c>
      <c r="S12" s="711">
        <f t="shared" si="0"/>
        <v>100</v>
      </c>
      <c r="T12" s="710" t="s">
        <v>17</v>
      </c>
      <c r="U12" s="711">
        <f t="shared" si="1"/>
        <v>100</v>
      </c>
      <c r="V12" s="710" t="s">
        <v>17</v>
      </c>
      <c r="W12" s="711">
        <f t="shared" si="2"/>
        <v>100</v>
      </c>
      <c r="X12" s="712"/>
      <c r="Y12" s="3364"/>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92"/>
      <c r="Q13" s="1477">
        <f t="shared" si="6"/>
        <v>111</v>
      </c>
      <c r="R13" s="710" t="s">
        <v>17</v>
      </c>
      <c r="S13" s="711">
        <f t="shared" si="0"/>
        <v>100</v>
      </c>
      <c r="T13" s="710" t="s">
        <v>17</v>
      </c>
      <c r="U13" s="711">
        <f t="shared" si="1"/>
        <v>100</v>
      </c>
      <c r="V13" s="710" t="s">
        <v>17</v>
      </c>
      <c r="W13" s="711">
        <f t="shared" si="2"/>
        <v>100</v>
      </c>
      <c r="X13" s="712"/>
      <c r="Y13" s="3364"/>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92"/>
      <c r="Q14" s="1477">
        <f t="shared" si="6"/>
        <v>111</v>
      </c>
      <c r="R14" s="710" t="s">
        <v>17</v>
      </c>
      <c r="S14" s="711">
        <f t="shared" si="0"/>
        <v>100</v>
      </c>
      <c r="T14" s="710" t="s">
        <v>17</v>
      </c>
      <c r="U14" s="711">
        <f t="shared" si="1"/>
        <v>100</v>
      </c>
      <c r="V14" s="710" t="s">
        <v>17</v>
      </c>
      <c r="W14" s="711">
        <f t="shared" si="2"/>
        <v>100</v>
      </c>
      <c r="X14" s="712"/>
      <c r="Y14" s="3364"/>
      <c r="Z14" s="55">
        <f t="shared" si="7"/>
        <v>111</v>
      </c>
      <c r="AA14" s="713">
        <f t="shared" si="3"/>
        <v>1</v>
      </c>
      <c r="AB14" s="713">
        <f t="shared" si="4"/>
        <v>1</v>
      </c>
      <c r="AC14" s="713">
        <f t="shared" si="5"/>
        <v>1</v>
      </c>
    </row>
    <row r="15" spans="1:29" ht="57">
      <c r="A15" s="399" t="s">
        <v>2139</v>
      </c>
      <c r="B15" s="585" t="s">
        <v>2377</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94" t="s">
        <v>2140</v>
      </c>
      <c r="Q15" s="1486" t="str">
        <f t="shared" si="6"/>
        <v>产业集聚程度</v>
      </c>
      <c r="R15" s="714" t="s">
        <v>17</v>
      </c>
      <c r="S15" s="715">
        <f t="shared" si="0"/>
        <v>100</v>
      </c>
      <c r="T15" s="714" t="s">
        <v>17</v>
      </c>
      <c r="U15" s="715">
        <f t="shared" si="1"/>
        <v>100</v>
      </c>
      <c r="V15" s="714" t="s">
        <v>17</v>
      </c>
      <c r="W15" s="715">
        <f t="shared" si="2"/>
        <v>100</v>
      </c>
      <c r="X15" s="1489"/>
      <c r="Y15" s="3494" t="s">
        <v>2140</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900"/>
      <c r="M16" s="2894"/>
      <c r="N16" s="2894"/>
      <c r="O16" s="2952"/>
      <c r="P16" s="3495"/>
      <c r="Q16" s="1486"/>
      <c r="R16" s="714"/>
      <c r="S16" s="715"/>
      <c r="T16" s="714"/>
      <c r="U16" s="715"/>
      <c r="V16" s="714"/>
      <c r="W16" s="715"/>
      <c r="X16" s="1489"/>
      <c r="Y16" s="3495"/>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95"/>
      <c r="Q17" s="1486" t="str">
        <f>B17</f>
        <v>交通便捷度</v>
      </c>
      <c r="R17" s="714" t="s">
        <v>17</v>
      </c>
      <c r="S17" s="715">
        <f>F17</f>
        <v>100</v>
      </c>
      <c r="T17" s="714" t="s">
        <v>17</v>
      </c>
      <c r="U17" s="715">
        <f>H17</f>
        <v>100</v>
      </c>
      <c r="V17" s="714" t="s">
        <v>17</v>
      </c>
      <c r="W17" s="715">
        <f>J17</f>
        <v>100</v>
      </c>
      <c r="X17" s="1489"/>
      <c r="Y17" s="3495"/>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900"/>
      <c r="M18" s="2894"/>
      <c r="N18" s="2894"/>
      <c r="O18" s="2952"/>
      <c r="P18" s="3495"/>
      <c r="Q18" s="1486"/>
      <c r="R18" s="714"/>
      <c r="S18" s="715"/>
      <c r="T18" s="714"/>
      <c r="U18" s="715"/>
      <c r="V18" s="714"/>
      <c r="W18" s="715"/>
      <c r="X18" s="1489"/>
      <c r="Y18" s="3495"/>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95"/>
      <c r="Q19" s="1486" t="str">
        <f t="shared" ref="Q19:Q33" si="8">B19</f>
        <v>区域土地利用方向</v>
      </c>
      <c r="R19" s="714" t="s">
        <v>17</v>
      </c>
      <c r="S19" s="715">
        <f>F19</f>
        <v>100</v>
      </c>
      <c r="T19" s="714" t="s">
        <v>17</v>
      </c>
      <c r="U19" s="715">
        <f>H19</f>
        <v>100</v>
      </c>
      <c r="V19" s="714" t="s">
        <v>17</v>
      </c>
      <c r="W19" s="715">
        <f>J19</f>
        <v>100</v>
      </c>
      <c r="X19" s="1489"/>
      <c r="Y19" s="3495"/>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900"/>
      <c r="M20" s="2894"/>
      <c r="N20" s="2894"/>
      <c r="O20" s="2952"/>
      <c r="P20" s="3495"/>
      <c r="Q20" s="1486"/>
      <c r="R20" s="714"/>
      <c r="S20" s="715"/>
      <c r="T20" s="714"/>
      <c r="U20" s="715"/>
      <c r="V20" s="714"/>
      <c r="W20" s="715"/>
      <c r="X20" s="1489"/>
      <c r="Y20" s="3495"/>
      <c r="Z20" s="1490"/>
      <c r="AA20" s="1487"/>
      <c r="AB20" s="1487"/>
      <c r="AC20" s="1487"/>
    </row>
    <row r="21" spans="1:29" ht="71.25">
      <c r="A21" s="364"/>
      <c r="B21" s="587" t="s">
        <v>2378</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95"/>
      <c r="Q21" s="1486" t="str">
        <f t="shared" si="8"/>
        <v>环境状况</v>
      </c>
      <c r="R21" s="714" t="s">
        <v>17</v>
      </c>
      <c r="S21" s="715">
        <f>F21</f>
        <v>100</v>
      </c>
      <c r="T21" s="714" t="s">
        <v>17</v>
      </c>
      <c r="U21" s="715">
        <f>H21</f>
        <v>100</v>
      </c>
      <c r="V21" s="714" t="s">
        <v>17</v>
      </c>
      <c r="W21" s="715">
        <f>J21</f>
        <v>100</v>
      </c>
      <c r="X21" s="1489"/>
      <c r="Y21" s="3495"/>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900"/>
      <c r="M22" s="2894"/>
      <c r="N22" s="2894"/>
      <c r="O22" s="2952"/>
      <c r="P22" s="3495"/>
      <c r="Q22" s="1486"/>
      <c r="R22" s="714"/>
      <c r="S22" s="715"/>
      <c r="T22" s="714"/>
      <c r="U22" s="715"/>
      <c r="V22" s="714"/>
      <c r="W22" s="715"/>
      <c r="X22" s="1489"/>
      <c r="Y22" s="3495"/>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95"/>
      <c r="Q23" s="1477" t="str">
        <f t="shared" si="8"/>
        <v>公共配套设施</v>
      </c>
      <c r="R23" s="710" t="s">
        <v>17</v>
      </c>
      <c r="S23" s="711">
        <f>F23</f>
        <v>100</v>
      </c>
      <c r="T23" s="710" t="s">
        <v>17</v>
      </c>
      <c r="U23" s="711">
        <f>H23</f>
        <v>100</v>
      </c>
      <c r="V23" s="710" t="s">
        <v>17</v>
      </c>
      <c r="W23" s="711">
        <f>J23</f>
        <v>100</v>
      </c>
      <c r="X23" s="712"/>
      <c r="Y23" s="3495"/>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5"/>
      <c r="M24" s="2896"/>
      <c r="N24" s="2896"/>
      <c r="O24" s="2950"/>
      <c r="P24" s="3495"/>
      <c r="Q24" s="1477"/>
      <c r="R24" s="710"/>
      <c r="S24" s="711"/>
      <c r="T24" s="710"/>
      <c r="U24" s="711"/>
      <c r="V24" s="710"/>
      <c r="W24" s="711"/>
      <c r="X24" s="712"/>
      <c r="Y24" s="3495"/>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95"/>
      <c r="Q25" s="1477" t="str">
        <f t="shared" ref="Q25" si="9">B25</f>
        <v>基础设施水平</v>
      </c>
      <c r="R25" s="710" t="s">
        <v>17</v>
      </c>
      <c r="S25" s="711">
        <f>F25</f>
        <v>100</v>
      </c>
      <c r="T25" s="710" t="s">
        <v>17</v>
      </c>
      <c r="U25" s="711">
        <f>H25</f>
        <v>100</v>
      </c>
      <c r="V25" s="710" t="s">
        <v>17</v>
      </c>
      <c r="W25" s="711">
        <f>J25</f>
        <v>100</v>
      </c>
      <c r="X25" s="712"/>
      <c r="Y25" s="3495"/>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5"/>
      <c r="M26" s="2896"/>
      <c r="N26" s="2896"/>
      <c r="O26" s="2950"/>
      <c r="P26" s="3495"/>
      <c r="Q26" s="1477"/>
      <c r="R26" s="710"/>
      <c r="S26" s="711"/>
      <c r="T26" s="710"/>
      <c r="U26" s="711"/>
      <c r="V26" s="710"/>
      <c r="W26" s="711"/>
      <c r="X26" s="712"/>
      <c r="Y26" s="349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95"/>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95"/>
      <c r="Z27" s="1490" t="str">
        <f t="shared" ref="Z27:Z40" si="13">Q27</f>
        <v>临街状况</v>
      </c>
      <c r="AA27" s="1487">
        <f t="shared" si="3"/>
        <v>1</v>
      </c>
      <c r="AB27" s="1487">
        <f t="shared" si="4"/>
        <v>1</v>
      </c>
      <c r="AC27" s="1487">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95"/>
      <c r="Q28" s="1486" t="str">
        <f t="shared" si="8"/>
        <v>毗邻道路的类型与等级</v>
      </c>
      <c r="R28" s="714" t="s">
        <v>17</v>
      </c>
      <c r="S28" s="715">
        <f t="shared" si="10"/>
        <v>100</v>
      </c>
      <c r="T28" s="714" t="s">
        <v>17</v>
      </c>
      <c r="U28" s="715">
        <f t="shared" si="11"/>
        <v>100</v>
      </c>
      <c r="V28" s="714" t="s">
        <v>17</v>
      </c>
      <c r="W28" s="715">
        <f t="shared" si="12"/>
        <v>100</v>
      </c>
      <c r="X28" s="1489"/>
      <c r="Y28" s="3495"/>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900"/>
      <c r="M29" s="2894"/>
      <c r="N29" s="2894"/>
      <c r="O29" s="2952"/>
      <c r="P29" s="3495"/>
      <c r="Q29" s="1486"/>
      <c r="R29" s="714"/>
      <c r="S29" s="715"/>
      <c r="T29" s="714"/>
      <c r="U29" s="715"/>
      <c r="V29" s="714"/>
      <c r="W29" s="715"/>
      <c r="X29" s="1489"/>
      <c r="Y29" s="3495"/>
      <c r="Z29" s="1490"/>
      <c r="AA29" s="1487">
        <v>1</v>
      </c>
      <c r="AB29" s="1487">
        <v>1</v>
      </c>
      <c r="AC29" s="1487">
        <v>1</v>
      </c>
    </row>
    <row r="30" spans="1:29" ht="15">
      <c r="A30" s="387"/>
      <c r="B30" s="610" t="s">
        <v>2330</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95"/>
      <c r="Q30" s="1486" t="str">
        <f t="shared" si="8"/>
        <v>土地级别</v>
      </c>
      <c r="R30" s="714" t="s">
        <v>17</v>
      </c>
      <c r="S30" s="715">
        <f t="shared" si="10"/>
        <v>100</v>
      </c>
      <c r="T30" s="714" t="s">
        <v>17</v>
      </c>
      <c r="U30" s="715">
        <f t="shared" si="11"/>
        <v>100</v>
      </c>
      <c r="V30" s="714" t="s">
        <v>17</v>
      </c>
      <c r="W30" s="715">
        <f t="shared" si="12"/>
        <v>100</v>
      </c>
      <c r="X30" s="1489"/>
      <c r="Y30" s="3495"/>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95"/>
      <c r="Q31" s="1486">
        <f t="shared" si="8"/>
        <v>111</v>
      </c>
      <c r="R31" s="714" t="s">
        <v>17</v>
      </c>
      <c r="S31" s="715">
        <f t="shared" si="10"/>
        <v>100</v>
      </c>
      <c r="T31" s="714" t="s">
        <v>17</v>
      </c>
      <c r="U31" s="715">
        <f t="shared" si="11"/>
        <v>100</v>
      </c>
      <c r="V31" s="714" t="s">
        <v>17</v>
      </c>
      <c r="W31" s="715">
        <f t="shared" si="12"/>
        <v>100</v>
      </c>
      <c r="X31" s="1489"/>
      <c r="Y31" s="3495"/>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50" t="s">
        <v>2145</v>
      </c>
      <c r="Q32" s="1486">
        <f t="shared" si="8"/>
        <v>111</v>
      </c>
      <c r="R32" s="714" t="s">
        <v>17</v>
      </c>
      <c r="S32" s="715">
        <f t="shared" si="10"/>
        <v>100</v>
      </c>
      <c r="T32" s="714" t="s">
        <v>17</v>
      </c>
      <c r="U32" s="715">
        <f t="shared" si="11"/>
        <v>100</v>
      </c>
      <c r="V32" s="714" t="s">
        <v>17</v>
      </c>
      <c r="W32" s="715">
        <f t="shared" si="12"/>
        <v>100</v>
      </c>
      <c r="X32" s="1489"/>
      <c r="Y32" s="3499" t="s">
        <v>2145</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9"/>
      <c r="Q33" s="1486">
        <f t="shared" si="8"/>
        <v>111</v>
      </c>
      <c r="R33" s="717" t="s">
        <v>17</v>
      </c>
      <c r="S33" s="718">
        <f t="shared" si="10"/>
        <v>100</v>
      </c>
      <c r="T33" s="717" t="s">
        <v>17</v>
      </c>
      <c r="U33" s="718">
        <f t="shared" si="11"/>
        <v>100</v>
      </c>
      <c r="V33" s="717" t="s">
        <v>17</v>
      </c>
      <c r="W33" s="718">
        <f t="shared" si="12"/>
        <v>100</v>
      </c>
      <c r="X33" s="719"/>
      <c r="Y33" s="3499"/>
      <c r="Z33" s="720">
        <f t="shared" si="13"/>
        <v>111</v>
      </c>
      <c r="AA33" s="1487">
        <f t="shared" si="3"/>
        <v>1</v>
      </c>
      <c r="AB33" s="1487">
        <f t="shared" si="4"/>
        <v>1</v>
      </c>
      <c r="AC33" s="1487">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9"/>
      <c r="Q34" s="1486" t="str">
        <f>B34</f>
        <v>宗地面积</v>
      </c>
      <c r="R34" s="714" t="s">
        <v>17</v>
      </c>
      <c r="S34" s="715" t="e">
        <f t="shared" si="10"/>
        <v>#N/A</v>
      </c>
      <c r="T34" s="714" t="s">
        <v>17</v>
      </c>
      <c r="U34" s="715" t="e">
        <f t="shared" si="11"/>
        <v>#N/A</v>
      </c>
      <c r="V34" s="714" t="s">
        <v>17</v>
      </c>
      <c r="W34" s="715" t="e">
        <f t="shared" si="12"/>
        <v>#N/A</v>
      </c>
      <c r="X34" s="1489"/>
      <c r="Y34" s="3499"/>
      <c r="Z34" s="1490" t="str">
        <f t="shared" si="13"/>
        <v>宗地面积</v>
      </c>
      <c r="AA34" s="1487" t="e">
        <f t="shared" si="3"/>
        <v>#N/A</v>
      </c>
      <c r="AB34" s="1487" t="e">
        <f t="shared" si="4"/>
        <v>#N/A</v>
      </c>
      <c r="AC34" s="1487" t="e">
        <f t="shared" si="5"/>
        <v>#N/A</v>
      </c>
    </row>
    <row r="35" spans="1:31" ht="15">
      <c r="A35" s="431"/>
      <c r="B35" s="381" t="s">
        <v>2332</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99"/>
      <c r="Q35" s="1486" t="str">
        <f t="shared" ref="Q35:Q40" si="14">B35</f>
        <v>宗地形状</v>
      </c>
      <c r="R35" s="714" t="s">
        <v>17</v>
      </c>
      <c r="S35" s="715">
        <f t="shared" si="10"/>
        <v>100</v>
      </c>
      <c r="T35" s="714" t="s">
        <v>17</v>
      </c>
      <c r="U35" s="715">
        <f t="shared" si="11"/>
        <v>100</v>
      </c>
      <c r="V35" s="714" t="s">
        <v>17</v>
      </c>
      <c r="W35" s="715">
        <f t="shared" si="12"/>
        <v>100</v>
      </c>
      <c r="X35" s="1489"/>
      <c r="Y35" s="3499"/>
      <c r="Z35" s="1490" t="str">
        <f t="shared" si="13"/>
        <v>宗地形状</v>
      </c>
      <c r="AA35" s="1487">
        <f t="shared" si="3"/>
        <v>1</v>
      </c>
      <c r="AB35" s="1487">
        <f t="shared" si="4"/>
        <v>1</v>
      </c>
      <c r="AC35" s="1487">
        <f t="shared" si="5"/>
        <v>1</v>
      </c>
    </row>
    <row r="36" spans="1:31" s="113" customFormat="1" ht="15">
      <c r="A36" s="432"/>
      <c r="B36" s="381" t="s">
        <v>2334</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99"/>
      <c r="Q36" s="1486"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2335</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99" t="s">
        <v>2145</v>
      </c>
      <c r="Q37" s="1486" t="str">
        <f t="shared" si="14"/>
        <v>工程地质条件</v>
      </c>
      <c r="R37" s="714" t="s">
        <v>17</v>
      </c>
      <c r="S37" s="715">
        <f t="shared" si="10"/>
        <v>100</v>
      </c>
      <c r="T37" s="714" t="s">
        <v>17</v>
      </c>
      <c r="U37" s="715">
        <f t="shared" si="11"/>
        <v>100</v>
      </c>
      <c r="V37" s="714" t="s">
        <v>17</v>
      </c>
      <c r="W37" s="715">
        <f t="shared" si="12"/>
        <v>100</v>
      </c>
      <c r="X37" s="1489"/>
      <c r="Y37" s="3499" t="s">
        <v>2145</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9"/>
      <c r="Q38" s="1486">
        <f t="shared" si="14"/>
        <v>111</v>
      </c>
      <c r="R38" s="714" t="s">
        <v>17</v>
      </c>
      <c r="S38" s="715">
        <f t="shared" si="10"/>
        <v>100</v>
      </c>
      <c r="T38" s="714" t="s">
        <v>17</v>
      </c>
      <c r="U38" s="715">
        <f t="shared" si="11"/>
        <v>100</v>
      </c>
      <c r="V38" s="714" t="s">
        <v>17</v>
      </c>
      <c r="W38" s="715">
        <f t="shared" si="12"/>
        <v>100</v>
      </c>
      <c r="X38" s="1489"/>
      <c r="Y38" s="3499"/>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9"/>
      <c r="Q39" s="1486">
        <f t="shared" si="14"/>
        <v>111</v>
      </c>
      <c r="R39" s="714" t="s">
        <v>17</v>
      </c>
      <c r="S39" s="715">
        <f t="shared" si="10"/>
        <v>100</v>
      </c>
      <c r="T39" s="714" t="s">
        <v>17</v>
      </c>
      <c r="U39" s="715">
        <f t="shared" si="11"/>
        <v>100</v>
      </c>
      <c r="V39" s="714" t="s">
        <v>17</v>
      </c>
      <c r="W39" s="715">
        <f t="shared" si="12"/>
        <v>100</v>
      </c>
      <c r="X39" s="1489"/>
      <c r="Y39" s="3499"/>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9"/>
      <c r="Q40" s="1486">
        <f t="shared" si="14"/>
        <v>111</v>
      </c>
      <c r="R40" s="717" t="s">
        <v>17</v>
      </c>
      <c r="S40" s="718">
        <f t="shared" si="10"/>
        <v>100</v>
      </c>
      <c r="T40" s="717" t="s">
        <v>17</v>
      </c>
      <c r="U40" s="718">
        <f t="shared" si="11"/>
        <v>100</v>
      </c>
      <c r="V40" s="717" t="s">
        <v>17</v>
      </c>
      <c r="W40" s="718">
        <f t="shared" si="12"/>
        <v>100</v>
      </c>
      <c r="X40" s="719"/>
      <c r="Y40" s="3499"/>
      <c r="Z40" s="720">
        <f t="shared" si="13"/>
        <v>111</v>
      </c>
      <c r="AA40" s="1487">
        <f t="shared" si="3"/>
        <v>1</v>
      </c>
      <c r="AB40" s="1487">
        <f t="shared" si="4"/>
        <v>1</v>
      </c>
      <c r="AC40" s="1487">
        <f t="shared" si="5"/>
        <v>1</v>
      </c>
    </row>
    <row r="41" spans="1:31" ht="15">
      <c r="A41" s="438" t="s">
        <v>2300</v>
      </c>
      <c r="B41" s="2118" t="s">
        <v>2379</v>
      </c>
      <c r="C41" s="638" t="s">
        <v>1</v>
      </c>
      <c r="D41" s="440"/>
      <c r="E41" s="441"/>
      <c r="F41" s="442"/>
      <c r="G41" s="443"/>
      <c r="H41" s="444"/>
      <c r="I41" s="441"/>
      <c r="J41" s="444"/>
      <c r="K41" s="723"/>
      <c r="L41" s="2902"/>
      <c r="M41" s="2894"/>
      <c r="N41" s="2894"/>
      <c r="O41" s="2903"/>
      <c r="P41" s="3492" t="str">
        <f>A41</f>
        <v>成交单价</v>
      </c>
      <c r="Q41" s="3492"/>
      <c r="R41" s="3523">
        <f>E41</f>
        <v>0</v>
      </c>
      <c r="S41" s="3523"/>
      <c r="T41" s="3523">
        <f>G41</f>
        <v>0</v>
      </c>
      <c r="U41" s="3523"/>
      <c r="V41" s="3523">
        <f>I41</f>
        <v>0</v>
      </c>
      <c r="W41" s="3523"/>
      <c r="X41" s="699"/>
      <c r="Y41" s="721"/>
      <c r="Z41" s="699"/>
      <c r="AA41" s="699"/>
      <c r="AB41" s="699"/>
      <c r="AC41" s="699"/>
    </row>
    <row r="42" spans="1:31" ht="15.75" thickBot="1">
      <c r="A42" s="445" t="s">
        <v>2249</v>
      </c>
      <c r="B42" s="639"/>
      <c r="C42" s="448" t="e">
        <f>R43</f>
        <v>#DIV/0!</v>
      </c>
      <c r="D42" s="2488" t="s">
        <v>2639</v>
      </c>
      <c r="E42" s="448" t="e">
        <f>R42</f>
        <v>#DIV/0!</v>
      </c>
      <c r="F42" s="2489"/>
      <c r="G42" s="447" t="e">
        <f>T42</f>
        <v>#DIV/0!</v>
      </c>
      <c r="H42" s="2489"/>
      <c r="I42" s="448" t="e">
        <f>V42</f>
        <v>#DIV/0!</v>
      </c>
      <c r="J42" s="2489"/>
      <c r="K42" s="2491">
        <f>F42+H42+J42</f>
        <v>0</v>
      </c>
      <c r="L42" s="2902"/>
      <c r="M42" s="2894"/>
      <c r="N42" s="2894"/>
      <c r="O42" s="2903"/>
      <c r="P42" s="3492" t="str">
        <f>A42</f>
        <v>比较价值（元/平方米）</v>
      </c>
      <c r="Q42" s="3492"/>
      <c r="R42" s="3552" t="e">
        <f>ROUND(PRODUCT(R41,AA7:AA40),0)</f>
        <v>#DIV/0!</v>
      </c>
      <c r="S42" s="3552"/>
      <c r="T42" s="3552" t="e">
        <f>ROUND(PRODUCT(T41,AB7:AB40),0)</f>
        <v>#DIV/0!</v>
      </c>
      <c r="U42" s="3552"/>
      <c r="V42" s="3552" t="e">
        <f>ROUND(PRODUCT(V41,AC7:AC40),0)</f>
        <v>#DIV/0!</v>
      </c>
      <c r="W42" s="355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89" t="str">
        <f>A43</f>
        <v>估价对象XX用房的比较价值（楼面单价，元/平方米）</v>
      </c>
      <c r="Q43" s="3490"/>
      <c r="R43" s="3553" t="e">
        <f>ROUND(IF(D42="简单平均",AVERAGE(R42:W42),R42*F42+T42*H42+V42*J42),0)</f>
        <v>#DIV/0!</v>
      </c>
      <c r="S43" s="3553"/>
      <c r="T43" s="3553"/>
      <c r="U43" s="3553"/>
      <c r="V43" s="3553"/>
      <c r="W43" s="3553"/>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19" t="s">
        <v>2340</v>
      </c>
      <c r="D50" s="2120" t="s">
        <v>2341</v>
      </c>
      <c r="E50" s="642" t="s">
        <v>2342</v>
      </c>
      <c r="F50" s="643" t="s">
        <v>2343</v>
      </c>
      <c r="G50" s="3507" t="s">
        <v>2344</v>
      </c>
      <c r="H50" s="3554"/>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9808.48</v>
      </c>
      <c r="F51" s="647" t="e">
        <f t="shared" ref="F51:F60" si="15">ROUND(B51*E51/10000,0)</f>
        <v>#DIV/0!</v>
      </c>
      <c r="G51" s="3503"/>
      <c r="H51" s="3492"/>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3"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10112.900000000001</v>
      </c>
      <c r="F59" s="647" t="e">
        <f t="shared" si="15"/>
        <v>#DIV/0!</v>
      </c>
      <c r="G59" s="2123"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4"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2435.9</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2361</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2381</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2383</v>
      </c>
      <c r="B1" s="203"/>
      <c r="C1" s="207" t="s">
        <v>2384</v>
      </c>
      <c r="D1" s="348">
        <f>SUM(D29:D30,D33:D39)</f>
        <v>0</v>
      </c>
      <c r="E1" s="2131"/>
      <c r="F1" s="2131"/>
      <c r="G1" s="2131"/>
      <c r="H1" s="2131"/>
      <c r="I1" s="2131"/>
      <c r="J1" s="2131"/>
      <c r="K1" s="1232"/>
      <c r="L1" s="2132" t="s">
        <v>2385</v>
      </c>
      <c r="M1" s="975">
        <f>SUMPRODUCT((区片价!B5:B9=I2)*(区片价!C3:F3=E2)*(区片价!C5:F9))</f>
        <v>0</v>
      </c>
      <c r="N1" s="978">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7" t="s">
        <v>2391</v>
      </c>
      <c r="B2" s="210" t="e">
        <f>C26</f>
        <v>#DIV/0!</v>
      </c>
      <c r="C2" s="2135" t="s">
        <v>2392</v>
      </c>
      <c r="D2" s="2136" t="s">
        <v>2393</v>
      </c>
      <c r="E2" s="2137"/>
      <c r="F2" s="2136" t="s">
        <v>2394</v>
      </c>
      <c r="G2" s="2138">
        <f>IF(E2="商业",项目基本情况!B37,IF(E2="办公",项目基本情况!C37,IF(E2="住宅",项目基本情况!D37,项目基本情况!E37)))</f>
        <v>0</v>
      </c>
      <c r="H2" s="2136" t="s">
        <v>2395</v>
      </c>
      <c r="I2" s="2138">
        <f>IF(E2="商业",项目基本情况!B38,IF(E2="办公",项目基本情况!C38,IF(E2="住宅",项目基本情况!D38,项目基本情况!E38)))</f>
        <v>0</v>
      </c>
      <c r="J2" s="2139"/>
      <c r="K2" s="1232"/>
      <c r="L2" s="2140" t="s">
        <v>2396</v>
      </c>
      <c r="M2" s="976">
        <f>SUMPRODUCT((区片价!B10:B28=I2)*(区片价!C3:F3=E2)*(区片价!C10:F28))</f>
        <v>0</v>
      </c>
      <c r="N2" s="978">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2397</v>
      </c>
      <c r="B3" s="210" t="e">
        <f>ROUND(B2*10000/D1,0)</f>
        <v>#DIV/0!</v>
      </c>
      <c r="C3" s="2135" t="s">
        <v>2398</v>
      </c>
      <c r="D3" s="2136" t="s">
        <v>2399</v>
      </c>
      <c r="E3" s="2141"/>
      <c r="F3" s="2142" t="s">
        <v>2400</v>
      </c>
      <c r="G3" s="837">
        <f>IF(F3="宗地容积率",'数据-汇总表'!I4,IF(F3="估价对象容积率",'数据-汇总表'!I6,'数据-汇总表'!I7))</f>
        <v>4.03</v>
      </c>
      <c r="H3" s="175" t="s">
        <v>2401</v>
      </c>
      <c r="I3" s="862"/>
      <c r="J3" s="2139" t="s">
        <v>2402</v>
      </c>
      <c r="K3" s="1232"/>
      <c r="L3" s="2140" t="s">
        <v>2403</v>
      </c>
      <c r="M3" s="976">
        <f>SUMPRODUCT((区片价!B29:B48=I2)*(区片价!C3:F3=E2)*(区片价!C29:F48))</f>
        <v>0</v>
      </c>
      <c r="N3" s="978">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2"/>
      <c r="B4" s="3563"/>
      <c r="C4" s="3563"/>
      <c r="D4" s="3564"/>
      <c r="E4" s="3564"/>
      <c r="F4" s="3564"/>
      <c r="G4" s="3564"/>
      <c r="H4" s="3564"/>
      <c r="I4" s="3564"/>
      <c r="J4" s="3565"/>
      <c r="K4" s="1232"/>
      <c r="L4" s="2140" t="s">
        <v>2404</v>
      </c>
      <c r="M4" s="976">
        <f>SUMPRODUCT((区片价!B49:B75=I2)*(区片价!C3:F3=E2)*(区片价!C49:F75))</f>
        <v>0</v>
      </c>
      <c r="N4" s="978">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8" t="e">
        <f>ROUND(IF(E2="商业",C6*C7+C16,(IF(E2="住宅",C6*C12+C16,C6+C16))),0)</f>
        <v>#DIV/0!</v>
      </c>
      <c r="D5" s="1473" t="e">
        <f>ROUND(C6+C16,0)</f>
        <v>#DIV/0!</v>
      </c>
      <c r="E5" s="1473"/>
      <c r="F5" s="2145"/>
      <c r="G5" s="2146"/>
      <c r="H5" s="2146"/>
      <c r="I5" s="2146"/>
      <c r="J5" s="2147"/>
      <c r="K5" s="2148"/>
      <c r="L5" s="2140" t="s">
        <v>2406</v>
      </c>
      <c r="M5" s="976">
        <f>SUMPRODUCT((区片价!B76:B109=I2)*(区片价!C3:F3=E2)*(区片价!C76:F109))</f>
        <v>0</v>
      </c>
      <c r="N5" s="978">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9">
        <f>SUMIF(L1:L12,G2,M1:M12)</f>
        <v>0</v>
      </c>
      <c r="D6" s="2155" t="s">
        <v>2409</v>
      </c>
      <c r="E6" s="2156"/>
      <c r="F6" s="2156"/>
      <c r="G6" s="2157"/>
      <c r="H6" s="2157"/>
      <c r="I6" s="2157"/>
      <c r="J6" s="2158"/>
      <c r="K6" s="1518"/>
      <c r="L6" s="2140" t="s">
        <v>2410</v>
      </c>
      <c r="M6" s="976">
        <f>SUMPRODUCT((区片价!B110:B157=I2)*(区片价!C3:F3=E2)*(区片价!C110:F157))</f>
        <v>0</v>
      </c>
      <c r="N6" s="978">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66" t="str">
        <f>IF(E2="商业",IF(C8="不临58条商业街","",2),"")</f>
        <v/>
      </c>
      <c r="B7" s="2159" t="s">
        <v>2411</v>
      </c>
      <c r="C7" s="840" t="e">
        <f>IF(C8="不临58条商业街",1,ROUND(1+(1.6*E8+1.2*E9+0.8*E10+0.4*E11)*C9,4))</f>
        <v>#DIV/0!</v>
      </c>
      <c r="D7" s="2160" t="s">
        <v>2412</v>
      </c>
      <c r="E7" s="863"/>
      <c r="F7" s="2161"/>
      <c r="G7" s="2162"/>
      <c r="H7" s="2162"/>
      <c r="I7" s="2162"/>
      <c r="J7" s="2163"/>
      <c r="K7" s="1518"/>
      <c r="L7" s="2140" t="s">
        <v>2413</v>
      </c>
      <c r="M7" s="976">
        <f>SUMPRODUCT((区片价!B158:B205=I2)*(区片价!C3:F3=E2)*(区片价!C158:F205))</f>
        <v>0</v>
      </c>
      <c r="N7" s="978">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2414</v>
      </c>
      <c r="X7" s="1328">
        <f>G2</f>
        <v>0</v>
      </c>
      <c r="Y7" s="1328" t="s">
        <v>2415</v>
      </c>
      <c r="Z7" s="1329">
        <f>G3</f>
        <v>4.03</v>
      </c>
      <c r="AA7" s="1330"/>
      <c r="AB7" s="1330"/>
      <c r="AC7" s="1331"/>
      <c r="AD7" s="1332"/>
      <c r="AE7" s="1332"/>
      <c r="AF7" s="1332"/>
      <c r="AG7" s="1332"/>
      <c r="AH7" s="1332"/>
      <c r="AI7" s="1332"/>
      <c r="AJ7" s="1333"/>
    </row>
    <row r="8" spans="1:36" ht="15">
      <c r="A8" s="3567"/>
      <c r="B8" s="175" t="s">
        <v>2416</v>
      </c>
      <c r="C8" s="2164"/>
      <c r="D8" s="841" t="s">
        <v>139</v>
      </c>
      <c r="E8" s="842" t="e">
        <f>ROUND(C11/E7,4)</f>
        <v>#DIV/0!</v>
      </c>
      <c r="F8" s="2165" t="s">
        <v>2417</v>
      </c>
      <c r="G8" s="2166"/>
      <c r="H8" s="2166"/>
      <c r="I8" s="2166"/>
      <c r="J8" s="2167"/>
      <c r="K8" s="1232"/>
      <c r="L8" s="2140" t="s">
        <v>2418</v>
      </c>
      <c r="M8" s="976">
        <f>SUMPRODUCT((区片价!B206:B244=I2)*(区片价!C3:F3=E2)*(区片价!C206:F244))</f>
        <v>0</v>
      </c>
      <c r="N8" s="978">
        <f>SUMPRODUCT((因素修正幅度!B206:B244=I2)*(因素修正幅度!C3:F3=E2)*(因素修正幅度!C206:F244))</f>
        <v>0</v>
      </c>
      <c r="O8" s="1232"/>
      <c r="P8" s="1232"/>
      <c r="Q8" s="1232"/>
      <c r="R8" s="1326">
        <v>7</v>
      </c>
      <c r="S8" s="1327"/>
      <c r="T8" s="1326" t="e">
        <f t="shared" si="0"/>
        <v>#DIV/0!</v>
      </c>
      <c r="U8" s="1327"/>
      <c r="V8" s="1326" t="e">
        <f t="shared" si="1"/>
        <v>#DIV/0!</v>
      </c>
      <c r="W8" s="3559" t="s">
        <v>2419</v>
      </c>
      <c r="X8" s="3560"/>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67"/>
      <c r="B9" s="175" t="s">
        <v>2432</v>
      </c>
      <c r="C9" s="843">
        <f>SUMIF(修正!C71:C138,C8,修正!E71:E138)</f>
        <v>0</v>
      </c>
      <c r="D9" s="176" t="s">
        <v>140</v>
      </c>
      <c r="E9" s="176" t="e">
        <f>ROUND(C11/E7,4)</f>
        <v>#DIV/0!</v>
      </c>
      <c r="F9" s="2165" t="s">
        <v>2433</v>
      </c>
      <c r="G9" s="2166"/>
      <c r="H9" s="2166"/>
      <c r="I9" s="2166"/>
      <c r="J9" s="2167"/>
      <c r="K9" s="1232"/>
      <c r="L9" s="2140" t="s">
        <v>2434</v>
      </c>
      <c r="M9" s="976">
        <f>SUMPRODUCT((区片价!B245:B289=I2)*(区片价!C3:F3=E2)*(区片价!C245:F289))</f>
        <v>0</v>
      </c>
      <c r="N9" s="978">
        <f>SUMPRODUCT((因素修正幅度!B245:B289=I2)*(因素修正幅度!C3:F3=E2)*(因素修正幅度!C245:F289))</f>
        <v>0</v>
      </c>
      <c r="O9" s="1232"/>
      <c r="P9" s="1232"/>
      <c r="Q9" s="1232"/>
      <c r="R9" s="1326">
        <v>8</v>
      </c>
      <c r="S9" s="1327"/>
      <c r="T9" s="1326" t="e">
        <f t="shared" si="0"/>
        <v>#DIV/0!</v>
      </c>
      <c r="U9" s="1327"/>
      <c r="V9" s="1326" t="e">
        <f t="shared" si="1"/>
        <v>#DIV/0!</v>
      </c>
      <c r="W9" s="3561"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7"/>
      <c r="B10" s="175" t="s">
        <v>2437</v>
      </c>
      <c r="C10" s="176">
        <f>SUMIF(修正!C71:C138,C8,修正!F71:F138)</f>
        <v>0</v>
      </c>
      <c r="D10" s="176" t="s">
        <v>141</v>
      </c>
      <c r="E10" s="176" t="e">
        <f>ROUND(C11/E7,4)</f>
        <v>#DIV/0!</v>
      </c>
      <c r="F10" s="2165" t="s">
        <v>2438</v>
      </c>
      <c r="G10" s="2166"/>
      <c r="H10" s="2166"/>
      <c r="I10" s="2166"/>
      <c r="J10" s="2167"/>
      <c r="K10" s="1232"/>
      <c r="L10" s="2140" t="s">
        <v>2439</v>
      </c>
      <c r="M10" s="976">
        <f>SUMPRODUCT((区片价!B290:B316=I2)*(区片价!C3:F3=E2)*(区片价!C290:F316))</f>
        <v>0</v>
      </c>
      <c r="N10" s="978">
        <f>SUMPRODUCT((因素修正幅度!B290:B316=I2)*(因素修正幅度!C3:F3=E2)*(因素修正幅度!C290:F316))</f>
        <v>0</v>
      </c>
      <c r="O10" s="1232"/>
      <c r="P10" s="1232"/>
      <c r="Q10" s="1232"/>
      <c r="R10" s="1326">
        <v>9</v>
      </c>
      <c r="S10" s="1327"/>
      <c r="T10" s="1326" t="e">
        <f t="shared" si="0"/>
        <v>#DIV/0!</v>
      </c>
      <c r="U10" s="1327"/>
      <c r="V10" s="1326" t="e">
        <f t="shared" si="1"/>
        <v>#DIV/0!</v>
      </c>
      <c r="W10" s="356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7"/>
      <c r="B11" s="2168" t="s">
        <v>2440</v>
      </c>
      <c r="C11" s="844">
        <f>C10/4</f>
        <v>0</v>
      </c>
      <c r="D11" s="844" t="s">
        <v>142</v>
      </c>
      <c r="E11" s="844" t="e">
        <f>ROUND(C11/E7,4)</f>
        <v>#DIV/0!</v>
      </c>
      <c r="F11" s="2169" t="s">
        <v>2441</v>
      </c>
      <c r="G11" s="2170"/>
      <c r="H11" s="2170"/>
      <c r="I11" s="2170"/>
      <c r="J11" s="2171"/>
      <c r="K11" s="1232"/>
      <c r="L11" s="2140" t="s">
        <v>2442</v>
      </c>
      <c r="M11" s="976">
        <f>SUMPRODUCT((区片价!B317:B337=I2)*(区片价!C3:F3=E2)*(区片价!C317:F337))</f>
        <v>0</v>
      </c>
      <c r="N11" s="978">
        <f>SUMPRODUCT((因素修正幅度!B317:B337=I2)*(因素修正幅度!C3:F3=E2)*(因素修正幅度!C317:F337))</f>
        <v>0</v>
      </c>
      <c r="O11" s="1232"/>
      <c r="P11" s="1232"/>
      <c r="Q11" s="1232"/>
      <c r="R11" s="1326">
        <v>10</v>
      </c>
      <c r="S11" s="1327"/>
      <c r="T11" s="1326" t="e">
        <f t="shared" si="0"/>
        <v>#DIV/0!</v>
      </c>
      <c r="U11" s="1327"/>
      <c r="V11" s="1326" t="e">
        <f t="shared" si="1"/>
        <v>#DIV/0!</v>
      </c>
      <c r="W11" s="3561" t="s">
        <v>2443</v>
      </c>
      <c r="X11" s="1338" t="s">
        <v>2444</v>
      </c>
      <c r="Y11" s="1339">
        <f>$G$3</f>
        <v>4.03</v>
      </c>
      <c r="Z11" s="1339">
        <f t="shared" ref="Z11:AJ11" si="3">$G$3</f>
        <v>4.03</v>
      </c>
      <c r="AA11" s="1339">
        <f t="shared" si="3"/>
        <v>4.03</v>
      </c>
      <c r="AB11" s="1339">
        <f t="shared" si="3"/>
        <v>4.03</v>
      </c>
      <c r="AC11" s="1339">
        <f t="shared" si="3"/>
        <v>4.03</v>
      </c>
      <c r="AD11" s="1339">
        <f t="shared" si="3"/>
        <v>4.03</v>
      </c>
      <c r="AE11" s="1339">
        <f t="shared" si="3"/>
        <v>4.03</v>
      </c>
      <c r="AF11" s="1339">
        <f t="shared" si="3"/>
        <v>4.03</v>
      </c>
      <c r="AG11" s="1339">
        <f t="shared" si="3"/>
        <v>4.03</v>
      </c>
      <c r="AH11" s="1339">
        <f t="shared" si="3"/>
        <v>4.03</v>
      </c>
      <c r="AI11" s="1339">
        <f t="shared" si="3"/>
        <v>4.03</v>
      </c>
      <c r="AJ11" s="1339">
        <f t="shared" si="3"/>
        <v>4.03</v>
      </c>
    </row>
    <row r="12" spans="1:36" ht="25.5" thickBot="1">
      <c r="A12" s="3566" t="s">
        <v>2445</v>
      </c>
      <c r="B12" s="2172" t="s">
        <v>2446</v>
      </c>
      <c r="C12" s="840">
        <f>ROUND(C15*D15*E15*F15*G15*H15*I15*J15,4)</f>
        <v>1</v>
      </c>
      <c r="D12" s="2173" t="s">
        <v>2447</v>
      </c>
      <c r="E12" s="2174"/>
      <c r="F12" s="2174"/>
      <c r="G12" s="2175"/>
      <c r="H12" s="2175"/>
      <c r="I12" s="2175"/>
      <c r="J12" s="2176"/>
      <c r="K12" s="1232"/>
      <c r="L12" s="2177" t="s">
        <v>2448</v>
      </c>
      <c r="M12" s="977">
        <f>SUMPRODUCT((区片价!B338:B344=I2)*(区片价!C3:F3=E2)*(区片价!C338:F344))</f>
        <v>0</v>
      </c>
      <c r="N12" s="978">
        <f>SUMPRODUCT((因素修正幅度!B338:B344=I2)*(因素修正幅度!C3:F3=E2)*(因素修正幅度!C338:F344))</f>
        <v>0</v>
      </c>
      <c r="O12" s="1232"/>
      <c r="P12" s="1232"/>
      <c r="Q12" s="1232"/>
      <c r="R12" s="1326">
        <v>11</v>
      </c>
      <c r="S12" s="1327"/>
      <c r="T12" s="1326" t="e">
        <f t="shared" si="0"/>
        <v>#DIV/0!</v>
      </c>
      <c r="U12" s="1327"/>
      <c r="V12" s="1326" t="e">
        <f t="shared" si="1"/>
        <v>#DIV/0!</v>
      </c>
      <c r="W12" s="3561"/>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8"/>
      <c r="B13" s="2178" t="s">
        <v>2450</v>
      </c>
      <c r="C13" s="2179" t="s">
        <v>2451</v>
      </c>
      <c r="D13" s="1484" t="s">
        <v>2452</v>
      </c>
      <c r="E13" s="1484" t="s">
        <v>2453</v>
      </c>
      <c r="F13" s="30"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61"/>
      <c r="X13" s="1340"/>
      <c r="Y13" s="1337">
        <f>(-0.163*(Y12^2)-0.59*Y12+7617)*(10^(-4))/Y11</f>
        <v>0.1890074441687345</v>
      </c>
      <c r="Z13" s="1337">
        <f t="shared" ref="Z13:AJ13" si="5">(-0.163*(Z12^2)-0.59*Z12+7617)*(10^(-4))/Z11</f>
        <v>0.1890074441687345</v>
      </c>
      <c r="AA13" s="1337">
        <f t="shared" si="5"/>
        <v>0.1890074441687345</v>
      </c>
      <c r="AB13" s="1337">
        <f t="shared" si="5"/>
        <v>0.1890074441687345</v>
      </c>
      <c r="AC13" s="1337">
        <f t="shared" si="5"/>
        <v>0.1890074441687345</v>
      </c>
      <c r="AD13" s="1337">
        <f t="shared" si="5"/>
        <v>0.1890074441687345</v>
      </c>
      <c r="AE13" s="1337">
        <f t="shared" si="5"/>
        <v>0.1890074441687345</v>
      </c>
      <c r="AF13" s="1337">
        <f t="shared" si="5"/>
        <v>0.1890074441687345</v>
      </c>
      <c r="AG13" s="1337">
        <f t="shared" si="5"/>
        <v>0.1890074441687345</v>
      </c>
      <c r="AH13" s="1337">
        <f t="shared" si="5"/>
        <v>0.1890074441687345</v>
      </c>
      <c r="AI13" s="1337">
        <f t="shared" si="5"/>
        <v>0.1890074441687345</v>
      </c>
      <c r="AJ13" s="1337">
        <f t="shared" si="5"/>
        <v>0.1890074441687345</v>
      </c>
    </row>
    <row r="14" spans="1:36" ht="15">
      <c r="A14" s="3568"/>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9"/>
      <c r="B15" s="2190" t="s">
        <v>2457</v>
      </c>
      <c r="C15" s="193">
        <f>IF(C14="有",1.1,1)</f>
        <v>1</v>
      </c>
      <c r="D15" s="193">
        <f>IF(D14="有",1.1,1)</f>
        <v>1</v>
      </c>
      <c r="E15" s="193">
        <f>IF(E14="有",1.1,1)</f>
        <v>1</v>
      </c>
      <c r="F15" s="193">
        <f>IF(F14="500米范围内",1.2,IF(F14="500-1000米",1.1,1))</f>
        <v>1</v>
      </c>
      <c r="G15" s="864">
        <v>1</v>
      </c>
      <c r="H15" s="864">
        <v>1</v>
      </c>
      <c r="I15" s="864">
        <v>1</v>
      </c>
      <c r="J15" s="865">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66" t="s">
        <v>2462</v>
      </c>
      <c r="B16" s="2159" t="s">
        <v>2463</v>
      </c>
      <c r="C16" s="2321" t="e">
        <f>ROUND(IF(F17="与级别开发程度一致",0,(G17-E17)/C17),0)</f>
        <v>#DIV/0!</v>
      </c>
      <c r="D16" s="3582" t="s">
        <v>2467</v>
      </c>
      <c r="E16" s="3583"/>
      <c r="F16" s="3582" t="s">
        <v>2464</v>
      </c>
      <c r="G16" s="3583"/>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70"/>
      <c r="B17" s="2332" t="s">
        <v>2466</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5" t="e">
        <f>ROUND(IF(H19="按公示增长率计算",SUMPRODUCT((地价!A3:A37=YEAR(G19)&amp;"-"&amp;ROUNDUP(MONTH(G19)/3,0))*(地价!X2:AB2=E2)*(地价!X3:AB37)),IF(H19="地价指数",M20/M19,(1+I19)^O19)),4)</f>
        <v>#VALUE!</v>
      </c>
      <c r="D19" s="2201" t="s">
        <v>2471</v>
      </c>
      <c r="E19" s="846">
        <v>41640</v>
      </c>
      <c r="F19" s="2201" t="s">
        <v>2472</v>
      </c>
      <c r="G19" s="847">
        <f>'数据-取费表'!B2</f>
        <v>44818</v>
      </c>
      <c r="H19" s="2202"/>
      <c r="I19" s="848" t="str">
        <f>IF(H19="季度增幅（自定义）",SUMIF(N21:N24,E2,O21:O24),"")</f>
        <v/>
      </c>
      <c r="J19" s="2199"/>
      <c r="K19" s="1239"/>
      <c r="L19" s="2203" t="s">
        <v>2473</v>
      </c>
      <c r="M19" s="1448">
        <f>ROUND(SUMIF(地价!B2:F2,E2,地价!B37:F37),0)</f>
        <v>0</v>
      </c>
      <c r="N19" s="2204" t="s">
        <v>2474</v>
      </c>
      <c r="O19" s="849">
        <f>ROUNDDOWN(DATEDIF(E19,G19,"M")/3,0)</f>
        <v>34</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50" t="e">
        <f>ROUND(POWER(1+G20,J20-I20)*(POWER(1+G20,I20)-1)/(POWER(1+G20,J20)-1),4)</f>
        <v>#DIV/0!</v>
      </c>
      <c r="D20" s="2208" t="s">
        <v>2476</v>
      </c>
      <c r="E20" s="1455">
        <f>存贷款利率!E22/100</f>
        <v>4.3499999999999997E-2</v>
      </c>
      <c r="F20" s="2208" t="s">
        <v>2468</v>
      </c>
      <c r="G20" s="854">
        <f>SUMIF(M26:P26,E2,M28:P28)</f>
        <v>0</v>
      </c>
      <c r="H20" s="2208" t="s">
        <v>2477</v>
      </c>
      <c r="I20" s="855" t="e">
        <f>SUMIF('数据-取费表'!C6:C15,E2,'数据-取费表'!F6:F15)/COUNTIF('数据-取费表'!C6:C15,E2)</f>
        <v>#DIV/0!</v>
      </c>
      <c r="J20" s="856">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7">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v>
      </c>
      <c r="E22" s="837">
        <f>ROUNDDOWN(G3,1)</f>
        <v>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4.0999999999999996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1">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5">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1"/>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2" t="e">
        <f>E30+SUM(I33:I39)</f>
        <v>#DIV/0!</v>
      </c>
      <c r="D27" s="2235"/>
      <c r="E27" s="2236"/>
      <c r="F27" s="2237"/>
      <c r="G27" s="2236"/>
      <c r="H27" s="2236"/>
      <c r="I27" s="2236"/>
      <c r="J27" s="2238"/>
      <c r="K27" s="1232"/>
      <c r="L27" s="2193" t="s">
        <v>2465</v>
      </c>
      <c r="M27" s="843">
        <v>0.25</v>
      </c>
      <c r="N27" s="843">
        <v>0.2</v>
      </c>
      <c r="O27" s="843">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80" t="e">
        <f>ROUND(C5*C18*C19*C20*C21*C24,0)</f>
        <v>#DIV/0!</v>
      </c>
      <c r="D29" s="2246"/>
      <c r="E29" s="860"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3" t="e">
        <f>ROUND(IF(E2="工业",C29*M39,C29*M38),0)</f>
        <v>#DIV/0!</v>
      </c>
      <c r="D30" s="2252"/>
      <c r="E30" s="860"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2498</v>
      </c>
      <c r="D32" s="455" t="s">
        <v>2499</v>
      </c>
      <c r="E32" s="455" t="s">
        <v>2500</v>
      </c>
      <c r="F32" s="348" t="s">
        <v>2508</v>
      </c>
      <c r="G32" s="2261" t="s">
        <v>2498</v>
      </c>
      <c r="H32" s="2261" t="s">
        <v>2499</v>
      </c>
      <c r="I32" s="2261" t="s">
        <v>2500</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79"/>
      <c r="B33" s="2262" t="s">
        <v>2509</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84"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80"/>
      <c r="B34" s="2179" t="s">
        <v>2510</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0"/>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80"/>
      <c r="B35" s="2179" t="s">
        <v>2511</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80"/>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81"/>
      <c r="B36" s="2179" t="s">
        <v>2512</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81"/>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8" t="e">
        <f>ROUND(POWER(1+E41,H41-G41)*(POWER(1+E41,G41)-1)/(POWER(1+E41,H41)-1),4)</f>
        <v>#DIV/0!</v>
      </c>
      <c r="D41" s="176" t="s">
        <v>2468</v>
      </c>
      <c r="E41" s="2319">
        <f>G20</f>
        <v>0</v>
      </c>
      <c r="F41" s="176" t="s">
        <v>2477</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3"/>
      <c r="E46" s="754"/>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8" t="s">
        <v>2524</v>
      </c>
      <c r="F47" s="2280" t="s">
        <v>2525</v>
      </c>
      <c r="G47" s="1485" t="s">
        <v>574</v>
      </c>
      <c r="H47" s="2281" t="s">
        <v>2526</v>
      </c>
      <c r="I47" s="1485" t="s">
        <v>2527</v>
      </c>
      <c r="J47" s="560" t="s">
        <v>2177</v>
      </c>
      <c r="K47" s="560" t="s">
        <v>2178</v>
      </c>
      <c r="L47" s="560" t="s">
        <v>2179</v>
      </c>
      <c r="M47" s="560" t="s">
        <v>2180</v>
      </c>
      <c r="N47" s="560"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3"/>
      <c r="D57" s="753"/>
      <c r="E57" s="754"/>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8" t="s">
        <v>2524</v>
      </c>
      <c r="F58" s="2280" t="s">
        <v>2540</v>
      </c>
      <c r="G58" s="1485" t="s">
        <v>574</v>
      </c>
      <c r="H58" s="2281" t="s">
        <v>2526</v>
      </c>
      <c r="I58" s="1485" t="s">
        <v>2527</v>
      </c>
      <c r="J58" s="560" t="s">
        <v>2177</v>
      </c>
      <c r="K58" s="560" t="s">
        <v>2178</v>
      </c>
      <c r="L58" s="560" t="s">
        <v>2179</v>
      </c>
      <c r="M58" s="560" t="s">
        <v>2180</v>
      </c>
      <c r="N58" s="560"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3"/>
      <c r="D68" s="753"/>
      <c r="E68" s="754"/>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8" t="s">
        <v>2524</v>
      </c>
      <c r="F69" s="2280" t="s">
        <v>2540</v>
      </c>
      <c r="G69" s="1485" t="s">
        <v>574</v>
      </c>
      <c r="H69" s="2281" t="s">
        <v>2526</v>
      </c>
      <c r="I69" s="1485" t="s">
        <v>2527</v>
      </c>
      <c r="J69" s="560" t="s">
        <v>2177</v>
      </c>
      <c r="K69" s="560" t="s">
        <v>2178</v>
      </c>
      <c r="L69" s="560" t="s">
        <v>2179</v>
      </c>
      <c r="M69" s="560" t="s">
        <v>2180</v>
      </c>
      <c r="N69" s="560"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4"/>
      <c r="AK77" s="2200"/>
    </row>
    <row r="78" spans="1:37" ht="24.75" thickBot="1">
      <c r="A78" s="2287" t="s">
        <v>2545</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4"/>
      <c r="AK78" s="2200"/>
    </row>
    <row r="79" spans="1:37" ht="15">
      <c r="A79" s="2275" t="s">
        <v>2546</v>
      </c>
      <c r="B79" s="2276">
        <f>1+E81</f>
        <v>1</v>
      </c>
      <c r="C79" s="753"/>
      <c r="D79" s="753"/>
      <c r="E79" s="754"/>
      <c r="F79" s="2278"/>
      <c r="G79" s="6"/>
      <c r="H79" s="6"/>
      <c r="I79" s="6"/>
      <c r="J79" s="7"/>
      <c r="K79" s="7"/>
      <c r="L79" s="7"/>
      <c r="M79" s="7"/>
      <c r="N79" s="7"/>
      <c r="Z79" s="2134"/>
      <c r="AA79" s="2200"/>
      <c r="AG79" s="1234"/>
      <c r="AK79" s="2200"/>
    </row>
    <row r="80" spans="1:37" ht="24.75">
      <c r="A80" s="2279" t="s">
        <v>2520</v>
      </c>
      <c r="B80" s="1485"/>
      <c r="C80" s="1485" t="s">
        <v>2522</v>
      </c>
      <c r="D80" s="1485" t="s">
        <v>2523</v>
      </c>
      <c r="E80" s="758" t="s">
        <v>2524</v>
      </c>
      <c r="F80" s="2280" t="s">
        <v>2540</v>
      </c>
      <c r="G80" s="1485" t="s">
        <v>574</v>
      </c>
      <c r="H80" s="2281" t="s">
        <v>2526</v>
      </c>
      <c r="I80" s="1485" t="s">
        <v>2527</v>
      </c>
      <c r="J80" s="560" t="s">
        <v>2177</v>
      </c>
      <c r="K80" s="560" t="s">
        <v>2178</v>
      </c>
      <c r="L80" s="560" t="s">
        <v>2179</v>
      </c>
      <c r="M80" s="560" t="s">
        <v>2180</v>
      </c>
      <c r="N80" s="560" t="s">
        <v>2181</v>
      </c>
      <c r="Z80" s="2134"/>
      <c r="AA80" s="2200"/>
      <c r="AG80" s="1234"/>
      <c r="AK80" s="2200"/>
    </row>
    <row r="81" spans="1:37" ht="38.25">
      <c r="A81" s="2279" t="s">
        <v>2547</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4"/>
      <c r="AK82" s="2200"/>
    </row>
    <row r="83" spans="1:37" ht="24">
      <c r="A83" s="2279" t="s">
        <v>2530</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4"/>
      <c r="AK83" s="2200"/>
    </row>
    <row r="84" spans="1:37" ht="14.25">
      <c r="A84" s="2279" t="s">
        <v>2544</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4"/>
      <c r="AK84" s="2200"/>
    </row>
    <row r="85" spans="1:37" ht="25.5">
      <c r="A85" s="2279" t="s">
        <v>2536</v>
      </c>
      <c r="B85" s="1446"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4"/>
      <c r="AK85" s="2200"/>
    </row>
    <row r="86" spans="1:37" ht="25.5">
      <c r="A86" s="2279" t="s">
        <v>2537</v>
      </c>
      <c r="B86" s="1446"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4"/>
      <c r="AK86" s="2200"/>
    </row>
    <row r="87" spans="1:37" ht="24">
      <c r="A87" s="2279" t="s">
        <v>2534</v>
      </c>
      <c r="B87" s="2285" t="s">
        <v>2548</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4"/>
      <c r="AK88" s="2200"/>
    </row>
    <row r="90" spans="1:37">
      <c r="A90" s="3571" t="s">
        <v>2550</v>
      </c>
      <c r="B90" s="3571"/>
      <c r="C90" s="3571"/>
      <c r="D90" s="3571"/>
      <c r="E90" s="3571"/>
      <c r="F90" s="3571"/>
      <c r="G90" s="3571"/>
      <c r="H90" s="3571"/>
      <c r="I90" s="3571"/>
      <c r="J90" s="3571"/>
      <c r="K90" s="2293"/>
      <c r="L90" s="2293"/>
      <c r="M90" s="2293"/>
      <c r="N90" s="2293"/>
    </row>
    <row r="91" spans="1:37">
      <c r="A91" s="3573" t="s">
        <v>2551</v>
      </c>
      <c r="B91" s="3573" t="s">
        <v>2552</v>
      </c>
      <c r="C91" s="2247" t="s">
        <v>2553</v>
      </c>
      <c r="D91" s="2248"/>
      <c r="E91" s="2248"/>
      <c r="F91" s="2248"/>
      <c r="G91" s="2248"/>
      <c r="H91" s="2248"/>
      <c r="I91" s="2248"/>
      <c r="J91" s="2294"/>
      <c r="K91" s="2295"/>
      <c r="L91" s="2295"/>
      <c r="M91" s="2295"/>
      <c r="N91" s="2295"/>
    </row>
    <row r="92" spans="1:37">
      <c r="A92" s="3573"/>
      <c r="B92" s="357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74"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75"/>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75"/>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75"/>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75"/>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75"/>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75"/>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76"/>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74" t="s">
        <v>2555</v>
      </c>
      <c r="B101" s="2300" t="s">
        <v>2556</v>
      </c>
      <c r="C101" s="2301">
        <f>$G$3</f>
        <v>4.03</v>
      </c>
      <c r="D101" s="2301">
        <f t="shared" ref="D101:N101" si="31">$G$3</f>
        <v>4.03</v>
      </c>
      <c r="E101" s="2301">
        <f t="shared" si="31"/>
        <v>4.03</v>
      </c>
      <c r="F101" s="2301">
        <f t="shared" si="31"/>
        <v>4.03</v>
      </c>
      <c r="G101" s="2301">
        <f t="shared" si="31"/>
        <v>4.03</v>
      </c>
      <c r="H101" s="2301">
        <f t="shared" si="31"/>
        <v>4.03</v>
      </c>
      <c r="I101" s="2301">
        <f t="shared" si="31"/>
        <v>4.03</v>
      </c>
      <c r="J101" s="2301">
        <f t="shared" si="31"/>
        <v>4.03</v>
      </c>
      <c r="K101" s="2301">
        <f t="shared" si="31"/>
        <v>4.03</v>
      </c>
      <c r="L101" s="2301">
        <f t="shared" si="31"/>
        <v>4.03</v>
      </c>
      <c r="M101" s="2301">
        <f t="shared" si="31"/>
        <v>4.03</v>
      </c>
      <c r="N101" s="2301">
        <f t="shared" si="31"/>
        <v>4.03</v>
      </c>
    </row>
    <row r="102" spans="1:14">
      <c r="A102" s="3575"/>
      <c r="B102" s="2296">
        <v>1</v>
      </c>
      <c r="C102" s="2297">
        <f>1.9362/C101</f>
        <v>0.48044665012406945</v>
      </c>
      <c r="D102" s="2297">
        <f>1.9362/D101</f>
        <v>0.48044665012406945</v>
      </c>
      <c r="E102" s="2297">
        <f>1.8629/E101</f>
        <v>0.462258064516129</v>
      </c>
      <c r="F102" s="2297">
        <f>1.8629/F101</f>
        <v>0.462258064516129</v>
      </c>
      <c r="G102" s="2297">
        <f>1.8629/G101</f>
        <v>0.462258064516129</v>
      </c>
      <c r="H102" s="2297">
        <f>1.8629/H101</f>
        <v>0.462258064516129</v>
      </c>
      <c r="I102" s="2297">
        <f>1.8629/I101</f>
        <v>0.462258064516129</v>
      </c>
      <c r="J102" s="2297">
        <f>1.942/J101</f>
        <v>0.48188585607940443</v>
      </c>
      <c r="K102" s="2297">
        <f>1.942/K101</f>
        <v>0.48188585607940443</v>
      </c>
      <c r="L102" s="2297">
        <f>1.942/L101</f>
        <v>0.48188585607940443</v>
      </c>
      <c r="M102" s="2297">
        <f>1.942/M101</f>
        <v>0.48188585607940443</v>
      </c>
      <c r="N102" s="2297">
        <f>1.942/N101</f>
        <v>0.48188585607940443</v>
      </c>
    </row>
    <row r="103" spans="1:14">
      <c r="A103" s="3575"/>
      <c r="B103" s="2296">
        <v>2</v>
      </c>
      <c r="C103" s="2297">
        <f>1.4198/C101</f>
        <v>0.35230769230769227</v>
      </c>
      <c r="D103" s="2297">
        <f>1.4198/D101</f>
        <v>0.35230769230769227</v>
      </c>
      <c r="E103" s="2297">
        <f>1.3372/E101</f>
        <v>0.33181141439205952</v>
      </c>
      <c r="F103" s="2297">
        <f>1.3372/F101</f>
        <v>0.33181141439205952</v>
      </c>
      <c r="G103" s="2297">
        <f>1.3372/G101</f>
        <v>0.33181141439205952</v>
      </c>
      <c r="H103" s="2297">
        <f>1.3372/H101</f>
        <v>0.33181141439205952</v>
      </c>
      <c r="I103" s="2297">
        <f>1.3372/I101</f>
        <v>0.33181141439205952</v>
      </c>
      <c r="J103" s="2297">
        <f>1.2799/J101</f>
        <v>0.31759305210918115</v>
      </c>
      <c r="K103" s="2297">
        <f>1.2799/K101</f>
        <v>0.31759305210918115</v>
      </c>
      <c r="L103" s="2297">
        <f>1.2799/L101</f>
        <v>0.31759305210918115</v>
      </c>
      <c r="M103" s="2297">
        <f>1.2799/M101</f>
        <v>0.31759305210918115</v>
      </c>
      <c r="N103" s="2297">
        <f>1.2799/N101</f>
        <v>0.31759305210918115</v>
      </c>
    </row>
    <row r="104" spans="1:14">
      <c r="A104" s="3575"/>
      <c r="B104" s="2296">
        <v>3</v>
      </c>
      <c r="C104" s="2297">
        <f>1.1594/C101</f>
        <v>0.28769230769230769</v>
      </c>
      <c r="D104" s="2297">
        <f>1.1594/D101</f>
        <v>0.28769230769230769</v>
      </c>
      <c r="E104" s="2297">
        <f>1.0788/E101</f>
        <v>0.26769230769230767</v>
      </c>
      <c r="F104" s="2297">
        <f>1.0788/F101</f>
        <v>0.26769230769230767</v>
      </c>
      <c r="G104" s="2297">
        <f>1.0788/G101</f>
        <v>0.26769230769230767</v>
      </c>
      <c r="H104" s="2297">
        <f>1.0788/H101</f>
        <v>0.26769230769230767</v>
      </c>
      <c r="I104" s="2297">
        <f>1.0788/I101</f>
        <v>0.26769230769230767</v>
      </c>
      <c r="J104" s="2297">
        <f>1.0072/J101</f>
        <v>0.24992555831265509</v>
      </c>
      <c r="K104" s="2297">
        <f>1.0072/K101</f>
        <v>0.24992555831265509</v>
      </c>
      <c r="L104" s="2297">
        <f>1.0072/L101</f>
        <v>0.24992555831265509</v>
      </c>
      <c r="M104" s="2297">
        <f>1.0072/M101</f>
        <v>0.24992555831265509</v>
      </c>
      <c r="N104" s="2297">
        <f>1.0072/N101</f>
        <v>0.24992555831265509</v>
      </c>
    </row>
    <row r="105" spans="1:14">
      <c r="A105" s="3575"/>
      <c r="B105" s="2296">
        <v>4</v>
      </c>
      <c r="C105" s="2297">
        <f>0.9622/C101</f>
        <v>0.23875930521091812</v>
      </c>
      <c r="D105" s="2297">
        <f>0.9622/D101</f>
        <v>0.23875930521091812</v>
      </c>
      <c r="E105" s="2297">
        <f>0.8656/E101</f>
        <v>0.21478908188585608</v>
      </c>
      <c r="F105" s="2297">
        <f>0.8656/F101</f>
        <v>0.21478908188585608</v>
      </c>
      <c r="G105" s="2297">
        <f>0.8656/G101</f>
        <v>0.21478908188585608</v>
      </c>
      <c r="H105" s="2297">
        <f>0.8656/H101</f>
        <v>0.21478908188585608</v>
      </c>
      <c r="I105" s="2297">
        <f>0.8656/I101</f>
        <v>0.21478908188585608</v>
      </c>
      <c r="J105" s="2297">
        <f>0.7525/J101</f>
        <v>0.18672456575682381</v>
      </c>
      <c r="K105" s="2297">
        <f>0.7525/K101</f>
        <v>0.18672456575682381</v>
      </c>
      <c r="L105" s="2297">
        <f>0.7525/L101</f>
        <v>0.18672456575682381</v>
      </c>
      <c r="M105" s="2297">
        <f>0.7525/M101</f>
        <v>0.18672456575682381</v>
      </c>
      <c r="N105" s="2297">
        <f>0.7525/N101</f>
        <v>0.18672456575682381</v>
      </c>
    </row>
    <row r="106" spans="1:14">
      <c r="A106" s="3575"/>
      <c r="B106" s="2296">
        <v>5</v>
      </c>
      <c r="C106" s="2297">
        <f>0.8417/C101</f>
        <v>0.20885856079404466</v>
      </c>
      <c r="D106" s="2297">
        <f>0.8417/D101</f>
        <v>0.20885856079404466</v>
      </c>
      <c r="E106" s="2297">
        <f>0.7371/E101</f>
        <v>0.1829032258064516</v>
      </c>
      <c r="F106" s="2297">
        <f>0.7371/F101</f>
        <v>0.1829032258064516</v>
      </c>
      <c r="G106" s="2297">
        <f>0.7371/G101</f>
        <v>0.1829032258064516</v>
      </c>
      <c r="H106" s="2297">
        <f>0.7371/H101</f>
        <v>0.1829032258064516</v>
      </c>
      <c r="I106" s="2297">
        <f>0.7371/I101</f>
        <v>0.1829032258064516</v>
      </c>
      <c r="J106" s="2297">
        <f>0.5659/J101</f>
        <v>0.14042183622828783</v>
      </c>
      <c r="K106" s="2297">
        <f>0.5659/K101</f>
        <v>0.14042183622828783</v>
      </c>
      <c r="L106" s="2297">
        <f>0.5659/L101</f>
        <v>0.14042183622828783</v>
      </c>
      <c r="M106" s="2297">
        <f>0.5659/M101</f>
        <v>0.14042183622828783</v>
      </c>
      <c r="N106" s="2297">
        <f>0.5659/N101</f>
        <v>0.14042183622828783</v>
      </c>
    </row>
    <row r="107" spans="1:14">
      <c r="A107" s="3575"/>
      <c r="B107" s="2296">
        <v>6</v>
      </c>
      <c r="C107" s="2297">
        <f>0.7608/C101</f>
        <v>0.18878411910669976</v>
      </c>
      <c r="D107" s="2297">
        <f>0.7608/D101</f>
        <v>0.18878411910669976</v>
      </c>
      <c r="E107" s="2297">
        <f>0.6482/E101</f>
        <v>0.16084367245657566</v>
      </c>
      <c r="F107" s="2297">
        <f>0.6482/F101</f>
        <v>0.16084367245657566</v>
      </c>
      <c r="G107" s="2297">
        <f>0.6482/G101</f>
        <v>0.16084367245657566</v>
      </c>
      <c r="H107" s="2297">
        <f>0.6482/H101</f>
        <v>0.16084367245657566</v>
      </c>
      <c r="I107" s="2297">
        <f>0.6482/I101</f>
        <v>0.16084367245657566</v>
      </c>
      <c r="J107" s="2297">
        <f>0.4525/J101</f>
        <v>0.11228287841191066</v>
      </c>
      <c r="K107" s="2297">
        <f>0.4525/K101</f>
        <v>0.11228287841191066</v>
      </c>
      <c r="L107" s="2297">
        <f>0.4525/L101</f>
        <v>0.11228287841191066</v>
      </c>
      <c r="M107" s="2297">
        <f>0.4525/M101</f>
        <v>0.11228287841191066</v>
      </c>
      <c r="N107" s="2297">
        <f>0.4525/N101</f>
        <v>0.11228287841191066</v>
      </c>
    </row>
    <row r="108" spans="1:14">
      <c r="A108" s="3575"/>
      <c r="B108" s="3577"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76"/>
      <c r="B109" s="3578"/>
      <c r="C109" s="2299">
        <f>(-0.163*(C108^2)-0.59*C108+7617)*(10^(-4))/C101</f>
        <v>0.1890074441687345</v>
      </c>
      <c r="D109" s="2299">
        <f>(-0.163*(D108^2)-0.59*D108+7617)*(10^(-4))/D101</f>
        <v>0.1890074441687345</v>
      </c>
      <c r="E109" s="2299">
        <f>(-0.161*(E108^2)-7.509*E108+6533)*(10^(-4))/E101</f>
        <v>0.16210918114143918</v>
      </c>
      <c r="F109" s="2299">
        <f>(-0.161*(F108^2)-7.509*F108+6533)*(10^(-4))/F101</f>
        <v>0.16210918114143918</v>
      </c>
      <c r="G109" s="2299">
        <f>(-0.161*(G108^2)-7.509*G108+6533)*(10^(-4))/G101</f>
        <v>0.16210918114143918</v>
      </c>
      <c r="H109" s="2299">
        <f>(-0.161*(H108^2)-7.509*H108+6533)*(10^(-4))/H101</f>
        <v>0.16210918114143918</v>
      </c>
      <c r="I109" s="2299">
        <f>(-0.161*(I108^2)-7.509*I108+6533)*(10^(-4))/I101</f>
        <v>0.16210918114143918</v>
      </c>
      <c r="J109" s="2299">
        <f>(-0.214*(J108^2)-21.991*J108+4665)*(10^(-4))/J101</f>
        <v>0.11575682382133995</v>
      </c>
      <c r="K109" s="2299">
        <f>(-0.214*(K108^2)-21.991*K108+4665)*(10^(-4))/K101</f>
        <v>0.11575682382133995</v>
      </c>
      <c r="L109" s="2299">
        <f>(-0.214*(L108^2)-21.991*L108+4665)*(10^(-4))/L101</f>
        <v>0.11575682382133995</v>
      </c>
      <c r="M109" s="2299">
        <f>(-0.214*(M108^2)-21.991*M108+4665)*(10^(-4))/M101</f>
        <v>0.11575682382133995</v>
      </c>
      <c r="N109" s="2299">
        <f>(-0.214*(N108^2)-21.991*N108+4665)*(10^(-4))/N101</f>
        <v>0.11575682382133995</v>
      </c>
    </row>
    <row r="110" spans="1:14">
      <c r="A110" s="3572" t="s">
        <v>2558</v>
      </c>
      <c r="B110" s="3572"/>
      <c r="C110" s="3572"/>
      <c r="D110" s="3572"/>
      <c r="E110" s="3572"/>
      <c r="F110" s="3572"/>
      <c r="G110" s="3572"/>
      <c r="H110" s="3572"/>
      <c r="I110" s="3572"/>
      <c r="J110" s="3572"/>
      <c r="K110" s="2302"/>
      <c r="L110" s="2302"/>
      <c r="M110" s="2302"/>
      <c r="N110" s="2302"/>
    </row>
    <row r="112" spans="1:14" ht="13.5" thickBot="1"/>
    <row r="113" spans="1:13" ht="25.5" thickBot="1">
      <c r="A113" s="824" t="s">
        <v>2559</v>
      </c>
      <c r="B113" s="1178">
        <f>G3</f>
        <v>4.03</v>
      </c>
      <c r="C113" s="825" t="s">
        <v>2560</v>
      </c>
      <c r="D113" s="826">
        <f>SUMPRODUCT((A115:A118=F113)*(B114:M114=H113)*B115:M118)</f>
        <v>0</v>
      </c>
      <c r="E113" s="2138" t="s">
        <v>2393</v>
      </c>
      <c r="F113" s="2304">
        <f>E2</f>
        <v>0</v>
      </c>
      <c r="G113" s="2138" t="s">
        <v>2394</v>
      </c>
      <c r="H113" s="2304">
        <f>G2</f>
        <v>0</v>
      </c>
      <c r="I113" s="2138"/>
      <c r="J113" s="2305"/>
      <c r="K113" s="2305"/>
      <c r="L113" s="2305"/>
      <c r="M113" s="2305"/>
    </row>
    <row r="114" spans="1:13">
      <c r="A114" s="829"/>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30" t="s">
        <v>2458</v>
      </c>
      <c r="B115" s="831">
        <f>ROUND(0.9335-0.0094*B113,4)</f>
        <v>0.89559999999999995</v>
      </c>
      <c r="C115" s="831">
        <f>B115</f>
        <v>0.89559999999999995</v>
      </c>
      <c r="D115" s="831">
        <f>ROUND(0.8331-0.0109*B113,4)</f>
        <v>0.78920000000000001</v>
      </c>
      <c r="E115" s="831">
        <f>D115</f>
        <v>0.78920000000000001</v>
      </c>
      <c r="F115" s="831">
        <f>E115</f>
        <v>0.78920000000000001</v>
      </c>
      <c r="G115" s="831">
        <f>F115</f>
        <v>0.78920000000000001</v>
      </c>
      <c r="H115" s="831">
        <f>G115</f>
        <v>0.78920000000000001</v>
      </c>
      <c r="I115" s="831">
        <f>ROUND(0.689-0.0155*B113,4)</f>
        <v>0.62649999999999995</v>
      </c>
      <c r="J115" s="831">
        <f t="shared" ref="J115:M118" si="33">I115</f>
        <v>0.62649999999999995</v>
      </c>
      <c r="K115" s="831">
        <f t="shared" si="33"/>
        <v>0.62649999999999995</v>
      </c>
      <c r="L115" s="831">
        <f t="shared" si="33"/>
        <v>0.62649999999999995</v>
      </c>
      <c r="M115" s="832">
        <f t="shared" si="33"/>
        <v>0.62649999999999995</v>
      </c>
    </row>
    <row r="116" spans="1:13">
      <c r="A116" s="830" t="s">
        <v>2459</v>
      </c>
      <c r="B116" s="831">
        <f>ROUND(0.949-0.012*B113,4)</f>
        <v>0.90059999999999996</v>
      </c>
      <c r="C116" s="831">
        <f>B116</f>
        <v>0.90059999999999996</v>
      </c>
      <c r="D116" s="831">
        <f>ROUND(0.8567-0.013*B113,4)</f>
        <v>0.80430000000000001</v>
      </c>
      <c r="E116" s="831">
        <f t="shared" ref="E116:H117" si="34">D116</f>
        <v>0.80430000000000001</v>
      </c>
      <c r="F116" s="831">
        <f t="shared" si="34"/>
        <v>0.80430000000000001</v>
      </c>
      <c r="G116" s="831">
        <f t="shared" si="34"/>
        <v>0.80430000000000001</v>
      </c>
      <c r="H116" s="831">
        <f t="shared" si="34"/>
        <v>0.80430000000000001</v>
      </c>
      <c r="I116" s="831">
        <f>ROUND(0.7694-0.014*B113,4)</f>
        <v>0.71299999999999997</v>
      </c>
      <c r="J116" s="831">
        <f t="shared" si="33"/>
        <v>0.71299999999999997</v>
      </c>
      <c r="K116" s="831">
        <f t="shared" si="33"/>
        <v>0.71299999999999997</v>
      </c>
      <c r="L116" s="831">
        <f t="shared" si="33"/>
        <v>0.71299999999999997</v>
      </c>
      <c r="M116" s="832">
        <f t="shared" si="33"/>
        <v>0.71299999999999997</v>
      </c>
    </row>
    <row r="117" spans="1:13">
      <c r="A117" s="830" t="s">
        <v>2460</v>
      </c>
      <c r="B117" s="831">
        <f>ROUND(0.8808-0.006*B113,4)</f>
        <v>0.85660000000000003</v>
      </c>
      <c r="C117" s="831">
        <f>B117</f>
        <v>0.85660000000000003</v>
      </c>
      <c r="D117" s="831">
        <f>ROUND(0.8748-0.008*B113,4)</f>
        <v>0.84260000000000002</v>
      </c>
      <c r="E117" s="831">
        <f t="shared" si="34"/>
        <v>0.84260000000000002</v>
      </c>
      <c r="F117" s="831">
        <f t="shared" si="34"/>
        <v>0.84260000000000002</v>
      </c>
      <c r="G117" s="831">
        <f t="shared" si="34"/>
        <v>0.84260000000000002</v>
      </c>
      <c r="H117" s="831">
        <f t="shared" si="34"/>
        <v>0.84260000000000002</v>
      </c>
      <c r="I117" s="831">
        <f>ROUND(0.7412-0.0095*B113,4)</f>
        <v>0.70289999999999997</v>
      </c>
      <c r="J117" s="831">
        <f t="shared" si="33"/>
        <v>0.70289999999999997</v>
      </c>
      <c r="K117" s="831">
        <f t="shared" si="33"/>
        <v>0.70289999999999997</v>
      </c>
      <c r="L117" s="831">
        <f t="shared" si="33"/>
        <v>0.70289999999999997</v>
      </c>
      <c r="M117" s="832">
        <f t="shared" si="33"/>
        <v>0.70289999999999997</v>
      </c>
    </row>
    <row r="118" spans="1:13" ht="13.5" thickBot="1">
      <c r="A118" s="670" t="s">
        <v>2461</v>
      </c>
      <c r="B118" s="833">
        <f>ROUND(0.7275-0.01*B113,4)</f>
        <v>0.68720000000000003</v>
      </c>
      <c r="C118" s="833">
        <f>B118</f>
        <v>0.68720000000000003</v>
      </c>
      <c r="D118" s="833">
        <f>ROUND(0.7043-0.012*B113,4)</f>
        <v>0.65590000000000004</v>
      </c>
      <c r="E118" s="833">
        <f>D118</f>
        <v>0.65590000000000004</v>
      </c>
      <c r="F118" s="833">
        <f>E118</f>
        <v>0.65590000000000004</v>
      </c>
      <c r="G118" s="833">
        <f>ROUND(0.6299-0.0122*B113,4)</f>
        <v>0.58069999999999999</v>
      </c>
      <c r="H118" s="833">
        <f>G118</f>
        <v>0.58069999999999999</v>
      </c>
      <c r="I118" s="833">
        <f>ROUND(0.5667-0.0136*B113,4)</f>
        <v>0.51190000000000002</v>
      </c>
      <c r="J118" s="833">
        <f t="shared" si="33"/>
        <v>0.51190000000000002</v>
      </c>
      <c r="K118" s="833">
        <f t="shared" si="33"/>
        <v>0.51190000000000002</v>
      </c>
      <c r="L118" s="833">
        <f t="shared" si="33"/>
        <v>0.51190000000000002</v>
      </c>
      <c r="M118" s="834">
        <f t="shared" si="33"/>
        <v>0.51190000000000002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94" t="s">
        <v>2955</v>
      </c>
      <c r="B20" s="3589" t="s">
        <v>2956</v>
      </c>
      <c r="C20" s="3212" t="s">
        <v>2957</v>
      </c>
      <c r="D20" s="3213"/>
      <c r="E20" s="3214">
        <v>1</v>
      </c>
      <c r="F20" s="3215" t="s">
        <v>2958</v>
      </c>
      <c r="G20" s="807"/>
      <c r="H20" s="801"/>
      <c r="I20" s="801"/>
    </row>
    <row r="21" spans="1:13" s="808" customFormat="1" ht="19.5" customHeight="1">
      <c r="A21" s="3595"/>
      <c r="B21" s="3588"/>
      <c r="C21" s="805" t="s">
        <v>2959</v>
      </c>
      <c r="D21" s="806"/>
      <c r="E21" s="3216">
        <v>1</v>
      </c>
      <c r="F21" s="3215" t="s">
        <v>2960</v>
      </c>
      <c r="G21" s="807"/>
      <c r="H21" s="801"/>
      <c r="I21" s="801"/>
    </row>
    <row r="22" spans="1:13" s="808" customFormat="1" ht="19.5" customHeight="1">
      <c r="A22" s="3595"/>
      <c r="B22" s="3588"/>
      <c r="C22" s="805" t="s">
        <v>2961</v>
      </c>
      <c r="D22" s="806"/>
      <c r="E22" s="3216">
        <v>0.9</v>
      </c>
      <c r="F22" s="3215" t="s">
        <v>2962</v>
      </c>
      <c r="G22" s="807"/>
      <c r="H22" s="801"/>
      <c r="I22" s="801"/>
    </row>
    <row r="23" spans="1:13" s="808" customFormat="1" ht="19.5" customHeight="1">
      <c r="A23" s="3595"/>
      <c r="B23" s="3588"/>
      <c r="C23" s="805" t="s">
        <v>2963</v>
      </c>
      <c r="D23" s="806"/>
      <c r="E23" s="3216">
        <v>0.9</v>
      </c>
      <c r="F23" s="3215" t="s">
        <v>2964</v>
      </c>
      <c r="G23" s="807"/>
      <c r="H23" s="801"/>
      <c r="I23" s="801"/>
    </row>
    <row r="24" spans="1:13" s="808" customFormat="1" ht="19.5" customHeight="1">
      <c r="A24" s="3595"/>
      <c r="B24" s="3588"/>
      <c r="C24" s="805" t="s">
        <v>2965</v>
      </c>
      <c r="D24" s="806"/>
      <c r="E24" s="3216">
        <v>0.8</v>
      </c>
      <c r="F24" s="3215" t="s">
        <v>2966</v>
      </c>
      <c r="G24" s="807"/>
      <c r="H24" s="801"/>
      <c r="I24" s="801"/>
    </row>
    <row r="25" spans="1:13" s="808" customFormat="1" ht="19.5" customHeight="1" thickBot="1">
      <c r="A25" s="3596"/>
      <c r="B25" s="3590"/>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91" t="s">
        <v>2972</v>
      </c>
      <c r="B27" s="3589" t="s">
        <v>2972</v>
      </c>
      <c r="C27" s="3212" t="s">
        <v>2973</v>
      </c>
      <c r="D27" s="3213"/>
      <c r="E27" s="3214">
        <v>1</v>
      </c>
      <c r="F27" s="3215" t="s">
        <v>2974</v>
      </c>
      <c r="G27" s="807"/>
      <c r="H27" s="801"/>
      <c r="I27" s="801"/>
    </row>
    <row r="28" spans="1:13" s="808" customFormat="1" ht="19.5" customHeight="1">
      <c r="A28" s="3592"/>
      <c r="B28" s="3588"/>
      <c r="C28" s="805" t="s">
        <v>2975</v>
      </c>
      <c r="D28" s="806"/>
      <c r="E28" s="3216">
        <v>1</v>
      </c>
      <c r="F28" s="3215" t="s">
        <v>2976</v>
      </c>
      <c r="G28" s="807"/>
      <c r="H28" s="801"/>
      <c r="I28" s="801"/>
    </row>
    <row r="29" spans="1:13" s="808" customFormat="1" ht="19.5" customHeight="1">
      <c r="A29" s="3592"/>
      <c r="B29" s="3588"/>
      <c r="C29" s="805" t="s">
        <v>2977</v>
      </c>
      <c r="D29" s="806"/>
      <c r="E29" s="3216">
        <v>0.8</v>
      </c>
      <c r="F29" s="3215" t="s">
        <v>2978</v>
      </c>
      <c r="G29" s="807"/>
      <c r="H29" s="801"/>
      <c r="I29" s="801"/>
    </row>
    <row r="30" spans="1:13" s="808" customFormat="1" ht="19.5" customHeight="1">
      <c r="A30" s="3592"/>
      <c r="B30" s="3588"/>
      <c r="C30" s="805" t="s">
        <v>2979</v>
      </c>
      <c r="D30" s="806"/>
      <c r="E30" s="3216">
        <v>0.8</v>
      </c>
      <c r="F30" s="3215" t="s">
        <v>2980</v>
      </c>
      <c r="G30" s="807"/>
      <c r="H30" s="801"/>
      <c r="I30" s="801"/>
    </row>
    <row r="31" spans="1:13" s="808" customFormat="1" ht="19.5" customHeight="1">
      <c r="A31" s="3592"/>
      <c r="B31" s="3588"/>
      <c r="C31" s="805" t="s">
        <v>2981</v>
      </c>
      <c r="D31" s="806"/>
      <c r="E31" s="3216">
        <v>0.8</v>
      </c>
      <c r="F31" s="3215" t="s">
        <v>2982</v>
      </c>
      <c r="G31" s="807"/>
      <c r="H31" s="801"/>
      <c r="I31" s="801"/>
    </row>
    <row r="32" spans="1:13" s="808" customFormat="1" ht="19.5" customHeight="1">
      <c r="A32" s="3592"/>
      <c r="B32" s="3588"/>
      <c r="C32" s="805" t="s">
        <v>2983</v>
      </c>
      <c r="D32" s="806"/>
      <c r="E32" s="3216">
        <v>0.7</v>
      </c>
      <c r="F32" s="3215" t="s">
        <v>2984</v>
      </c>
      <c r="G32" s="807"/>
      <c r="H32" s="801"/>
      <c r="I32" s="801"/>
    </row>
    <row r="33" spans="1:9" s="808" customFormat="1" ht="19.5" customHeight="1">
      <c r="A33" s="3592"/>
      <c r="B33" s="3588"/>
      <c r="C33" s="805" t="s">
        <v>2985</v>
      </c>
      <c r="D33" s="806"/>
      <c r="E33" s="3216">
        <v>0.8</v>
      </c>
      <c r="F33" s="3215" t="s">
        <v>2986</v>
      </c>
      <c r="G33" s="807"/>
      <c r="H33" s="801"/>
      <c r="I33" s="801"/>
    </row>
    <row r="34" spans="1:9" s="808" customFormat="1" ht="19.5" customHeight="1">
      <c r="A34" s="3592"/>
      <c r="B34" s="3588"/>
      <c r="C34" s="805" t="s">
        <v>2987</v>
      </c>
      <c r="D34" s="806"/>
      <c r="E34" s="3216">
        <v>0.6</v>
      </c>
      <c r="F34" s="3215" t="s">
        <v>2988</v>
      </c>
      <c r="G34" s="807"/>
      <c r="H34" s="801"/>
      <c r="I34" s="801"/>
    </row>
    <row r="35" spans="1:9" s="808" customFormat="1" ht="19.5" customHeight="1">
      <c r="A35" s="3592"/>
      <c r="B35" s="3588"/>
      <c r="C35" s="805" t="s">
        <v>2989</v>
      </c>
      <c r="D35" s="806"/>
      <c r="E35" s="3216">
        <v>0.2</v>
      </c>
      <c r="F35" s="3215" t="s">
        <v>2990</v>
      </c>
      <c r="G35" s="807"/>
      <c r="H35" s="801"/>
      <c r="I35" s="801"/>
    </row>
    <row r="36" spans="1:9" s="808" customFormat="1" ht="19.5" customHeight="1">
      <c r="A36" s="3592"/>
      <c r="B36" s="3588"/>
      <c r="C36" s="805" t="s">
        <v>2991</v>
      </c>
      <c r="D36" s="806"/>
      <c r="E36" s="3216">
        <v>0.2</v>
      </c>
      <c r="F36" s="3215" t="s">
        <v>2992</v>
      </c>
      <c r="G36" s="807"/>
      <c r="H36" s="801"/>
      <c r="I36" s="801"/>
    </row>
    <row r="37" spans="1:9" s="808" customFormat="1" ht="19.5" customHeight="1">
      <c r="A37" s="3592"/>
      <c r="B37" s="3586" t="s">
        <v>2993</v>
      </c>
      <c r="C37" s="805" t="s">
        <v>2994</v>
      </c>
      <c r="D37" s="806"/>
      <c r="E37" s="3216">
        <v>0.6</v>
      </c>
      <c r="F37" s="3215" t="s">
        <v>2995</v>
      </c>
      <c r="G37" s="807"/>
      <c r="H37" s="801"/>
      <c r="I37" s="801"/>
    </row>
    <row r="38" spans="1:9" s="808" customFormat="1" ht="19.5" customHeight="1">
      <c r="A38" s="3592"/>
      <c r="B38" s="3588"/>
      <c r="C38" s="805" t="s">
        <v>2996</v>
      </c>
      <c r="D38" s="806"/>
      <c r="E38" s="3216">
        <v>0.6</v>
      </c>
      <c r="F38" s="3215" t="s">
        <v>2997</v>
      </c>
      <c r="G38" s="807"/>
      <c r="H38" s="801"/>
      <c r="I38" s="801"/>
    </row>
    <row r="39" spans="1:9" s="808" customFormat="1" ht="19.5" customHeight="1" thickBot="1">
      <c r="A39" s="3593"/>
      <c r="B39" s="3590"/>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94" t="s">
        <v>3003</v>
      </c>
      <c r="B41" s="3589" t="s">
        <v>3004</v>
      </c>
      <c r="C41" s="3212" t="s">
        <v>3005</v>
      </c>
      <c r="D41" s="3213"/>
      <c r="E41" s="3214">
        <v>1</v>
      </c>
      <c r="F41" s="3215" t="s">
        <v>3006</v>
      </c>
      <c r="G41" s="807"/>
      <c r="H41" s="801"/>
      <c r="I41" s="801"/>
    </row>
    <row r="42" spans="1:9" s="808" customFormat="1" ht="19.5" customHeight="1">
      <c r="A42" s="3595"/>
      <c r="B42" s="3588"/>
      <c r="C42" s="805" t="s">
        <v>3007</v>
      </c>
      <c r="D42" s="806"/>
      <c r="E42" s="3216">
        <v>1</v>
      </c>
      <c r="F42" s="3215" t="s">
        <v>3008</v>
      </c>
      <c r="G42" s="807"/>
      <c r="H42" s="801"/>
      <c r="I42" s="801"/>
    </row>
    <row r="43" spans="1:9" s="808" customFormat="1" ht="19.5" customHeight="1">
      <c r="A43" s="3595"/>
      <c r="B43" s="3587"/>
      <c r="C43" s="805" t="s">
        <v>3009</v>
      </c>
      <c r="D43" s="806"/>
      <c r="E43" s="3216">
        <v>1.5</v>
      </c>
      <c r="F43" s="3215" t="s">
        <v>3010</v>
      </c>
      <c r="G43" s="807"/>
      <c r="H43" s="801"/>
      <c r="I43" s="801"/>
    </row>
    <row r="44" spans="1:9" s="808" customFormat="1" ht="19.5" customHeight="1">
      <c r="A44" s="3595"/>
      <c r="B44" s="3225" t="s">
        <v>2972</v>
      </c>
      <c r="C44" s="805" t="s">
        <v>3011</v>
      </c>
      <c r="D44" s="806"/>
      <c r="E44" s="3216">
        <v>2</v>
      </c>
      <c r="F44" s="3215" t="s">
        <v>3012</v>
      </c>
      <c r="G44" s="807"/>
      <c r="H44" s="801"/>
      <c r="I44" s="801"/>
    </row>
    <row r="45" spans="1:9" s="808" customFormat="1" ht="19.5" customHeight="1">
      <c r="A45" s="3595"/>
      <c r="B45" s="3586" t="s">
        <v>3013</v>
      </c>
      <c r="C45" s="805" t="s">
        <v>3014</v>
      </c>
      <c r="D45" s="806"/>
      <c r="E45" s="3216">
        <v>1</v>
      </c>
      <c r="F45" s="3215" t="s">
        <v>3015</v>
      </c>
      <c r="G45" s="807"/>
      <c r="H45" s="801"/>
      <c r="I45" s="801"/>
    </row>
    <row r="46" spans="1:9" s="808" customFormat="1" ht="19.5" customHeight="1">
      <c r="A46" s="3595"/>
      <c r="B46" s="3588"/>
      <c r="C46" s="805" t="s">
        <v>3016</v>
      </c>
      <c r="D46" s="806"/>
      <c r="E46" s="3216">
        <v>1</v>
      </c>
      <c r="F46" s="3215" t="s">
        <v>3017</v>
      </c>
      <c r="G46" s="807"/>
      <c r="H46" s="801"/>
      <c r="I46" s="801"/>
    </row>
    <row r="47" spans="1:9" s="808" customFormat="1" ht="19.5" customHeight="1">
      <c r="A47" s="3595"/>
      <c r="B47" s="3588"/>
      <c r="C47" s="805" t="s">
        <v>3018</v>
      </c>
      <c r="D47" s="806"/>
      <c r="E47" s="3216">
        <v>1</v>
      </c>
      <c r="F47" s="3215" t="s">
        <v>3019</v>
      </c>
      <c r="G47" s="807"/>
      <c r="H47" s="801"/>
      <c r="I47" s="801"/>
    </row>
    <row r="48" spans="1:9" s="808" customFormat="1" ht="19.5" customHeight="1">
      <c r="A48" s="3595"/>
      <c r="B48" s="3588"/>
      <c r="C48" s="805" t="s">
        <v>3020</v>
      </c>
      <c r="D48" s="806"/>
      <c r="E48" s="3216">
        <v>1</v>
      </c>
      <c r="F48" s="3215" t="s">
        <v>3021</v>
      </c>
      <c r="G48" s="807"/>
      <c r="H48" s="801"/>
      <c r="I48" s="801"/>
    </row>
    <row r="49" spans="1:9" s="808" customFormat="1" ht="19.5" customHeight="1">
      <c r="A49" s="3595"/>
      <c r="B49" s="3588"/>
      <c r="C49" s="805" t="s">
        <v>3022</v>
      </c>
      <c r="D49" s="806"/>
      <c r="E49" s="3216">
        <v>1</v>
      </c>
      <c r="F49" s="3215" t="s">
        <v>3023</v>
      </c>
      <c r="G49" s="807"/>
      <c r="H49" s="801"/>
      <c r="I49" s="801"/>
    </row>
    <row r="50" spans="1:9" s="808" customFormat="1" ht="19.5" customHeight="1">
      <c r="A50" s="3595"/>
      <c r="B50" s="3588"/>
      <c r="C50" s="805" t="s">
        <v>3024</v>
      </c>
      <c r="D50" s="806"/>
      <c r="E50" s="3216">
        <v>1</v>
      </c>
      <c r="F50" s="3215" t="s">
        <v>3025</v>
      </c>
      <c r="G50" s="807"/>
      <c r="H50" s="801"/>
      <c r="I50" s="801"/>
    </row>
    <row r="51" spans="1:9" s="808" customFormat="1" ht="19.5" customHeight="1" thickBot="1">
      <c r="A51" s="3596"/>
      <c r="B51" s="3590"/>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86" t="s">
        <v>3029</v>
      </c>
      <c r="C73" s="3205" t="s">
        <v>3030</v>
      </c>
      <c r="D73" s="3205" t="s">
        <v>3031</v>
      </c>
      <c r="E73" s="3226">
        <v>0.2</v>
      </c>
      <c r="F73" s="3225">
        <v>25</v>
      </c>
    </row>
    <row r="74" spans="1:7" s="801" customFormat="1" ht="24">
      <c r="A74" s="3225">
        <v>2</v>
      </c>
      <c r="B74" s="3588"/>
      <c r="C74" s="3205" t="s">
        <v>3032</v>
      </c>
      <c r="D74" s="3205" t="s">
        <v>3033</v>
      </c>
      <c r="E74" s="3226">
        <v>0.2</v>
      </c>
      <c r="F74" s="3225">
        <v>25</v>
      </c>
    </row>
    <row r="75" spans="1:7" s="801" customFormat="1" ht="24">
      <c r="A75" s="3225">
        <v>3</v>
      </c>
      <c r="B75" s="3588"/>
      <c r="C75" s="3205" t="s">
        <v>3034</v>
      </c>
      <c r="D75" s="3205" t="s">
        <v>3035</v>
      </c>
      <c r="E75" s="3226">
        <v>0.2</v>
      </c>
      <c r="F75" s="3225">
        <v>25</v>
      </c>
    </row>
    <row r="76" spans="1:7" s="801" customFormat="1" ht="13.5">
      <c r="A76" s="3225">
        <v>4</v>
      </c>
      <c r="B76" s="3588"/>
      <c r="C76" s="3205" t="s">
        <v>3036</v>
      </c>
      <c r="D76" s="3205" t="s">
        <v>3037</v>
      </c>
      <c r="E76" s="3226">
        <v>0.15</v>
      </c>
      <c r="F76" s="3225">
        <v>20</v>
      </c>
    </row>
    <row r="77" spans="1:7" s="801" customFormat="1" ht="24">
      <c r="A77" s="3225">
        <v>5</v>
      </c>
      <c r="B77" s="3588"/>
      <c r="C77" s="3205" t="s">
        <v>3038</v>
      </c>
      <c r="D77" s="3205" t="s">
        <v>3039</v>
      </c>
      <c r="E77" s="3226">
        <v>0.15</v>
      </c>
      <c r="F77" s="3225">
        <v>20</v>
      </c>
    </row>
    <row r="78" spans="1:7" s="801" customFormat="1" ht="24">
      <c r="A78" s="3225">
        <v>6</v>
      </c>
      <c r="B78" s="3588"/>
      <c r="C78" s="3205" t="s">
        <v>3040</v>
      </c>
      <c r="D78" s="3205" t="s">
        <v>3041</v>
      </c>
      <c r="E78" s="3226">
        <v>0.15</v>
      </c>
      <c r="F78" s="3225">
        <v>20</v>
      </c>
    </row>
    <row r="79" spans="1:7" s="801" customFormat="1" ht="24">
      <c r="A79" s="3225">
        <v>7</v>
      </c>
      <c r="B79" s="3588"/>
      <c r="C79" s="3205" t="s">
        <v>3042</v>
      </c>
      <c r="D79" s="3205" t="s">
        <v>3043</v>
      </c>
      <c r="E79" s="3226">
        <v>0.15</v>
      </c>
      <c r="F79" s="3225">
        <v>20</v>
      </c>
    </row>
    <row r="80" spans="1:7" s="801" customFormat="1" ht="24">
      <c r="A80" s="3225">
        <v>8</v>
      </c>
      <c r="B80" s="3588"/>
      <c r="C80" s="3205" t="s">
        <v>3044</v>
      </c>
      <c r="D80" s="3205" t="s">
        <v>3045</v>
      </c>
      <c r="E80" s="3226">
        <v>0.1</v>
      </c>
      <c r="F80" s="3225">
        <v>15</v>
      </c>
    </row>
    <row r="81" spans="1:6" s="801" customFormat="1" ht="24">
      <c r="A81" s="3225">
        <v>9</v>
      </c>
      <c r="B81" s="3588"/>
      <c r="C81" s="3205" t="s">
        <v>3046</v>
      </c>
      <c r="D81" s="3205" t="s">
        <v>3047</v>
      </c>
      <c r="E81" s="3226">
        <v>0.1</v>
      </c>
      <c r="F81" s="3225">
        <v>15</v>
      </c>
    </row>
    <row r="82" spans="1:6" s="801" customFormat="1" ht="24">
      <c r="A82" s="3225">
        <v>10</v>
      </c>
      <c r="B82" s="3588"/>
      <c r="C82" s="3205" t="s">
        <v>3048</v>
      </c>
      <c r="D82" s="3205" t="s">
        <v>3049</v>
      </c>
      <c r="E82" s="3226">
        <v>0.1</v>
      </c>
      <c r="F82" s="3225">
        <v>15</v>
      </c>
    </row>
    <row r="83" spans="1:6" s="801" customFormat="1" ht="24">
      <c r="A83" s="3225">
        <v>11</v>
      </c>
      <c r="B83" s="3588"/>
      <c r="C83" s="3205" t="s">
        <v>3050</v>
      </c>
      <c r="D83" s="3205" t="s">
        <v>3051</v>
      </c>
      <c r="E83" s="3226">
        <v>0.1</v>
      </c>
      <c r="F83" s="3225">
        <v>15</v>
      </c>
    </row>
    <row r="84" spans="1:6" s="801" customFormat="1" ht="24">
      <c r="A84" s="3225">
        <v>12</v>
      </c>
      <c r="B84" s="3588"/>
      <c r="C84" s="3205" t="s">
        <v>3052</v>
      </c>
      <c r="D84" s="3205" t="s">
        <v>3053</v>
      </c>
      <c r="E84" s="3226">
        <v>0.1</v>
      </c>
      <c r="F84" s="3225">
        <v>15</v>
      </c>
    </row>
    <row r="85" spans="1:6" s="801" customFormat="1" ht="13.5">
      <c r="A85" s="3225">
        <v>13</v>
      </c>
      <c r="B85" s="3588"/>
      <c r="C85" s="3205" t="s">
        <v>3054</v>
      </c>
      <c r="D85" s="3205" t="s">
        <v>3055</v>
      </c>
      <c r="E85" s="3226">
        <v>0.1</v>
      </c>
      <c r="F85" s="3225">
        <v>15</v>
      </c>
    </row>
    <row r="86" spans="1:6" s="801" customFormat="1" ht="13.5">
      <c r="A86" s="3225">
        <v>14</v>
      </c>
      <c r="B86" s="3588"/>
      <c r="C86" s="3205" t="s">
        <v>3056</v>
      </c>
      <c r="D86" s="3205" t="s">
        <v>3057</v>
      </c>
      <c r="E86" s="3226">
        <v>0.1</v>
      </c>
      <c r="F86" s="3225">
        <v>15</v>
      </c>
    </row>
    <row r="87" spans="1:6" s="801" customFormat="1" ht="13.5">
      <c r="A87" s="3225">
        <v>15</v>
      </c>
      <c r="B87" s="3588"/>
      <c r="C87" s="3205" t="s">
        <v>3058</v>
      </c>
      <c r="D87" s="3205" t="s">
        <v>3059</v>
      </c>
      <c r="E87" s="3226">
        <v>0.1</v>
      </c>
      <c r="F87" s="3225">
        <v>15</v>
      </c>
    </row>
    <row r="88" spans="1:6" s="801" customFormat="1" ht="24">
      <c r="A88" s="3225">
        <v>16</v>
      </c>
      <c r="B88" s="3588"/>
      <c r="C88" s="3205" t="s">
        <v>3060</v>
      </c>
      <c r="D88" s="3205" t="s">
        <v>3061</v>
      </c>
      <c r="E88" s="3226">
        <v>0.1</v>
      </c>
      <c r="F88" s="3225">
        <v>15</v>
      </c>
    </row>
    <row r="89" spans="1:6" s="801" customFormat="1" ht="24">
      <c r="A89" s="3225">
        <v>17</v>
      </c>
      <c r="B89" s="3587"/>
      <c r="C89" s="3205" t="s">
        <v>3062</v>
      </c>
      <c r="D89" s="3205" t="s">
        <v>3063</v>
      </c>
      <c r="E89" s="3226">
        <v>0.1</v>
      </c>
      <c r="F89" s="3225">
        <v>15</v>
      </c>
    </row>
    <row r="90" spans="1:6" s="801" customFormat="1" ht="13.5">
      <c r="A90" s="3225">
        <v>18</v>
      </c>
      <c r="B90" s="3586" t="s">
        <v>3064</v>
      </c>
      <c r="C90" s="3205" t="s">
        <v>3065</v>
      </c>
      <c r="D90" s="3205" t="s">
        <v>3066</v>
      </c>
      <c r="E90" s="3226">
        <v>0.2</v>
      </c>
      <c r="F90" s="3225">
        <v>25</v>
      </c>
    </row>
    <row r="91" spans="1:6" s="801" customFormat="1" ht="24">
      <c r="A91" s="3225">
        <v>19</v>
      </c>
      <c r="B91" s="3588"/>
      <c r="C91" s="3205" t="s">
        <v>3067</v>
      </c>
      <c r="D91" s="3205" t="s">
        <v>3068</v>
      </c>
      <c r="E91" s="3226">
        <v>0.2</v>
      </c>
      <c r="F91" s="3225">
        <v>25</v>
      </c>
    </row>
    <row r="92" spans="1:6" s="801" customFormat="1" ht="13.5">
      <c r="A92" s="3225">
        <v>20</v>
      </c>
      <c r="B92" s="3588"/>
      <c r="C92" s="3205" t="s">
        <v>3069</v>
      </c>
      <c r="D92" s="3205" t="s">
        <v>3070</v>
      </c>
      <c r="E92" s="3226">
        <v>0.15</v>
      </c>
      <c r="F92" s="3225">
        <v>20</v>
      </c>
    </row>
    <row r="93" spans="1:6" s="801" customFormat="1" ht="24">
      <c r="A93" s="3225">
        <v>21</v>
      </c>
      <c r="B93" s="3588"/>
      <c r="C93" s="3205" t="s">
        <v>3071</v>
      </c>
      <c r="D93" s="3205" t="s">
        <v>3072</v>
      </c>
      <c r="E93" s="3226">
        <v>0.15</v>
      </c>
      <c r="F93" s="3225">
        <v>20</v>
      </c>
    </row>
    <row r="94" spans="1:6" s="801" customFormat="1" ht="24">
      <c r="A94" s="3225">
        <v>22</v>
      </c>
      <c r="B94" s="3588"/>
      <c r="C94" s="3205" t="s">
        <v>3073</v>
      </c>
      <c r="D94" s="3205" t="s">
        <v>3074</v>
      </c>
      <c r="E94" s="3226">
        <v>0.15</v>
      </c>
      <c r="F94" s="3225">
        <v>20</v>
      </c>
    </row>
    <row r="95" spans="1:6" s="801" customFormat="1" ht="36">
      <c r="A95" s="3225">
        <v>23</v>
      </c>
      <c r="B95" s="3588"/>
      <c r="C95" s="3205" t="s">
        <v>3075</v>
      </c>
      <c r="D95" s="3205" t="s">
        <v>3076</v>
      </c>
      <c r="E95" s="3226">
        <v>0.15</v>
      </c>
      <c r="F95" s="3225">
        <v>20</v>
      </c>
    </row>
    <row r="96" spans="1:6" s="801" customFormat="1" ht="13.5">
      <c r="A96" s="3225">
        <v>24</v>
      </c>
      <c r="B96" s="3588"/>
      <c r="C96" s="3205" t="s">
        <v>3077</v>
      </c>
      <c r="D96" s="3205" t="s">
        <v>3078</v>
      </c>
      <c r="E96" s="3226">
        <v>0.1</v>
      </c>
      <c r="F96" s="3225">
        <v>15</v>
      </c>
    </row>
    <row r="97" spans="1:6" s="801" customFormat="1" ht="24">
      <c r="A97" s="3225">
        <v>25</v>
      </c>
      <c r="B97" s="3588"/>
      <c r="C97" s="3205" t="s">
        <v>3079</v>
      </c>
      <c r="D97" s="3205" t="s">
        <v>3080</v>
      </c>
      <c r="E97" s="3226">
        <v>0.1</v>
      </c>
      <c r="F97" s="3225">
        <v>15</v>
      </c>
    </row>
    <row r="98" spans="1:6" s="801" customFormat="1" ht="24">
      <c r="A98" s="3225">
        <v>26</v>
      </c>
      <c r="B98" s="3588"/>
      <c r="C98" s="3205" t="s">
        <v>3081</v>
      </c>
      <c r="D98" s="3205" t="s">
        <v>3082</v>
      </c>
      <c r="E98" s="3226">
        <v>0.1</v>
      </c>
      <c r="F98" s="3225">
        <v>15</v>
      </c>
    </row>
    <row r="99" spans="1:6" s="801" customFormat="1" ht="24">
      <c r="A99" s="3225">
        <v>27</v>
      </c>
      <c r="B99" s="3588"/>
      <c r="C99" s="3205" t="s">
        <v>3083</v>
      </c>
      <c r="D99" s="3205" t="s">
        <v>3084</v>
      </c>
      <c r="E99" s="3226">
        <v>0.1</v>
      </c>
      <c r="F99" s="3225">
        <v>15</v>
      </c>
    </row>
    <row r="100" spans="1:6" s="801" customFormat="1" ht="24">
      <c r="A100" s="3225">
        <v>28</v>
      </c>
      <c r="B100" s="3588"/>
      <c r="C100" s="3205" t="s">
        <v>3085</v>
      </c>
      <c r="D100" s="3205" t="s">
        <v>3086</v>
      </c>
      <c r="E100" s="3226">
        <v>0.1</v>
      </c>
      <c r="F100" s="3225">
        <v>15</v>
      </c>
    </row>
    <row r="101" spans="1:6" s="801" customFormat="1" ht="24">
      <c r="A101" s="3225">
        <v>29</v>
      </c>
      <c r="B101" s="3588"/>
      <c r="C101" s="3205" t="s">
        <v>3087</v>
      </c>
      <c r="D101" s="3205" t="s">
        <v>3088</v>
      </c>
      <c r="E101" s="3226">
        <v>0.1</v>
      </c>
      <c r="F101" s="3225">
        <v>15</v>
      </c>
    </row>
    <row r="102" spans="1:6" s="801" customFormat="1" ht="24">
      <c r="A102" s="3225">
        <v>30</v>
      </c>
      <c r="B102" s="3588"/>
      <c r="C102" s="3205" t="s">
        <v>3089</v>
      </c>
      <c r="D102" s="3205" t="s">
        <v>3090</v>
      </c>
      <c r="E102" s="3226">
        <v>0.1</v>
      </c>
      <c r="F102" s="3225">
        <v>15</v>
      </c>
    </row>
    <row r="103" spans="1:6" s="801" customFormat="1" ht="24">
      <c r="A103" s="3225">
        <v>31</v>
      </c>
      <c r="B103" s="3588"/>
      <c r="C103" s="3205" t="s">
        <v>3091</v>
      </c>
      <c r="D103" s="3205" t="s">
        <v>3092</v>
      </c>
      <c r="E103" s="3226">
        <v>0.1</v>
      </c>
      <c r="F103" s="3225">
        <v>15</v>
      </c>
    </row>
    <row r="104" spans="1:6" s="801" customFormat="1" ht="24">
      <c r="A104" s="3225">
        <v>32</v>
      </c>
      <c r="B104" s="3588"/>
      <c r="C104" s="3205" t="s">
        <v>3093</v>
      </c>
      <c r="D104" s="3205" t="s">
        <v>3094</v>
      </c>
      <c r="E104" s="3226">
        <v>0.1</v>
      </c>
      <c r="F104" s="3225">
        <v>15</v>
      </c>
    </row>
    <row r="105" spans="1:6" s="801" customFormat="1" ht="24">
      <c r="A105" s="3225">
        <v>33</v>
      </c>
      <c r="B105" s="3588"/>
      <c r="C105" s="3205" t="s">
        <v>3095</v>
      </c>
      <c r="D105" s="3205" t="s">
        <v>3096</v>
      </c>
      <c r="E105" s="3226">
        <v>0.1</v>
      </c>
      <c r="F105" s="3225">
        <v>15</v>
      </c>
    </row>
    <row r="106" spans="1:6" s="801" customFormat="1" ht="24">
      <c r="A106" s="3225">
        <v>34</v>
      </c>
      <c r="B106" s="3587"/>
      <c r="C106" s="3205" t="s">
        <v>3097</v>
      </c>
      <c r="D106" s="3205" t="s">
        <v>3098</v>
      </c>
      <c r="E106" s="3226">
        <v>0.1</v>
      </c>
      <c r="F106" s="3225">
        <v>15</v>
      </c>
    </row>
    <row r="107" spans="1:6" s="801" customFormat="1" ht="24">
      <c r="A107" s="3225">
        <v>35</v>
      </c>
      <c r="B107" s="3586" t="s">
        <v>3099</v>
      </c>
      <c r="C107" s="3225" t="s">
        <v>3100</v>
      </c>
      <c r="D107" s="3205" t="s">
        <v>3101</v>
      </c>
      <c r="E107" s="3226">
        <v>0.15</v>
      </c>
      <c r="F107" s="3225">
        <v>20</v>
      </c>
    </row>
    <row r="108" spans="1:6" s="801" customFormat="1" ht="24">
      <c r="A108" s="3225">
        <v>36</v>
      </c>
      <c r="B108" s="3588"/>
      <c r="C108" s="3225" t="s">
        <v>3102</v>
      </c>
      <c r="D108" s="3205" t="s">
        <v>3103</v>
      </c>
      <c r="E108" s="3226">
        <v>0.15</v>
      </c>
      <c r="F108" s="3225">
        <v>20</v>
      </c>
    </row>
    <row r="109" spans="1:6" s="801" customFormat="1" ht="24">
      <c r="A109" s="3225">
        <v>37</v>
      </c>
      <c r="B109" s="3588"/>
      <c r="C109" s="3225" t="s">
        <v>3104</v>
      </c>
      <c r="D109" s="3205" t="s">
        <v>3105</v>
      </c>
      <c r="E109" s="3226">
        <v>0.15</v>
      </c>
      <c r="F109" s="3225">
        <v>20</v>
      </c>
    </row>
    <row r="110" spans="1:6" s="801" customFormat="1" ht="13.5">
      <c r="A110" s="3225">
        <v>38</v>
      </c>
      <c r="B110" s="3588"/>
      <c r="C110" s="3225" t="s">
        <v>3106</v>
      </c>
      <c r="D110" s="3205" t="s">
        <v>3107</v>
      </c>
      <c r="E110" s="3226">
        <v>0.1</v>
      </c>
      <c r="F110" s="3225">
        <v>15</v>
      </c>
    </row>
    <row r="111" spans="1:6" s="801" customFormat="1" ht="24">
      <c r="A111" s="3225">
        <v>39</v>
      </c>
      <c r="B111" s="3588"/>
      <c r="C111" s="3225" t="s">
        <v>3108</v>
      </c>
      <c r="D111" s="3205" t="s">
        <v>3109</v>
      </c>
      <c r="E111" s="3226">
        <v>0.1</v>
      </c>
      <c r="F111" s="3225">
        <v>15</v>
      </c>
    </row>
    <row r="112" spans="1:6" s="801" customFormat="1" ht="24">
      <c r="A112" s="3225">
        <v>40</v>
      </c>
      <c r="B112" s="3587"/>
      <c r="C112" s="3225" t="s">
        <v>3110</v>
      </c>
      <c r="D112" s="3205" t="s">
        <v>3111</v>
      </c>
      <c r="E112" s="3226">
        <v>0.1</v>
      </c>
      <c r="F112" s="3225">
        <v>15</v>
      </c>
    </row>
    <row r="113" spans="1:6" s="801" customFormat="1" ht="24">
      <c r="A113" s="3225">
        <v>41</v>
      </c>
      <c r="B113" s="3585" t="s">
        <v>3112</v>
      </c>
      <c r="C113" s="3225" t="s">
        <v>3113</v>
      </c>
      <c r="D113" s="3205" t="s">
        <v>3114</v>
      </c>
      <c r="E113" s="3226">
        <v>0.1</v>
      </c>
      <c r="F113" s="3225">
        <v>15</v>
      </c>
    </row>
    <row r="114" spans="1:6" s="801" customFormat="1" ht="13.5">
      <c r="A114" s="3225">
        <v>42</v>
      </c>
      <c r="B114" s="3585"/>
      <c r="C114" s="3225" t="s">
        <v>3115</v>
      </c>
      <c r="D114" s="3205" t="s">
        <v>3116</v>
      </c>
      <c r="E114" s="3226">
        <v>0.1</v>
      </c>
      <c r="F114" s="3225">
        <v>15</v>
      </c>
    </row>
    <row r="115" spans="1:6" s="801" customFormat="1" ht="24">
      <c r="A115" s="3225">
        <v>43</v>
      </c>
      <c r="B115" s="3585"/>
      <c r="C115" s="3225" t="s">
        <v>3117</v>
      </c>
      <c r="D115" s="3205" t="s">
        <v>3118</v>
      </c>
      <c r="E115" s="3226">
        <v>0.1</v>
      </c>
      <c r="F115" s="3225">
        <v>15</v>
      </c>
    </row>
    <row r="116" spans="1:6" s="801" customFormat="1" ht="24">
      <c r="A116" s="3225">
        <v>44</v>
      </c>
      <c r="B116" s="3586" t="s">
        <v>3119</v>
      </c>
      <c r="C116" s="3225" t="s">
        <v>3120</v>
      </c>
      <c r="D116" s="3205" t="s">
        <v>3121</v>
      </c>
      <c r="E116" s="3226">
        <v>0.1</v>
      </c>
      <c r="F116" s="3225">
        <v>15</v>
      </c>
    </row>
    <row r="117" spans="1:6" s="801" customFormat="1" ht="24">
      <c r="A117" s="3225">
        <v>45</v>
      </c>
      <c r="B117" s="3587"/>
      <c r="C117" s="3205" t="s">
        <v>3122</v>
      </c>
      <c r="D117" s="3205" t="s">
        <v>3123</v>
      </c>
      <c r="E117" s="3226">
        <v>0.1</v>
      </c>
      <c r="F117" s="3225">
        <v>15</v>
      </c>
    </row>
    <row r="118" spans="1:6" s="801" customFormat="1" ht="24">
      <c r="A118" s="3225">
        <v>46</v>
      </c>
      <c r="B118" s="3586" t="s">
        <v>3124</v>
      </c>
      <c r="C118" s="3225" t="s">
        <v>3125</v>
      </c>
      <c r="D118" s="3205" t="s">
        <v>3126</v>
      </c>
      <c r="E118" s="3226">
        <v>0.1</v>
      </c>
      <c r="F118" s="3225">
        <v>15</v>
      </c>
    </row>
    <row r="119" spans="1:6" s="801" customFormat="1" ht="24">
      <c r="A119" s="3225">
        <v>47</v>
      </c>
      <c r="B119" s="3587"/>
      <c r="C119" s="3225" t="s">
        <v>3127</v>
      </c>
      <c r="D119" s="3205" t="s">
        <v>3128</v>
      </c>
      <c r="E119" s="3226">
        <v>0.1</v>
      </c>
      <c r="F119" s="3225">
        <v>15</v>
      </c>
    </row>
    <row r="120" spans="1:6" s="801" customFormat="1" ht="24">
      <c r="A120" s="3225">
        <v>48</v>
      </c>
      <c r="B120" s="3586" t="s">
        <v>3129</v>
      </c>
      <c r="C120" s="3225" t="s">
        <v>3130</v>
      </c>
      <c r="D120" s="3205" t="s">
        <v>3131</v>
      </c>
      <c r="E120" s="3226">
        <v>0.1</v>
      </c>
      <c r="F120" s="3225">
        <v>15</v>
      </c>
    </row>
    <row r="121" spans="1:6" s="801" customFormat="1" ht="13.5">
      <c r="A121" s="3225">
        <v>49</v>
      </c>
      <c r="B121" s="3587"/>
      <c r="C121" s="3225" t="s">
        <v>3132</v>
      </c>
      <c r="D121" s="3205" t="s">
        <v>3133</v>
      </c>
      <c r="E121" s="3226">
        <v>0.1</v>
      </c>
      <c r="F121" s="3225">
        <v>15</v>
      </c>
    </row>
    <row r="122" spans="1:6" s="801" customFormat="1" ht="24">
      <c r="A122" s="3225">
        <v>50</v>
      </c>
      <c r="B122" s="3585" t="s">
        <v>3134</v>
      </c>
      <c r="C122" s="3225" t="s">
        <v>3135</v>
      </c>
      <c r="D122" s="3205" t="s">
        <v>3136</v>
      </c>
      <c r="E122" s="3226">
        <v>0.1</v>
      </c>
      <c r="F122" s="3225">
        <v>15</v>
      </c>
    </row>
    <row r="123" spans="1:6" s="801" customFormat="1" ht="24">
      <c r="A123" s="3225">
        <v>51</v>
      </c>
      <c r="B123" s="3585"/>
      <c r="C123" s="3225" t="s">
        <v>3137</v>
      </c>
      <c r="D123" s="3205" t="s">
        <v>3138</v>
      </c>
      <c r="E123" s="3226">
        <v>0.1</v>
      </c>
      <c r="F123" s="3225">
        <v>15</v>
      </c>
    </row>
    <row r="124" spans="1:6" s="801" customFormat="1" ht="24">
      <c r="A124" s="3225">
        <v>52</v>
      </c>
      <c r="B124" s="3585" t="s">
        <v>3139</v>
      </c>
      <c r="C124" s="3225" t="s">
        <v>3140</v>
      </c>
      <c r="D124" s="3205" t="s">
        <v>3141</v>
      </c>
      <c r="E124" s="3226">
        <v>0.1</v>
      </c>
      <c r="F124" s="3225">
        <v>15</v>
      </c>
    </row>
    <row r="125" spans="1:6" s="801" customFormat="1" ht="24">
      <c r="A125" s="3225">
        <v>53</v>
      </c>
      <c r="B125" s="3585"/>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85" t="s">
        <v>3147</v>
      </c>
      <c r="C127" s="3225" t="s">
        <v>3148</v>
      </c>
      <c r="D127" s="3205" t="s">
        <v>3149</v>
      </c>
      <c r="E127" s="3226">
        <v>0.1</v>
      </c>
      <c r="F127" s="3225">
        <v>15</v>
      </c>
    </row>
    <row r="128" spans="1:6" ht="13.5">
      <c r="A128" s="3225">
        <v>56</v>
      </c>
      <c r="B128" s="3585"/>
      <c r="C128" s="3225" t="s">
        <v>3150</v>
      </c>
      <c r="D128" s="3205" t="s">
        <v>3151</v>
      </c>
      <c r="E128" s="3226">
        <v>0.1</v>
      </c>
      <c r="F128" s="3225">
        <v>15</v>
      </c>
    </row>
    <row r="129" spans="1:6" ht="24">
      <c r="A129" s="3225">
        <v>57</v>
      </c>
      <c r="B129" s="3585"/>
      <c r="C129" s="3225" t="s">
        <v>3152</v>
      </c>
      <c r="D129" s="3205" t="s">
        <v>3153</v>
      </c>
      <c r="E129" s="3226">
        <v>0.1</v>
      </c>
      <c r="F129" s="3225">
        <v>15</v>
      </c>
    </row>
    <row r="130" spans="1:6" ht="24">
      <c r="A130" s="3225">
        <v>58</v>
      </c>
      <c r="B130" s="3585" t="s">
        <v>3154</v>
      </c>
      <c r="C130" s="3225" t="s">
        <v>3155</v>
      </c>
      <c r="D130" s="3205" t="s">
        <v>3156</v>
      </c>
      <c r="E130" s="3226">
        <v>0.1</v>
      </c>
      <c r="F130" s="3225">
        <v>15</v>
      </c>
    </row>
    <row r="131" spans="1:6" ht="24">
      <c r="A131" s="3225">
        <v>59</v>
      </c>
      <c r="B131" s="3585"/>
      <c r="C131" s="3225" t="s">
        <v>3157</v>
      </c>
      <c r="D131" s="3205" t="s">
        <v>3158</v>
      </c>
      <c r="E131" s="3226">
        <v>0.1</v>
      </c>
      <c r="F131" s="3225">
        <v>15</v>
      </c>
    </row>
    <row r="132" spans="1:6" ht="24">
      <c r="A132" s="3225">
        <v>60</v>
      </c>
      <c r="B132" s="3586" t="s">
        <v>3159</v>
      </c>
      <c r="C132" s="3225" t="s">
        <v>3160</v>
      </c>
      <c r="D132" s="3205" t="s">
        <v>3161</v>
      </c>
      <c r="E132" s="3226">
        <v>0.1</v>
      </c>
      <c r="F132" s="3225">
        <v>15</v>
      </c>
    </row>
    <row r="133" spans="1:6" ht="24">
      <c r="A133" s="3225">
        <v>61</v>
      </c>
      <c r="B133" s="3587"/>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85" t="s">
        <v>3167</v>
      </c>
      <c r="C135" s="3225" t="s">
        <v>3168</v>
      </c>
      <c r="D135" s="3205" t="s">
        <v>3169</v>
      </c>
      <c r="E135" s="3226">
        <v>0.1</v>
      </c>
      <c r="F135" s="3225">
        <v>15</v>
      </c>
    </row>
    <row r="136" spans="1:6" ht="13.5">
      <c r="A136" s="3225">
        <v>64</v>
      </c>
      <c r="B136" s="3585"/>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602" t="s">
        <v>877</v>
      </c>
      <c r="C1" s="3602"/>
      <c r="D1" s="3602"/>
      <c r="E1" s="3602"/>
      <c r="F1" s="3602"/>
      <c r="G1" s="3601" t="s">
        <v>878</v>
      </c>
      <c r="H1" s="3601"/>
      <c r="I1" s="3601"/>
      <c r="J1" s="3601"/>
      <c r="K1" s="3601"/>
      <c r="L1" s="3601"/>
      <c r="N1" s="3601" t="s">
        <v>879</v>
      </c>
      <c r="O1" s="3601"/>
      <c r="P1" s="3601"/>
      <c r="Q1" s="3601"/>
      <c r="S1" s="3601" t="s">
        <v>880</v>
      </c>
      <c r="T1" s="3601"/>
      <c r="U1" s="3601"/>
      <c r="V1" s="3601"/>
      <c r="X1" s="3600" t="s">
        <v>881</v>
      </c>
      <c r="Y1" s="3601"/>
      <c r="Z1" s="3601"/>
      <c r="AA1" s="3601"/>
      <c r="AB1" s="3601"/>
      <c r="AD1" s="3600" t="s">
        <v>882</v>
      </c>
      <c r="AE1" s="3601"/>
      <c r="AF1" s="3601"/>
      <c r="AG1" s="3601"/>
      <c r="AH1" s="360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9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9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9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607"/>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603">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9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9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607"/>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603">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9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9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9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9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9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9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9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9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9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9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9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604">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605"/>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605"/>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606"/>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9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9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9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9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9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9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9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9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9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9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9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9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9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9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9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9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9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9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9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9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9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9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9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9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9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9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9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9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9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9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9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9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9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9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9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9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9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9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9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9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9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9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9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9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11" t="s">
        <v>2584</v>
      </c>
      <c r="D1" s="3612"/>
      <c r="E1" s="3612"/>
      <c r="F1" s="3612"/>
      <c r="G1" s="3612"/>
      <c r="H1" s="3612"/>
      <c r="I1" s="3612"/>
      <c r="J1" s="3612"/>
      <c r="K1" s="3612"/>
      <c r="L1" s="3612"/>
      <c r="M1" s="3612"/>
      <c r="N1" s="3612"/>
      <c r="O1" s="3612"/>
      <c r="P1" s="3612"/>
      <c r="Q1" s="3612"/>
      <c r="R1" s="3612"/>
      <c r="S1" s="361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2587</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2588</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2589</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2593</v>
      </c>
      <c r="B17" s="2315"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2595</v>
      </c>
      <c r="E19" s="1474"/>
      <c r="F19" s="1474"/>
      <c r="G19" s="1474"/>
      <c r="H19" s="1171"/>
      <c r="I19" s="164"/>
      <c r="J19" s="164"/>
      <c r="K19" s="164"/>
      <c r="L19" s="164"/>
      <c r="M19" s="164"/>
      <c r="N19" s="164"/>
      <c r="O19" s="164"/>
      <c r="P19" s="164"/>
      <c r="Q19" s="164"/>
      <c r="R19" s="727"/>
      <c r="S19" s="134"/>
    </row>
    <row r="20" spans="1:45" ht="16.5" thickBot="1">
      <c r="A20" s="671" t="s">
        <v>2596</v>
      </c>
      <c r="B20" s="300" t="e">
        <f ca="1">IF(D20="——",S22,S22-F20)</f>
        <v>#REF!</v>
      </c>
      <c r="C20" s="164"/>
      <c r="D20" s="2317"/>
      <c r="E20" s="1475"/>
      <c r="F20" s="1095" t="e">
        <f ca="1">SUMIF(INDIRECT("'"&amp;H20&amp;"'"&amp;"!A:A"),"承租人权益价值",INDIRECT("'"&amp;H20&amp;"'"&amp;"!c:c"))</f>
        <v>#REF!</v>
      </c>
      <c r="G20" s="1095" t="s">
        <v>2597</v>
      </c>
      <c r="H20" s="2318"/>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8" t="s">
        <v>33</v>
      </c>
      <c r="D22" s="3609"/>
      <c r="E22" s="3609"/>
      <c r="F22" s="3609"/>
      <c r="G22" s="3609"/>
      <c r="H22" s="3609"/>
      <c r="I22" s="3609"/>
      <c r="J22" s="3609"/>
      <c r="K22" s="3609"/>
      <c r="L22" s="3609"/>
      <c r="M22" s="3609"/>
      <c r="N22" s="3609"/>
      <c r="O22" s="3609"/>
      <c r="P22" s="3609"/>
      <c r="Q22" s="361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9.5" thickBot="1">
      <c r="A4" s="1628"/>
      <c r="B4" s="3275" t="s">
        <v>1354</v>
      </c>
      <c r="C4" s="3275"/>
      <c r="D4" s="3275"/>
      <c r="E4" s="1628"/>
    </row>
    <row r="5" spans="1:5" ht="16.5" thickTop="1">
      <c r="A5" s="1626"/>
      <c r="B5" s="3273" t="s">
        <v>1346</v>
      </c>
      <c r="C5" s="1629" t="s">
        <v>1347</v>
      </c>
      <c r="D5" s="940">
        <f ca="1">结果表!H101</f>
        <v>50123</v>
      </c>
      <c r="E5" s="1626"/>
    </row>
    <row r="6" spans="1:5" ht="15.75">
      <c r="A6" s="1626"/>
      <c r="B6" s="3273"/>
      <c r="C6" s="1629" t="s">
        <v>1348</v>
      </c>
      <c r="D6" s="940" t="str">
        <f ca="1">NUMBERSTRING(INT(D5*10000),2)&amp;"元整"</f>
        <v>伍亿零壹佰贰拾叁万元整</v>
      </c>
      <c r="E6" s="1626"/>
    </row>
    <row r="7" spans="1:5" ht="15.75">
      <c r="A7" s="1626"/>
      <c r="B7" s="3278"/>
      <c r="C7" s="1630" t="s">
        <v>1349</v>
      </c>
      <c r="D7" s="941">
        <f ca="1">结果表!H102</f>
        <v>21260</v>
      </c>
      <c r="E7" s="1626"/>
    </row>
    <row r="8" spans="1:5" ht="15.75">
      <c r="A8" s="1626"/>
      <c r="B8" s="3279" t="str">
        <f>结果表!E103</f>
        <v>2.估价师知悉的法定优先受偿款</v>
      </c>
      <c r="C8" s="1631" t="s">
        <v>1350</v>
      </c>
      <c r="D8" s="941">
        <f>结果表!H103</f>
        <v>0</v>
      </c>
      <c r="E8" s="1626"/>
    </row>
    <row r="9" spans="1:5" ht="15.75">
      <c r="A9" s="1626"/>
      <c r="B9" s="3281"/>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72" t="str">
        <f>结果表!E107</f>
        <v>3.房地产抵押价值</v>
      </c>
      <c r="C13" s="1634" t="s">
        <v>1347</v>
      </c>
      <c r="D13" s="943">
        <f ca="1">结果表!H107</f>
        <v>50123</v>
      </c>
      <c r="E13" s="1626"/>
    </row>
    <row r="14" spans="1:5" ht="15.75">
      <c r="A14" s="1626"/>
      <c r="B14" s="3273"/>
      <c r="C14" s="1629" t="s">
        <v>1348</v>
      </c>
      <c r="D14" s="940" t="str">
        <f ca="1">NUMBERSTRING(INT(D13*10000),2)&amp;"元整"</f>
        <v>伍亿零壹佰贰拾叁万元整</v>
      </c>
      <c r="E14" s="1626"/>
    </row>
    <row r="15" spans="1:5" ht="15">
      <c r="A15" s="1626"/>
      <c r="B15" s="3278"/>
      <c r="C15" s="1630" t="s">
        <v>1358</v>
      </c>
      <c r="D15" s="949">
        <f ca="1">结果表!H108</f>
        <v>21260</v>
      </c>
      <c r="E15" s="1626"/>
    </row>
    <row r="16" spans="1:5" ht="15">
      <c r="A16" s="1626"/>
      <c r="B16" s="3279" t="str">
        <f>结果表!E109</f>
        <v>——</v>
      </c>
      <c r="C16" s="1634" t="s">
        <v>1359</v>
      </c>
      <c r="D16" s="1635" t="str">
        <f>结果表!H109</f>
        <v>——</v>
      </c>
      <c r="E16" s="1626"/>
    </row>
    <row r="17" spans="1:5" ht="15.75">
      <c r="A17" s="1626"/>
      <c r="B17" s="3280"/>
      <c r="C17" s="1629" t="s">
        <v>1360</v>
      </c>
      <c r="D17" s="940" t="e">
        <f>NUMBERSTRING(INT(D16*10000),2)&amp;"元整"</f>
        <v>#VALUE!</v>
      </c>
      <c r="E17" s="1626"/>
    </row>
    <row r="18" spans="1:5" ht="15">
      <c r="A18" s="1626"/>
      <c r="B18" s="3281"/>
      <c r="C18" s="1630" t="s">
        <v>1349</v>
      </c>
      <c r="D18" s="949" t="str">
        <f>结果表!H110</f>
        <v>——</v>
      </c>
      <c r="E18" s="1626"/>
    </row>
    <row r="19" spans="1:5" ht="15.75">
      <c r="A19" s="1626"/>
      <c r="B19" s="3272" t="str">
        <f>结果表!E111</f>
        <v>——</v>
      </c>
      <c r="C19" s="1634" t="s">
        <v>1347</v>
      </c>
      <c r="D19" s="941" t="str">
        <f>结果表!H111</f>
        <v>——</v>
      </c>
      <c r="E19" s="1626"/>
    </row>
    <row r="20" spans="1:5" ht="15.75">
      <c r="A20" s="1626"/>
      <c r="B20" s="3273"/>
      <c r="C20" s="1629" t="s">
        <v>1360</v>
      </c>
      <c r="D20" s="940" t="e">
        <f>NUMBERSTRING(INT(D19*10000),2)&amp;"元整"</f>
        <v>#VALUE!</v>
      </c>
      <c r="E20" s="1626"/>
    </row>
    <row r="21" spans="1:5" ht="15.75" thickBot="1">
      <c r="A21" s="1626"/>
      <c r="B21" s="3274"/>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44834</v>
      </c>
      <c r="C2" s="2" t="s">
        <v>133</v>
      </c>
      <c r="D2" s="205"/>
      <c r="E2" s="205"/>
      <c r="F2" s="205"/>
      <c r="G2" s="205"/>
    </row>
    <row r="3" spans="1:7" s="206" customFormat="1" ht="18" customHeight="1" thickBot="1">
      <c r="A3" s="209" t="s">
        <v>85</v>
      </c>
      <c r="B3" s="210">
        <f ca="1">ROUND(B2*10000/'数据-汇总表'!E3,0)</f>
        <v>19017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472</v>
      </c>
      <c r="D10" s="935">
        <f>'数据-汇总表'!E6</f>
        <v>23576.31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472</v>
      </c>
      <c r="D19" s="939">
        <f>'数据-汇总表'!E3</f>
        <v>23576.31</v>
      </c>
      <c r="E19" s="217">
        <f>'数据-取费表'!B31</f>
        <v>200</v>
      </c>
      <c r="F19" s="237"/>
      <c r="G19" s="1" t="s">
        <v>861</v>
      </c>
    </row>
    <row r="20" spans="1:7" s="220" customFormat="1" ht="13.5" customHeight="1">
      <c r="A20" s="866" t="s">
        <v>844</v>
      </c>
      <c r="B20" s="216" t="s">
        <v>104</v>
      </c>
      <c r="C20" s="238">
        <f>ROUND((C5+C19)*F20,0)</f>
        <v>632</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6">
        <f ca="1">ROUND(SUM(C23:C25),0)</f>
        <v>1901</v>
      </c>
      <c r="D22" s="241">
        <f ca="1">C26</f>
        <v>1.2999999999999999E-3</v>
      </c>
      <c r="E22" s="242" t="s">
        <v>126</v>
      </c>
      <c r="F22" s="243">
        <f ca="1">'数据-取费表'!B40</f>
        <v>4.3499999999999997E-2</v>
      </c>
      <c r="G22" s="1180" t="str">
        <f>IF('数据-取费表'!B22&lt;=1,"单利计息","复利计息")</f>
        <v>复利计息</v>
      </c>
    </row>
    <row r="23" spans="1:7" s="220" customFormat="1" ht="13.5" customHeight="1">
      <c r="A23" s="869" t="s">
        <v>613</v>
      </c>
      <c r="B23" s="221" t="s">
        <v>848</v>
      </c>
      <c r="C23" s="1217">
        <f ca="1">ROUND(IF('数据-取费表'!B22&lt;=1,C5*F22*'数据-取费表'!B23,C5*(POWER((1+F22),'数据-取费表'!B23)-1)),0)</f>
        <v>1832</v>
      </c>
      <c r="D23" s="244"/>
      <c r="E23" s="244"/>
      <c r="F23" s="245"/>
      <c r="G23" s="246" t="s">
        <v>108</v>
      </c>
    </row>
    <row r="24" spans="1:7" s="220" customFormat="1" ht="13.5" customHeight="1">
      <c r="A24" s="869" t="s">
        <v>611</v>
      </c>
      <c r="B24" s="221" t="s">
        <v>843</v>
      </c>
      <c r="C24" s="1217">
        <f ca="1">ROUND(IF('数据-取费表'!B22&lt;=1,C19*F22*('数据-取费表'!B19/2+'数据-取费表'!B21),C19*(POWER((1+F22),('数据-取费表'!B19/2+'数据-取费表'!B21))-1)),0)</f>
        <v>42</v>
      </c>
      <c r="D24" s="244"/>
      <c r="E24" s="244"/>
      <c r="F24" s="245"/>
      <c r="G24" s="246" t="s">
        <v>109</v>
      </c>
    </row>
    <row r="25" spans="1:7" s="220" customFormat="1" ht="24">
      <c r="A25" s="869" t="s">
        <v>612</v>
      </c>
      <c r="B25" s="221" t="s">
        <v>845</v>
      </c>
      <c r="C25" s="1217">
        <f ca="1">ROUND(IF('数据-取费表'!B22&lt;=1,C20*F22*'数据-取费表'!B23/2,C20*(POWER((1+F22),'数据-取费表'!B23/2)-1)),0)</f>
        <v>27</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4343</v>
      </c>
      <c r="D27" s="241">
        <f>C29</f>
        <v>6.0000000000000001E-3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4343</v>
      </c>
      <c r="D28" s="241"/>
      <c r="E28" s="242"/>
      <c r="F28" s="252"/>
      <c r="G28" s="253"/>
    </row>
    <row r="29" spans="1:7" s="220" customFormat="1" ht="13.5" customHeight="1">
      <c r="A29" s="869" t="s">
        <v>611</v>
      </c>
      <c r="B29" s="254" t="s">
        <v>850</v>
      </c>
      <c r="C29" s="244">
        <f>ROUND(C21*F27*'数据-取费表'!B21/'数据-取费表'!B20,4)</f>
        <v>6.0000000000000001E-3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30744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11770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10609</v>
      </c>
      <c r="D34" s="223"/>
      <c r="E34" s="226"/>
      <c r="F34" s="263">
        <f>IF('数据-取费表'!B24=0,1,'数据-取费表'!N16)</f>
        <v>1</v>
      </c>
      <c r="G34" s="225" t="s">
        <v>116</v>
      </c>
    </row>
    <row r="35" spans="1:7" ht="13.5" customHeight="1">
      <c r="A35" s="869" t="s">
        <v>615</v>
      </c>
      <c r="B35" s="221" t="s">
        <v>60</v>
      </c>
      <c r="C35" s="226">
        <f>ROUND(C34*F35,0)</f>
        <v>530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472</v>
      </c>
      <c r="D37" s="223">
        <f>'数据-汇总表'!E3</f>
        <v>23576.31</v>
      </c>
      <c r="E37" s="255">
        <f>'数据-取费表'!B35</f>
        <v>200</v>
      </c>
      <c r="F37" s="265"/>
      <c r="G37" s="267" t="s">
        <v>119</v>
      </c>
    </row>
    <row r="38" spans="1:7" ht="13.5" customHeight="1">
      <c r="A38" s="869" t="s">
        <v>618</v>
      </c>
      <c r="B38" s="221" t="s">
        <v>63</v>
      </c>
      <c r="C38" s="226">
        <f>ROUND(C34*F38,0)</f>
        <v>159</v>
      </c>
      <c r="D38" s="226"/>
      <c r="E38" s="226"/>
      <c r="F38" s="265">
        <f>'数据-取费表'!B36</f>
        <v>1.4999999999999999E-2</v>
      </c>
      <c r="G38" s="225" t="s">
        <v>117</v>
      </c>
    </row>
    <row r="39" spans="1:7" s="220" customFormat="1" ht="13.5" customHeight="1">
      <c r="A39" s="866" t="s">
        <v>602</v>
      </c>
      <c r="B39" s="216" t="s">
        <v>104</v>
      </c>
      <c r="C39" s="238">
        <f>ROUND(C33*F20,0)</f>
        <v>353</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527</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512</v>
      </c>
      <c r="D42" s="244"/>
      <c r="E42" s="244"/>
      <c r="F42" s="245"/>
      <c r="G42" s="3460" t="s">
        <v>121</v>
      </c>
    </row>
    <row r="43" spans="1:7" ht="13.5" customHeight="1">
      <c r="A43" s="869" t="s">
        <v>611</v>
      </c>
      <c r="B43" s="221" t="s">
        <v>851</v>
      </c>
      <c r="C43" s="244">
        <f ca="1">ROUND(IF('数据-取费表'!B22&lt;=1,C39*F22*'数据-取费表'!B21/2,C39*(POWER((1+F22),'数据-取费表'!B21/2)-1)),0)</f>
        <v>15</v>
      </c>
      <c r="D43" s="244"/>
      <c r="E43" s="244"/>
      <c r="F43" s="245"/>
      <c r="G43" s="3461"/>
    </row>
    <row r="44" spans="1:7" ht="13.5" customHeight="1">
      <c r="A44" s="869" t="s">
        <v>612</v>
      </c>
      <c r="B44" s="221" t="s">
        <v>853</v>
      </c>
      <c r="C44" s="244">
        <f ca="1">ROUND(IF('数据-取费表'!B22&lt;=1,C40*F22*'数据-取费表'!B21/2,C40*(POWER((1+F22),'数据-取费表'!B21/2)-1)),4)</f>
        <v>1.2999999999999999E-3</v>
      </c>
      <c r="D44" s="244"/>
      <c r="E44" s="244"/>
      <c r="F44" s="245"/>
      <c r="G44" s="3462"/>
    </row>
    <row r="45" spans="1:7" s="220" customFormat="1" ht="13.5" customHeight="1">
      <c r="A45" s="866" t="s">
        <v>605</v>
      </c>
      <c r="B45" s="250" t="s">
        <v>112</v>
      </c>
      <c r="C45" s="251">
        <f>C46</f>
        <v>2425</v>
      </c>
      <c r="D45" s="241">
        <f>C47</f>
        <v>6.0000000000000001E-3</v>
      </c>
      <c r="E45" s="242" t="s">
        <v>129</v>
      </c>
      <c r="F45" s="252"/>
      <c r="G45" s="253" t="s">
        <v>859</v>
      </c>
    </row>
    <row r="46" spans="1:7" s="220" customFormat="1" ht="13.5" customHeight="1">
      <c r="A46" s="869" t="s">
        <v>613</v>
      </c>
      <c r="B46" s="254" t="s">
        <v>852</v>
      </c>
      <c r="C46" s="255">
        <f>ROUND((C33+C39)*F27,0)</f>
        <v>2425</v>
      </c>
      <c r="D46" s="269"/>
      <c r="E46" s="242"/>
      <c r="F46" s="252"/>
      <c r="G46" s="253"/>
    </row>
    <row r="47" spans="1:7" s="220" customFormat="1" ht="13.5" customHeight="1">
      <c r="A47" s="869" t="s">
        <v>611</v>
      </c>
      <c r="B47" s="254" t="s">
        <v>854</v>
      </c>
      <c r="C47" s="244">
        <f>ROUND(C40*F27,4)</f>
        <v>6.0000000000000001E-3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16577</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14090</v>
      </c>
      <c r="D51" s="238"/>
      <c r="E51" s="238"/>
      <c r="F51" s="270"/>
      <c r="G51" s="240" t="s">
        <v>64</v>
      </c>
    </row>
    <row r="52" spans="1:7" s="214" customFormat="1" ht="16.5" thickBot="1">
      <c r="A52" s="271" t="s">
        <v>65</v>
      </c>
      <c r="B52" s="272"/>
      <c r="C52" s="273">
        <f ca="1">C31+C51</f>
        <v>44834</v>
      </c>
      <c r="D52" s="272"/>
      <c r="E52" s="272"/>
      <c r="F52" s="272"/>
      <c r="G52" s="274"/>
    </row>
    <row r="55" spans="1:7" ht="15">
      <c r="B55" s="276" t="s">
        <v>66</v>
      </c>
      <c r="C55" s="277"/>
    </row>
    <row r="56" spans="1:7">
      <c r="B56" s="279" t="s">
        <v>67</v>
      </c>
      <c r="C56" s="280">
        <f ca="1">ROUND(C51/C52,3)</f>
        <v>0.314</v>
      </c>
    </row>
    <row r="57" spans="1:7">
      <c r="B57" s="279" t="s">
        <v>68</v>
      </c>
      <c r="C57" s="281">
        <f ca="1">1-C56</f>
        <v>0.68599999999999994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4" t="s">
        <v>156</v>
      </c>
      <c r="B1" s="3614"/>
      <c r="C1" s="3614"/>
      <c r="D1" s="3614"/>
      <c r="E1" s="3614"/>
      <c r="F1" s="36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5" t="s">
        <v>169</v>
      </c>
      <c r="B2" s="3615"/>
      <c r="C2" s="3615"/>
      <c r="D2" s="3615"/>
      <c r="E2" s="3615"/>
      <c r="F2" s="36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4" t="s">
        <v>658</v>
      </c>
      <c r="B1" s="361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44818</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70</v>
      </c>
      <c r="E1" s="1497" t="s">
        <v>1111</v>
      </c>
      <c r="F1" s="1174">
        <f ca="1">J53</f>
        <v>17.579999999999998</v>
      </c>
      <c r="G1" s="1512">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33660</v>
      </c>
      <c r="C2" s="1521" t="s">
        <v>1240</v>
      </c>
      <c r="D2" s="1521"/>
      <c r="E2" s="1522"/>
      <c r="F2" s="1523"/>
      <c r="G2" s="2884"/>
      <c r="H2" s="2873"/>
      <c r="I2" s="2873"/>
      <c r="J2" s="2873"/>
      <c r="K2" s="2874"/>
      <c r="L2" s="2873"/>
      <c r="M2" s="2873"/>
    </row>
    <row r="3" spans="1:37" ht="18" customHeight="1" thickBot="1">
      <c r="A3" s="1524" t="s">
        <v>1241</v>
      </c>
      <c r="B3" s="1525">
        <f ca="1">IF(ISERROR(B2*10000/F43),0,ROUND(B2*10000/F43,0))</f>
        <v>14277</v>
      </c>
      <c r="C3" s="1521" t="s">
        <v>1242</v>
      </c>
      <c r="D3" s="1521"/>
      <c r="E3" s="1522"/>
      <c r="F3" s="1523"/>
      <c r="G3" s="2884"/>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2870</v>
      </c>
      <c r="D5" s="1498" t="s">
        <v>1126</v>
      </c>
      <c r="E5" s="1184"/>
      <c r="F5" s="1185"/>
      <c r="G5" s="1518"/>
      <c r="H5" s="305">
        <v>1</v>
      </c>
      <c r="I5" s="306" t="s">
        <v>1125</v>
      </c>
      <c r="J5" s="1183">
        <f ca="1">J6+J10+J12</f>
        <v>0</v>
      </c>
      <c r="K5" s="1498" t="s">
        <v>1126</v>
      </c>
      <c r="L5" s="1184"/>
      <c r="M5" s="1185"/>
    </row>
    <row r="6" spans="1:37" ht="18" customHeight="1">
      <c r="A6" s="1182" t="s">
        <v>822</v>
      </c>
      <c r="B6" s="3467" t="s">
        <v>1127</v>
      </c>
      <c r="C6" s="1187">
        <f ca="1">ROUND(F6*F8*F7*(1-F9)/10000,0)</f>
        <v>2866</v>
      </c>
      <c r="D6" s="160" t="s">
        <v>2609</v>
      </c>
      <c r="E6" s="308" t="s">
        <v>1129</v>
      </c>
      <c r="F6" s="309">
        <f ca="1">INDIRECT("'数据-取费表'!u"&amp;$G$1)</f>
        <v>3.7</v>
      </c>
      <c r="G6" s="1518"/>
      <c r="H6" s="1182" t="s">
        <v>822</v>
      </c>
      <c r="I6" s="3467" t="s">
        <v>1127</v>
      </c>
      <c r="J6" s="307">
        <f ca="1">ROUND(M6*M8*M7*(1-M9)/10000,0)</f>
        <v>0</v>
      </c>
      <c r="K6" s="160" t="s">
        <v>2608</v>
      </c>
      <c r="L6" s="308" t="s">
        <v>1129</v>
      </c>
      <c r="M6" s="309">
        <f ca="1">INDIRECT("'数据-取费表'!z"&amp;$G$1)</f>
        <v>0</v>
      </c>
    </row>
    <row r="7" spans="1:37" ht="18" customHeight="1">
      <c r="A7" s="1186"/>
      <c r="B7" s="3468"/>
      <c r="C7" s="1188"/>
      <c r="D7" s="313"/>
      <c r="E7" s="3258" t="s">
        <v>1130</v>
      </c>
      <c r="F7" s="309">
        <f ca="1">IF(INDIRECT("'数据-取费表'!ah"&amp;$G$1)="",INDIRECT("'数据-取费表'!k"&amp;$G$1),INDIRECT("'数据-取费表'!ah"&amp;$G$1))</f>
        <v>23576.31</v>
      </c>
      <c r="G7" s="1518"/>
      <c r="H7" s="310"/>
      <c r="I7" s="3468"/>
      <c r="J7" s="312"/>
      <c r="K7" s="313"/>
      <c r="L7" s="308" t="s">
        <v>1130</v>
      </c>
      <c r="M7" s="309">
        <f ca="1">F7</f>
        <v>23576.31</v>
      </c>
    </row>
    <row r="8" spans="1:37" ht="18" customHeight="1">
      <c r="A8" s="310"/>
      <c r="B8" s="3468"/>
      <c r="C8" s="312"/>
      <c r="D8" s="313"/>
      <c r="E8" s="308" t="s">
        <v>1131</v>
      </c>
      <c r="F8" s="309">
        <f ca="1">INDIRECT("'数据-取费表'!ai"&amp;$G$1)</f>
        <v>365</v>
      </c>
      <c r="G8" s="1518"/>
      <c r="H8" s="310"/>
      <c r="I8" s="3468"/>
      <c r="J8" s="312"/>
      <c r="K8" s="313"/>
      <c r="L8" s="308" t="s">
        <v>1131</v>
      </c>
      <c r="M8" s="309">
        <f ca="1">INDIRECT("'数据-取费表'!ai"&amp;$G$1)</f>
        <v>365</v>
      </c>
    </row>
    <row r="9" spans="1:37" ht="18" customHeight="1">
      <c r="A9" s="310"/>
      <c r="B9" s="3469"/>
      <c r="C9" s="312"/>
      <c r="D9" s="313"/>
      <c r="E9" s="308" t="s">
        <v>1132</v>
      </c>
      <c r="F9" s="318">
        <f ca="1">INDIRECT("'数据-取费表'!w"&amp;$G$1)</f>
        <v>0.1</v>
      </c>
      <c r="G9" s="1518"/>
      <c r="H9" s="310"/>
      <c r="I9" s="3469"/>
      <c r="J9" s="312"/>
      <c r="K9" s="313"/>
      <c r="L9" s="319" t="s">
        <v>1132</v>
      </c>
      <c r="M9" s="320">
        <f ca="1">INDIRECT("'数据-取费表'!ab"&amp;$G$1)</f>
        <v>0</v>
      </c>
    </row>
    <row r="10" spans="1:37" ht="18" customHeight="1">
      <c r="A10" s="1182" t="s">
        <v>826</v>
      </c>
      <c r="B10" s="1499" t="s">
        <v>1133</v>
      </c>
      <c r="C10" s="322">
        <f ca="1">ROUND(IF(F10="押一",C6/12*F11,IF(F10="押二",C6/12*2*F11,IF(F10="押三",C6/12*3*F11,C11*F11))),0)</f>
        <v>4</v>
      </c>
      <c r="D10" s="1500" t="s">
        <v>2616</v>
      </c>
      <c r="E10" s="319" t="s">
        <v>1134</v>
      </c>
      <c r="F10" s="1228" t="s">
        <v>3252</v>
      </c>
      <c r="G10" s="1518"/>
      <c r="H10" s="1182" t="s">
        <v>826</v>
      </c>
      <c r="I10" s="1499" t="s">
        <v>1133</v>
      </c>
      <c r="J10" s="307">
        <f ca="1">ROUND(IF(M10="押一",J6/12*M11,IF(M10="押二",J6/12*2*M11,IF(M10="押三",J6/12*3*M11,J11*M11))),0)</f>
        <v>0</v>
      </c>
      <c r="K10" s="1500" t="s">
        <v>2616</v>
      </c>
      <c r="L10" s="319" t="s">
        <v>1134</v>
      </c>
      <c r="M10" s="1228"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14090</v>
      </c>
      <c r="D13" s="3255" t="s">
        <v>1139</v>
      </c>
      <c r="E13" s="3255" t="s">
        <v>1140</v>
      </c>
      <c r="F13" s="1194">
        <f ca="1">INDIRECT("'数据-取费表'!y"&amp;$G$1)</f>
        <v>0.85</v>
      </c>
      <c r="G13" s="1518"/>
      <c r="H13" s="1191">
        <v>2</v>
      </c>
      <c r="I13" s="1192" t="s">
        <v>1138</v>
      </c>
      <c r="J13" s="1181">
        <f ca="1">ROUND(J14*J15,0)</f>
        <v>0</v>
      </c>
      <c r="K13" s="1199" t="s">
        <v>1139</v>
      </c>
      <c r="L13" s="1526"/>
      <c r="M13" s="1527"/>
    </row>
    <row r="14" spans="1:37" ht="18" customHeight="1">
      <c r="A14" s="1094" t="s">
        <v>821</v>
      </c>
      <c r="B14" s="308" t="s">
        <v>1141</v>
      </c>
      <c r="C14" s="324">
        <f ca="1">INDIRECT("'数据-取费表'!m"&amp;$G$1)+INDIRECT("'数据-取费表'!t"&amp;$G$1)</f>
        <v>10609</v>
      </c>
      <c r="D14" s="3261" t="s">
        <v>1142</v>
      </c>
      <c r="E14" s="3260"/>
      <c r="F14" s="325"/>
      <c r="G14" s="1518"/>
      <c r="H14" s="1094" t="s">
        <v>822</v>
      </c>
      <c r="I14" s="308" t="s">
        <v>1143</v>
      </c>
      <c r="J14" s="24">
        <f ca="1">C29</f>
        <v>16577</v>
      </c>
      <c r="K14" s="3257"/>
      <c r="L14" s="897"/>
      <c r="M14" s="898"/>
    </row>
    <row r="15" spans="1:37" s="1531" customFormat="1" ht="18" customHeight="1" thickBot="1">
      <c r="A15" s="1094" t="s">
        <v>823</v>
      </c>
      <c r="B15" s="308" t="s">
        <v>1144</v>
      </c>
      <c r="C15" s="24">
        <f ca="1">ROUND(C14*F15,0)</f>
        <v>530</v>
      </c>
      <c r="D15" s="3256" t="s">
        <v>1145</v>
      </c>
      <c r="E15" s="325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175</v>
      </c>
      <c r="K16" s="1199" t="s">
        <v>1149</v>
      </c>
      <c r="L16" s="3263"/>
      <c r="M16" s="1185"/>
    </row>
    <row r="17" spans="1:37" s="1531" customFormat="1" ht="18" customHeight="1">
      <c r="A17" s="1094" t="s">
        <v>1114</v>
      </c>
      <c r="B17" s="308" t="s">
        <v>1150</v>
      </c>
      <c r="C17" s="24">
        <f ca="1">ROUND(F17*(F43+INDIRECT("'数据-取费表'!S"&amp;$G$1))/10000,0)</f>
        <v>472</v>
      </c>
      <c r="D17" s="308" t="s">
        <v>1151</v>
      </c>
      <c r="E17" s="308" t="s">
        <v>1152</v>
      </c>
      <c r="F17" s="26">
        <f>'数据-取费表'!B35</f>
        <v>200</v>
      </c>
      <c r="G17" s="1530"/>
      <c r="H17" s="1094" t="s">
        <v>822</v>
      </c>
      <c r="I17" s="308" t="s">
        <v>1153</v>
      </c>
      <c r="J17" s="2484">
        <f ca="1">ROUND(IF(AND(项目基本情况!B11="自然人",项目基本情况!B10="北京市"),J6*M17/(1+'数据-取费表'!C42),J18+J19+J20),0)</f>
        <v>142</v>
      </c>
      <c r="K17" s="3261" t="s">
        <v>1154</v>
      </c>
      <c r="L17" s="3262"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159</v>
      </c>
      <c r="D18" s="308" t="s">
        <v>1145</v>
      </c>
      <c r="E18" s="308" t="s">
        <v>1146</v>
      </c>
      <c r="F18" s="328">
        <f>'数据-取费表'!B36</f>
        <v>1.4999999999999999E-2</v>
      </c>
      <c r="G18" s="1530"/>
      <c r="H18" s="1094" t="s">
        <v>821</v>
      </c>
      <c r="I18" s="308" t="s">
        <v>1157</v>
      </c>
      <c r="J18" s="24">
        <f ca="1">ROUND(J6*M18/(1+'数据-取费表'!C42),2)</f>
        <v>0</v>
      </c>
      <c r="K18" s="3262"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11770</v>
      </c>
      <c r="D19" s="136" t="s">
        <v>1160</v>
      </c>
      <c r="E19" s="3265"/>
      <c r="F19" s="26"/>
      <c r="G19" s="1518"/>
      <c r="H19" s="1094" t="s">
        <v>823</v>
      </c>
      <c r="I19" s="308" t="s">
        <v>1161</v>
      </c>
      <c r="J19" s="24">
        <f ca="1">IF(K19="按租金收入计税",ROUND(J6*M19/(1+'数据-取费表'!C42),2),ROUND(C29*M19*0.7,2))</f>
        <v>139.25</v>
      </c>
      <c r="K19" s="1504" t="s">
        <v>1162</v>
      </c>
      <c r="L19" s="308" t="s">
        <v>1146</v>
      </c>
      <c r="M19" s="328">
        <f>IF(K19="按租金收入计税",'数据-取费表'!B51,'数据-取费表'!B50)</f>
        <v>1.2E-2</v>
      </c>
    </row>
    <row r="20" spans="1:37" s="1531" customFormat="1" ht="18" customHeight="1">
      <c r="A20" s="1094" t="s">
        <v>826</v>
      </c>
      <c r="B20" s="308" t="s">
        <v>1163</v>
      </c>
      <c r="C20" s="24">
        <f ca="1">ROUND(C19*F20,0)</f>
        <v>353</v>
      </c>
      <c r="D20" s="329" t="s">
        <v>1164</v>
      </c>
      <c r="E20" s="308" t="s">
        <v>1146</v>
      </c>
      <c r="F20" s="328">
        <f>'数据-取费表'!B37</f>
        <v>0.03</v>
      </c>
      <c r="G20" s="1530"/>
      <c r="H20" s="1094" t="s">
        <v>1113</v>
      </c>
      <c r="I20" s="160" t="s">
        <v>1165</v>
      </c>
      <c r="J20" s="25">
        <f ca="1">ROUND(M20*M21/10000,2)</f>
        <v>2.92</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0.03</v>
      </c>
      <c r="G21" s="1530"/>
      <c r="H21" s="332"/>
      <c r="I21" s="317"/>
      <c r="J21" s="29"/>
      <c r="K21" s="333"/>
      <c r="L21" s="308" t="s">
        <v>1171</v>
      </c>
      <c r="M21" s="309">
        <f ca="1">INDIRECT("'数据-取费表'!r"&amp;$G$1)</f>
        <v>2435.9</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65"/>
      <c r="F22" s="26"/>
      <c r="G22" s="1518"/>
      <c r="H22" s="1094" t="s">
        <v>826</v>
      </c>
      <c r="I22" s="308" t="s">
        <v>1173</v>
      </c>
      <c r="J22" s="24">
        <f ca="1">ROUND(J14*M22,1)</f>
        <v>33.200000000000003</v>
      </c>
      <c r="K22" s="3262" t="s">
        <v>1174</v>
      </c>
      <c r="L22" s="308" t="s">
        <v>1146</v>
      </c>
      <c r="M22" s="334">
        <f ca="1">INDIRECT("'数据-取费表'!Ak"&amp;$G$1)</f>
        <v>2E-3</v>
      </c>
    </row>
    <row r="23" spans="1:37" s="1531" customFormat="1" ht="18" customHeight="1">
      <c r="A23" s="1094" t="s">
        <v>821</v>
      </c>
      <c r="B23" s="308" t="s">
        <v>1175</v>
      </c>
      <c r="C23" s="24">
        <f ca="1">IF('数据-取费表'!B22&lt;=1,ROUND(C19*F24*F23/2,0)+ROUND(C20*F24*F23/2,0),ROUND(C19*(POWER((1+F24),F23/2)-1),0)+ROUND(C20*(POWER((1+F24),F23/2)-1),0))</f>
        <v>527</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3262"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4.3499999999999997E-2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65"/>
      <c r="F25" s="26"/>
      <c r="G25" s="1518"/>
      <c r="H25" s="1191" t="s">
        <v>818</v>
      </c>
      <c r="I25" s="1206" t="s">
        <v>1187</v>
      </c>
      <c r="J25" s="316">
        <f ca="1">J5-J16</f>
        <v>-175</v>
      </c>
      <c r="K25" s="1207" t="s">
        <v>1188</v>
      </c>
      <c r="L25" s="1208"/>
      <c r="M25" s="1209"/>
    </row>
    <row r="26" spans="1:37">
      <c r="A26" s="1094" t="s">
        <v>821</v>
      </c>
      <c r="B26" s="308" t="s">
        <v>1189</v>
      </c>
      <c r="C26" s="24">
        <f ca="1">ROUND((C19+C20)*F26,0)</f>
        <v>2425</v>
      </c>
      <c r="D26" s="329" t="s">
        <v>1190</v>
      </c>
      <c r="E26" s="319" t="s">
        <v>1191</v>
      </c>
      <c r="F26" s="318">
        <f ca="1">INDIRECT("'数据-取费表'!q"&amp;$G$1)</f>
        <v>0.2</v>
      </c>
      <c r="G26" s="1518"/>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6.0000000000000001E-3</v>
      </c>
      <c r="D27" s="329" t="s">
        <v>1196</v>
      </c>
      <c r="E27" s="325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16577</v>
      </c>
      <c r="D29" s="1204"/>
      <c r="E29" s="1202"/>
      <c r="F29" s="1205"/>
      <c r="G29" s="1530"/>
      <c r="H29" s="340" t="s">
        <v>820</v>
      </c>
      <c r="I29" s="341" t="s">
        <v>1203</v>
      </c>
      <c r="J29" s="342">
        <f ca="1">ROUND(J26/(1+F40)^F41,0)</f>
        <v>0</v>
      </c>
      <c r="K29" s="343" t="s">
        <v>1204</v>
      </c>
      <c r="L29" s="344"/>
      <c r="M29" s="345">
        <f ca="1">INDIRECT("'数据-取费表'!k"&amp;$G$1)</f>
        <v>23576.31</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559</v>
      </c>
      <c r="D30" s="1199" t="s">
        <v>1149</v>
      </c>
      <c r="E30" s="3263"/>
      <c r="F30" s="1185"/>
      <c r="G30" s="1518"/>
      <c r="H30" s="2875"/>
      <c r="I30" s="1532"/>
      <c r="J30" s="1533"/>
      <c r="K30" s="2650"/>
      <c r="L30" s="2876"/>
      <c r="M30" s="2877"/>
    </row>
    <row r="31" spans="1:37" ht="18" customHeight="1">
      <c r="A31" s="1094" t="s">
        <v>822</v>
      </c>
      <c r="B31" s="308" t="s">
        <v>1153</v>
      </c>
      <c r="C31" s="2484">
        <f ca="1">ROUND(IF(AND(项目基本情况!B11="自然人",项目基本情况!B10="北京市"),C6*F31/(1+'数据-取费表'!C42),C32+C33+C34),0)</f>
        <v>483</v>
      </c>
      <c r="D31" s="3261" t="s">
        <v>1154</v>
      </c>
      <c r="E31" s="3262"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4" t="s">
        <v>821</v>
      </c>
      <c r="B32" s="308" t="s">
        <v>1157</v>
      </c>
      <c r="C32" s="24">
        <f ca="1">IF(项目基本情况!B11="自然人","——",ROUND(C6*F32/(1+'数据-取费表'!C42),2))</f>
        <v>152.85</v>
      </c>
      <c r="D32" s="3262" t="s">
        <v>1158</v>
      </c>
      <c r="E32" s="308" t="s">
        <v>1146</v>
      </c>
      <c r="F32" s="337">
        <f>'数据-取费表'!B41</f>
        <v>5.6000000000000001E-2</v>
      </c>
      <c r="G32" s="1518"/>
      <c r="H32" s="2875"/>
      <c r="I32" s="1532"/>
      <c r="J32" s="1533"/>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327.54000000000002</v>
      </c>
      <c r="D33" s="1504" t="s">
        <v>3253</v>
      </c>
      <c r="E33" s="308" t="s">
        <v>1146</v>
      </c>
      <c r="F33" s="328">
        <f>IF(D33="按票据","——",IF(D33="按租金收入计税",'数据-取费表'!B51,'数据-取费表'!B50))</f>
        <v>0.12</v>
      </c>
      <c r="G33" s="1518"/>
      <c r="H33" s="2878"/>
      <c r="I33" s="1532"/>
      <c r="J33" s="1533"/>
      <c r="K33" s="2879"/>
      <c r="L33" s="2878"/>
      <c r="M33" s="2878"/>
    </row>
    <row r="34" spans="1:18" ht="18" customHeight="1">
      <c r="A34" s="1182" t="s">
        <v>1113</v>
      </c>
      <c r="B34" s="160" t="s">
        <v>1165</v>
      </c>
      <c r="C34" s="25">
        <f ca="1">IF(项目基本情况!B11="自然人","——",ROUND(F34*F35/10000,2))</f>
        <v>2.92</v>
      </c>
      <c r="D34" s="330" t="s">
        <v>1166</v>
      </c>
      <c r="E34" s="308" t="s">
        <v>1167</v>
      </c>
      <c r="F34" s="331">
        <f>'数据-取费表'!B52</f>
        <v>12</v>
      </c>
      <c r="G34" s="1518"/>
      <c r="H34" s="2875"/>
      <c r="I34" s="1532"/>
      <c r="J34" s="1533"/>
      <c r="K34" s="2880"/>
      <c r="L34" s="2881"/>
      <c r="M34" s="2881"/>
    </row>
    <row r="35" spans="1:18" ht="18" customHeight="1">
      <c r="A35" s="1215"/>
      <c r="B35" s="1213"/>
      <c r="C35" s="29"/>
      <c r="D35" s="333"/>
      <c r="E35" s="308" t="s">
        <v>1171</v>
      </c>
      <c r="F35" s="309">
        <f ca="1">INDIRECT("'数据-取费表'!r"&amp;$G$1)</f>
        <v>2435.9</v>
      </c>
      <c r="G35" s="1518"/>
      <c r="H35" s="2875"/>
      <c r="I35" s="1532"/>
      <c r="J35" s="1533"/>
      <c r="K35" s="2879"/>
      <c r="L35" s="2878"/>
      <c r="M35" s="2878"/>
    </row>
    <row r="36" spans="1:18" ht="18" customHeight="1">
      <c r="A36" s="1214" t="s">
        <v>826</v>
      </c>
      <c r="B36" s="308" t="s">
        <v>1173</v>
      </c>
      <c r="C36" s="24">
        <f ca="1">ROUND(C29*F36,1)</f>
        <v>33.200000000000003</v>
      </c>
      <c r="D36" s="3262" t="s">
        <v>1206</v>
      </c>
      <c r="E36" s="308" t="s">
        <v>1146</v>
      </c>
      <c r="F36" s="334">
        <f ca="1">INDIRECT("'数据-取费表'!Ak"&amp;$G$1)</f>
        <v>2E-3</v>
      </c>
      <c r="G36" s="1518"/>
      <c r="H36" s="2878"/>
      <c r="I36" s="1532"/>
      <c r="J36" s="1533"/>
      <c r="K36" s="2719"/>
      <c r="L36" s="2878"/>
      <c r="M36" s="2878"/>
    </row>
    <row r="37" spans="1:18" ht="18" customHeight="1">
      <c r="A37" s="1094" t="s">
        <v>862</v>
      </c>
      <c r="B37" s="308" t="s">
        <v>1177</v>
      </c>
      <c r="C37" s="24">
        <f ca="1">ROUND(C13*F37,1)</f>
        <v>14.1</v>
      </c>
      <c r="D37" s="3262" t="s">
        <v>1178</v>
      </c>
      <c r="E37" s="308" t="s">
        <v>1146</v>
      </c>
      <c r="F37" s="336">
        <f ca="1">INDIRECT("'数据-取费表'!Al"&amp;$G$1)</f>
        <v>1E-3</v>
      </c>
      <c r="G37" s="1518"/>
      <c r="H37" s="2878"/>
      <c r="I37" s="1532"/>
      <c r="J37" s="1533"/>
      <c r="K37" s="2719"/>
      <c r="L37" s="2878"/>
      <c r="M37" s="2878"/>
    </row>
    <row r="38" spans="1:18" ht="18" customHeight="1" thickBot="1">
      <c r="A38" s="1201" t="s">
        <v>1116</v>
      </c>
      <c r="B38" s="1202" t="s">
        <v>1163</v>
      </c>
      <c r="C38" s="1203">
        <f ca="1">ROUND(C5*F38,1)</f>
        <v>28.7</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6">
        <f ca="1">C5-C30</f>
        <v>2311</v>
      </c>
      <c r="D39" s="1207" t="s">
        <v>1188</v>
      </c>
      <c r="E39" s="1208"/>
      <c r="F39" s="1209"/>
      <c r="G39" s="1518"/>
      <c r="H39" s="2878"/>
      <c r="I39" s="1532"/>
      <c r="J39" s="1533"/>
      <c r="K39" s="2882"/>
      <c r="L39" s="2878"/>
      <c r="M39" s="2878"/>
    </row>
    <row r="40" spans="1:18" ht="18" customHeight="1">
      <c r="A40" s="305" t="s">
        <v>819</v>
      </c>
      <c r="B40" s="306" t="s">
        <v>1209</v>
      </c>
      <c r="C40" s="307">
        <f ca="1">ROUND(C39*(1-((1+F42)/(1+F40))^F41)/(F40-F42),0)</f>
        <v>31800</v>
      </c>
      <c r="D40" s="330" t="s">
        <v>1193</v>
      </c>
      <c r="E40" s="308" t="s">
        <v>1194</v>
      </c>
      <c r="F40" s="318">
        <f ca="1">INDIRECT("'数据-取费表'!I"&amp;$G$1)</f>
        <v>5.5E-2</v>
      </c>
      <c r="G40" s="1518"/>
      <c r="H40" s="1595"/>
      <c r="I40" s="1532"/>
      <c r="J40" s="1533"/>
      <c r="K40" s="2882"/>
      <c r="L40" s="1595"/>
      <c r="M40" s="1595"/>
    </row>
    <row r="41" spans="1:18" ht="18" customHeight="1">
      <c r="A41" s="310"/>
      <c r="B41" s="311"/>
      <c r="C41" s="312"/>
      <c r="D41" s="338" t="s">
        <v>1210</v>
      </c>
      <c r="E41" s="308" t="s">
        <v>1198</v>
      </c>
      <c r="F41" s="339">
        <f ca="1">IF(INDIRECT("'数据-取费表'!af"&amp;$G$1)=0,INDIRECT("'数据-取费表'!ae"&amp;$G$1),INDIRECT("'数据-取费表'!af"&amp;$G$1))</f>
        <v>17.579999999999998</v>
      </c>
      <c r="G41" s="1518"/>
      <c r="H41" s="1305"/>
      <c r="I41" s="1532"/>
      <c r="J41" s="1533"/>
      <c r="K41" s="2719"/>
      <c r="L41" s="1305"/>
      <c r="M41" s="1305"/>
    </row>
    <row r="42" spans="1:18" ht="18" customHeight="1">
      <c r="A42" s="314"/>
      <c r="B42" s="315"/>
      <c r="C42" s="316"/>
      <c r="D42" s="333"/>
      <c r="E42" s="308" t="s">
        <v>1201</v>
      </c>
      <c r="F42" s="318">
        <f ca="1">INDIRECT("'数据-取费表'!v"&amp;$G$1)</f>
        <v>0.03</v>
      </c>
      <c r="G42" s="1518"/>
      <c r="H42" s="1305"/>
      <c r="I42" s="1532"/>
      <c r="J42" s="1533"/>
      <c r="K42" s="2719"/>
      <c r="L42" s="1305"/>
      <c r="M42" s="1305"/>
    </row>
    <row r="43" spans="1:18" ht="18" customHeight="1" thickBot="1">
      <c r="A43" s="340" t="s">
        <v>820</v>
      </c>
      <c r="B43" s="341" t="s">
        <v>1211</v>
      </c>
      <c r="C43" s="342">
        <f ca="1">ROUND(C40*10000/F43,0)</f>
        <v>13488</v>
      </c>
      <c r="D43" s="343" t="s">
        <v>1212</v>
      </c>
      <c r="E43" s="344" t="s">
        <v>1213</v>
      </c>
      <c r="F43" s="345">
        <f ca="1">INDIRECT("'数据-取费表'!k"&amp;$G$1)</f>
        <v>23576.31</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3" t="s">
        <v>1243</v>
      </c>
      <c r="P45" s="1595"/>
      <c r="Q45" s="1595"/>
      <c r="R45" s="1595"/>
    </row>
    <row r="46" spans="1:18" s="1518" customFormat="1" ht="13.5" thickBot="1">
      <c r="A46" s="1538" t="s">
        <v>1244</v>
      </c>
      <c r="C46" s="1539">
        <f ca="1">C68-C40</f>
        <v>-47789</v>
      </c>
      <c r="D46" s="1540" t="str">
        <f>C2</f>
        <v>万元</v>
      </c>
      <c r="E46" s="1534"/>
      <c r="F46" s="1534"/>
      <c r="I46" s="1541" t="s">
        <v>1245</v>
      </c>
      <c r="J46" s="1542"/>
      <c r="K46" s="1543"/>
      <c r="L46" s="1544">
        <f ca="1">IF(M47="住宅",0,IF(L48&gt;J51,L60,J60))</f>
        <v>1860</v>
      </c>
      <c r="O46" s="1545" t="s">
        <v>1246</v>
      </c>
      <c r="P46" s="1546" t="s">
        <v>1247</v>
      </c>
      <c r="Q46" s="1547" t="s">
        <v>1248</v>
      </c>
      <c r="R46" s="1547" t="s">
        <v>1249</v>
      </c>
    </row>
    <row r="47" spans="1:18" s="1518" customFormat="1" ht="13.5" thickBot="1">
      <c r="A47" s="1058" t="s">
        <v>1120</v>
      </c>
      <c r="B47" s="1090" t="s">
        <v>1121</v>
      </c>
      <c r="C47" s="1229" t="s">
        <v>1122</v>
      </c>
      <c r="D47" s="1090" t="s">
        <v>1123</v>
      </c>
      <c r="E47" s="1170" t="s">
        <v>1124</v>
      </c>
      <c r="F47" s="1171"/>
      <c r="G47" s="731"/>
      <c r="I47" s="1548" t="s">
        <v>1250</v>
      </c>
      <c r="J47" s="1549" t="s">
        <v>3254</v>
      </c>
      <c r="K47" s="1550" t="s">
        <v>1251</v>
      </c>
      <c r="L47" s="1551">
        <f ca="1">INDIRECT("'数据-取费表'!d"&amp;$G$1)</f>
        <v>40</v>
      </c>
      <c r="M47" s="1514" t="str">
        <f>IF(ISNUMBER(FIND("住宅",C1)),"住宅","非住宅")</f>
        <v>非住宅</v>
      </c>
      <c r="O47" s="1552" t="s">
        <v>827</v>
      </c>
      <c r="P47" s="1553" t="s">
        <v>1252</v>
      </c>
      <c r="Q47" s="1554">
        <f ca="1">C40+J29</f>
        <v>31800</v>
      </c>
      <c r="R47" s="1554" t="s">
        <v>1253</v>
      </c>
    </row>
    <row r="48" spans="1:18" s="1518" customFormat="1" ht="28.5" thickBot="1">
      <c r="A48" s="1222" t="s">
        <v>863</v>
      </c>
      <c r="B48" s="306" t="s">
        <v>1125</v>
      </c>
      <c r="C48" s="3264">
        <f ca="1">C49+C53+C55</f>
        <v>0</v>
      </c>
      <c r="D48" s="1224"/>
      <c r="E48" s="1225"/>
      <c r="F48" s="1074"/>
      <c r="G48" s="731"/>
      <c r="H48" s="732"/>
      <c r="I48" s="1555" t="s">
        <v>1254</v>
      </c>
      <c r="J48" s="1556" t="s">
        <v>3255</v>
      </c>
      <c r="K48" s="1557" t="s">
        <v>1255</v>
      </c>
      <c r="L48" s="1558">
        <f ca="1">INDIRECT("'数据-取费表'!f"&amp;$G$1)</f>
        <v>17.579999999999998</v>
      </c>
      <c r="O48" s="1552" t="s">
        <v>828</v>
      </c>
      <c r="P48" s="1553" t="s">
        <v>1256</v>
      </c>
      <c r="Q48" s="1554">
        <f ca="1">J60</f>
        <v>1860</v>
      </c>
      <c r="R48" s="1554" t="s">
        <v>1257</v>
      </c>
    </row>
    <row r="49" spans="1:18" s="1518" customFormat="1" ht="13.5" thickBot="1">
      <c r="A49" s="1087" t="s">
        <v>864</v>
      </c>
      <c r="B49" s="1505" t="s">
        <v>1214</v>
      </c>
      <c r="C49" s="1226">
        <f ca="1">ROUND(F49*F51*F50*(1-F52)/10000,0)</f>
        <v>0</v>
      </c>
      <c r="D49" s="1167" t="s">
        <v>2608</v>
      </c>
      <c r="E49" s="1506" t="s">
        <v>1215</v>
      </c>
      <c r="F49" s="1172"/>
      <c r="G49" s="1559"/>
      <c r="H49" s="732"/>
      <c r="I49" s="1555" t="s">
        <v>1258</v>
      </c>
      <c r="J49" s="1560">
        <v>2000</v>
      </c>
      <c r="K49" s="1557" t="s">
        <v>1259</v>
      </c>
      <c r="L49" s="1561"/>
      <c r="O49" s="1562" t="s">
        <v>829</v>
      </c>
      <c r="P49" s="1553" t="s">
        <v>1260</v>
      </c>
      <c r="Q49" s="1554">
        <f ca="1">C29</f>
        <v>16577</v>
      </c>
      <c r="R49" s="1554" t="s">
        <v>1253</v>
      </c>
    </row>
    <row r="50" spans="1:18" s="1518" customFormat="1" ht="13.5" thickBot="1">
      <c r="A50" s="1088"/>
      <c r="B50" s="1091"/>
      <c r="C50" s="1230"/>
      <c r="D50" s="1065"/>
      <c r="E50" s="1168" t="s">
        <v>1130</v>
      </c>
      <c r="F50" s="1169">
        <f ca="1">F7</f>
        <v>23576.31</v>
      </c>
      <c r="H50" s="732"/>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9"/>
      <c r="B51" s="1091"/>
      <c r="C51" s="1092"/>
      <c r="D51" s="1065"/>
      <c r="E51" s="1093" t="s">
        <v>1131</v>
      </c>
      <c r="F51" s="309">
        <f ca="1">F8</f>
        <v>365</v>
      </c>
      <c r="I51" s="1566" t="s">
        <v>1264</v>
      </c>
      <c r="J51" s="1567">
        <f>IF(J49="",J50,J49+J50-YEAR('数据-取费表'!B2))</f>
        <v>38</v>
      </c>
      <c r="K51" s="1568" t="s">
        <v>1265</v>
      </c>
      <c r="L51" s="1569">
        <f ca="1">ROUND(-PV(INDIRECT("'数据-取费表'!h"&amp;$G$1),J51,(C39-C13*C76),0),0)</f>
        <v>22345</v>
      </c>
      <c r="M51" s="1570"/>
      <c r="O51" s="1562" t="s">
        <v>831</v>
      </c>
      <c r="P51" s="1553" t="s">
        <v>1266</v>
      </c>
      <c r="Q51" s="1565">
        <f>J52</f>
        <v>7.4999999999999997E-2</v>
      </c>
      <c r="R51" s="1554"/>
    </row>
    <row r="52" spans="1:18" s="1518" customFormat="1" ht="13.5" thickBot="1">
      <c r="A52" s="1089"/>
      <c r="B52" s="1091"/>
      <c r="C52" s="1092"/>
      <c r="D52" s="1065"/>
      <c r="E52" s="1093" t="s">
        <v>1132</v>
      </c>
      <c r="F52" s="1166"/>
      <c r="I52" s="1571" t="s">
        <v>1267</v>
      </c>
      <c r="J52" s="1572">
        <v>7.4999999999999997E-2</v>
      </c>
      <c r="K52" s="1571" t="s">
        <v>1268</v>
      </c>
      <c r="L52" s="1572"/>
      <c r="O52" s="1562" t="s">
        <v>832</v>
      </c>
      <c r="P52" s="1553" t="s">
        <v>1269</v>
      </c>
      <c r="Q52" s="1554">
        <f ca="1">J53</f>
        <v>17.579999999999998</v>
      </c>
      <c r="R52" s="1554" t="s">
        <v>1270</v>
      </c>
    </row>
    <row r="53" spans="1:18" s="1518" customFormat="1" ht="24.75" thickBot="1">
      <c r="A53" s="1266" t="s">
        <v>865</v>
      </c>
      <c r="B53" s="1507" t="s">
        <v>1133</v>
      </c>
      <c r="C53" s="322">
        <f ca="1">ROUND(IF(F53="押一",C49/12*F11,IF(F53="押二",C49/12*2*F11,IF(F53="押三",C49/12*3*F11,C54*F11))),0)</f>
        <v>0</v>
      </c>
      <c r="D53" s="1500" t="s">
        <v>2616</v>
      </c>
      <c r="E53" s="319" t="s">
        <v>1134</v>
      </c>
      <c r="F53" s="1228"/>
      <c r="I53" s="1573" t="s">
        <v>1271</v>
      </c>
      <c r="J53" s="2336">
        <f ca="1">IF(M47="住宅",IF(D1="——",MAX(J51,L48),MAX(J51,L48-'数据-取费表'!B24)),IF(D1="——",MIN(J51,L48),MIN(J51,L48-'数据-取费表'!B24)))</f>
        <v>17.579999999999998</v>
      </c>
      <c r="K53" s="3465" t="s">
        <v>1272</v>
      </c>
      <c r="L53" s="3466"/>
      <c r="O53" s="1552" t="s">
        <v>833</v>
      </c>
      <c r="P53" s="1553" t="s">
        <v>1273</v>
      </c>
      <c r="Q53" s="1554">
        <f ca="1">Q47+Q48</f>
        <v>33660</v>
      </c>
      <c r="R53" s="1554" t="s">
        <v>834</v>
      </c>
    </row>
    <row r="54" spans="1:18" s="1518" customFormat="1" ht="13.5" thickBot="1">
      <c r="A54" s="1267"/>
      <c r="B54" s="1501" t="s">
        <v>1112</v>
      </c>
      <c r="C54" s="1071"/>
      <c r="D54" s="1500"/>
      <c r="E54" s="3259"/>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59"/>
      <c r="F55" s="1574"/>
      <c r="I55" s="1577" t="s">
        <v>1275</v>
      </c>
      <c r="J55" s="1578">
        <f ca="1">ROUND(IF(J47="钢混",J57/J50,1-(1-2%)*(J50-J57)/J50),3)</f>
        <v>0.34</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14090</v>
      </c>
      <c r="D56" s="1581"/>
      <c r="E56" s="1582"/>
      <c r="F56" s="1574"/>
      <c r="I56" s="1583" t="s">
        <v>1278</v>
      </c>
      <c r="J56" s="1584" t="s">
        <v>3302</v>
      </c>
      <c r="K56" s="1555" t="s">
        <v>1279</v>
      </c>
      <c r="L56" s="1558" t="str">
        <f ca="1">IF(L48&lt;J51,"——",L48-J53)</f>
        <v>——</v>
      </c>
      <c r="O56" s="1552" t="s">
        <v>827</v>
      </c>
      <c r="P56" s="1553" t="s">
        <v>1252</v>
      </c>
      <c r="Q56" s="1554">
        <f ca="1">C40+J29</f>
        <v>31800</v>
      </c>
      <c r="R56" s="1554" t="s">
        <v>1253</v>
      </c>
    </row>
    <row r="57" spans="1:18" s="1518" customFormat="1" ht="24.75" thickBot="1">
      <c r="A57" s="1585"/>
      <c r="B57" s="1062" t="s">
        <v>1202</v>
      </c>
      <c r="C57" s="244">
        <f ca="1">C29</f>
        <v>16577</v>
      </c>
      <c r="D57" s="1586"/>
      <c r="E57" s="1587"/>
      <c r="F57" s="1588"/>
      <c r="I57" s="1589" t="s">
        <v>1280</v>
      </c>
      <c r="J57" s="1590">
        <f ca="1">IF(OR(M47="住宅",J51&lt;L48,J56="是"),"——",J51-L48)</f>
        <v>20.420000000000002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1442</v>
      </c>
      <c r="D58" s="1072" t="s">
        <v>1149</v>
      </c>
      <c r="E58" s="1073"/>
      <c r="F58" s="1074"/>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4">
        <f ca="1">ROUND(IF(AND(项目基本情况!B11="自然人",项目基本情况!B10="北京市"),C49*F59/(1+'数据-取费表'!C42),C60+C61+C62),0)</f>
        <v>1395</v>
      </c>
      <c r="D59" s="1075" t="s">
        <v>1154</v>
      </c>
      <c r="E59" s="1076" t="s">
        <v>1155</v>
      </c>
      <c r="F59" s="2483" t="str">
        <f>IF(项目基本情况!B11="企业","——",IF('数据-取费表'!B10="住宅",IF(F49*F50*F51/12/(1+'数据-取费表'!F30)&gt;100000,4%,2.5%),IF(F49*F50*F51/12/(1+'数据-取费表'!F30)&gt;100000,12%,7%)))</f>
        <v>——</v>
      </c>
      <c r="I59" s="1589" t="s">
        <v>1287</v>
      </c>
      <c r="J59" s="1590">
        <f ca="1">IF(OR(M47="住宅",J51&lt;L48,J56="是"),"——",ROUND(C29*J58,0))</f>
        <v>6631</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f ca="1">IF(OR(M47="住宅",J51&lt;L48,J56="是"),"0",ROUND(J59/(1+J52)^J53,0))</f>
        <v>1860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1392.47</v>
      </c>
      <c r="D61" s="1504" t="s">
        <v>1162</v>
      </c>
      <c r="E61" s="1062" t="s">
        <v>1146</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2.92</v>
      </c>
      <c r="D62" s="1077" t="s">
        <v>1166</v>
      </c>
      <c r="E62" s="1062" t="s">
        <v>1167</v>
      </c>
      <c r="F62" s="331">
        <f t="shared" si="0"/>
        <v>12</v>
      </c>
      <c r="I62" s="1596" t="s">
        <v>1294</v>
      </c>
      <c r="J62" s="1597" t="s">
        <v>1295</v>
      </c>
      <c r="K62" s="1597" t="s">
        <v>1296</v>
      </c>
      <c r="L62" s="1597" t="s">
        <v>1297</v>
      </c>
      <c r="M62" s="1598" t="s">
        <v>1298</v>
      </c>
      <c r="O62" s="1552" t="s">
        <v>833</v>
      </c>
      <c r="P62" s="1553" t="s">
        <v>1273</v>
      </c>
      <c r="Q62" s="1554">
        <f ca="1">Q56+Q57</f>
        <v>31800</v>
      </c>
      <c r="R62" s="1554" t="s">
        <v>834</v>
      </c>
    </row>
    <row r="63" spans="1:18" s="1518" customFormat="1" ht="13.5" thickBot="1">
      <c r="A63" s="332"/>
      <c r="B63" s="1068"/>
      <c r="C63" s="29"/>
      <c r="D63" s="1078"/>
      <c r="E63" s="1062" t="s">
        <v>1171</v>
      </c>
      <c r="F63" s="309">
        <f t="shared" ca="1" si="0"/>
        <v>2435.9</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33.200000000000003</v>
      </c>
      <c r="D64" s="1076" t="s">
        <v>1206</v>
      </c>
      <c r="E64" s="1062" t="s">
        <v>1146</v>
      </c>
      <c r="F64" s="334">
        <f t="shared" ca="1" si="0"/>
        <v>2E-3</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14.1</v>
      </c>
      <c r="D65" s="1076" t="s">
        <v>1178</v>
      </c>
      <c r="E65" s="1062" t="s">
        <v>1146</v>
      </c>
      <c r="F65" s="336">
        <f t="shared" ca="1" si="0"/>
        <v>1E-3</v>
      </c>
      <c r="I65" s="1596" t="s">
        <v>1303</v>
      </c>
      <c r="J65" s="1597">
        <v>40</v>
      </c>
      <c r="K65" s="1597">
        <v>30</v>
      </c>
      <c r="L65" s="1597">
        <v>50</v>
      </c>
      <c r="M65" s="1599">
        <v>0.02</v>
      </c>
      <c r="O65" s="1552" t="s">
        <v>827</v>
      </c>
      <c r="P65" s="1553" t="s">
        <v>1252</v>
      </c>
      <c r="Q65" s="1554">
        <f ca="1">C40+J29</f>
        <v>31800</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-1442</v>
      </c>
      <c r="D67" s="1075" t="s">
        <v>1188</v>
      </c>
      <c r="E67" s="1080"/>
      <c r="F67" s="1081"/>
      <c r="O67" s="1562" t="s">
        <v>829</v>
      </c>
      <c r="P67" s="1553" t="s">
        <v>1286</v>
      </c>
      <c r="Q67" s="1600">
        <f ca="1">L51</f>
        <v>22345</v>
      </c>
      <c r="R67" s="1554" t="s">
        <v>1306</v>
      </c>
    </row>
    <row r="68" spans="1:18" s="1518" customFormat="1" ht="16.5" thickBot="1">
      <c r="A68" s="1059" t="s">
        <v>819</v>
      </c>
      <c r="B68" s="1060" t="s">
        <v>1209</v>
      </c>
      <c r="C68" s="307">
        <f ca="1">ROUND(C67*(1-((1+F70)/(1+F68))^F69)/(F68-F70),0)</f>
        <v>-15989</v>
      </c>
      <c r="D68" s="1077" t="s">
        <v>1193</v>
      </c>
      <c r="E68" s="1062" t="s">
        <v>1194</v>
      </c>
      <c r="F68" s="318">
        <f ca="1">F40</f>
        <v>5.5E-2</v>
      </c>
      <c r="O68" s="1562" t="s">
        <v>830</v>
      </c>
      <c r="P68" s="1601" t="s">
        <v>1307</v>
      </c>
      <c r="Q68" s="1554">
        <f ca="1">ROUND(Q69-Q70*Q71,0)</f>
        <v>1325</v>
      </c>
      <c r="R68" s="1554" t="s">
        <v>838</v>
      </c>
    </row>
    <row r="69" spans="1:18" s="1518" customFormat="1" ht="13.5" thickBot="1">
      <c r="A69" s="1063"/>
      <c r="B69" s="1064"/>
      <c r="C69" s="312"/>
      <c r="D69" s="1082" t="s">
        <v>1197</v>
      </c>
      <c r="E69" s="1062" t="s">
        <v>1198</v>
      </c>
      <c r="F69" s="339">
        <f ca="1">F41</f>
        <v>17.579999999999998</v>
      </c>
      <c r="O69" s="1562" t="s">
        <v>835</v>
      </c>
      <c r="P69" s="1601" t="s">
        <v>1308</v>
      </c>
      <c r="Q69" s="1554">
        <f ca="1">C39</f>
        <v>2311</v>
      </c>
      <c r="R69" s="1554" t="s">
        <v>1253</v>
      </c>
    </row>
    <row r="70" spans="1:18" s="1518" customFormat="1" ht="13.5" thickBot="1">
      <c r="A70" s="1066"/>
      <c r="B70" s="1067"/>
      <c r="C70" s="316"/>
      <c r="D70" s="1078"/>
      <c r="E70" s="1062" t="s">
        <v>1201</v>
      </c>
      <c r="F70" s="1166"/>
      <c r="O70" s="1562" t="s">
        <v>836</v>
      </c>
      <c r="P70" s="1601" t="s">
        <v>1309</v>
      </c>
      <c r="Q70" s="1554">
        <f ca="1">C13</f>
        <v>14090</v>
      </c>
      <c r="R70" s="1554" t="s">
        <v>1253</v>
      </c>
    </row>
    <row r="71" spans="1:18" s="1518" customFormat="1" ht="13.5" thickBot="1">
      <c r="A71" s="1083" t="s">
        <v>820</v>
      </c>
      <c r="B71" s="1084" t="s">
        <v>1211</v>
      </c>
      <c r="C71" s="342">
        <f ca="1">ROUND(C68*10000/F71,0)</f>
        <v>-6782</v>
      </c>
      <c r="D71" s="1085" t="s">
        <v>1212</v>
      </c>
      <c r="E71" s="1086" t="s">
        <v>1213</v>
      </c>
      <c r="F71" s="345">
        <f ca="1">F43</f>
        <v>23576.31</v>
      </c>
      <c r="O71" s="1562" t="s">
        <v>837</v>
      </c>
      <c r="P71" s="1601" t="s">
        <v>1310</v>
      </c>
      <c r="Q71" s="1565">
        <f ca="1">C76</f>
        <v>7.0000000000000007E-2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986</v>
      </c>
      <c r="D75" s="1518"/>
      <c r="E75" s="1518"/>
      <c r="F75" s="1518"/>
      <c r="K75" s="1536"/>
      <c r="L75" s="1518"/>
      <c r="O75" s="1552" t="s">
        <v>833</v>
      </c>
      <c r="P75" s="1553" t="s">
        <v>1273</v>
      </c>
      <c r="Q75" s="1554">
        <f ca="1">Q65+Q66</f>
        <v>31800</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0.57299999999999995</v>
      </c>
    </row>
    <row r="80" spans="1:18">
      <c r="B80" s="346" t="s">
        <v>1235</v>
      </c>
      <c r="C80" s="280">
        <f ca="1">ROUND(C75/C39,3)</f>
        <v>0.42699999999999999</v>
      </c>
    </row>
    <row r="81" spans="2:3">
      <c r="B81" s="276" t="s">
        <v>1236</v>
      </c>
      <c r="C81" s="244"/>
    </row>
    <row r="82" spans="2:3">
      <c r="B82" s="279" t="s">
        <v>1237</v>
      </c>
      <c r="C82" s="281">
        <f ca="1">1-C83</f>
        <v>0.55699999999999994</v>
      </c>
    </row>
    <row r="83" spans="2:3">
      <c r="B83" s="279" t="s">
        <v>1238</v>
      </c>
      <c r="C83" s="280">
        <f ca="1">ROUND(C13/C40,3)</f>
        <v>0.443</v>
      </c>
    </row>
  </sheetData>
  <sheetProtection formatCells="0" formatColumns="0" formatRows="0"/>
  <mergeCells count="3">
    <mergeCell ref="B6:B9"/>
    <mergeCell ref="I6:I9"/>
    <mergeCell ref="K53:L53"/>
  </mergeCells>
  <phoneticPr fontId="14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E230"/>
  <sheetViews>
    <sheetView topLeftCell="G1" workbookViewId="0">
      <selection activeCell="P31" sqref="P31"/>
    </sheetView>
  </sheetViews>
  <sheetFormatPr defaultColWidth="9" defaultRowHeight="12"/>
  <cols>
    <col min="1" max="11" width="9" style="3231"/>
    <col min="12" max="12" width="5.375" style="3231" customWidth="1"/>
    <col min="13" max="13" width="7.625" style="3231" customWidth="1"/>
    <col min="14" max="14" width="8.25" style="3231" customWidth="1"/>
    <col min="15" max="15" width="10" style="3231" customWidth="1"/>
    <col min="16" max="16" width="10.625" style="3231" customWidth="1"/>
    <col min="17" max="16384" width="9" style="3231"/>
  </cols>
  <sheetData>
    <row r="3" spans="2:31">
      <c r="L3" s="3618" t="s">
        <v>3263</v>
      </c>
      <c r="M3" s="3618"/>
      <c r="N3" s="3618"/>
      <c r="O3" s="3618"/>
      <c r="P3" s="3618"/>
      <c r="Q3" s="3618"/>
      <c r="S3" s="3231">
        <f>SUM(S5:S12)</f>
        <v>88532.489999999991</v>
      </c>
      <c r="T3" s="3231">
        <f ca="1">系统读取表!D14</f>
        <v>50123</v>
      </c>
      <c r="V3" s="3231">
        <f ca="1">结果表!D118</f>
        <v>37793</v>
      </c>
      <c r="X3" s="3231">
        <f ca="1">结果表!F118</f>
        <v>12330</v>
      </c>
      <c r="AB3" s="3231" t="s">
        <v>3308</v>
      </c>
    </row>
    <row r="4" spans="2:31">
      <c r="B4" s="3622" t="s">
        <v>3180</v>
      </c>
      <c r="C4" s="3622"/>
      <c r="D4" s="3248">
        <v>5557.88</v>
      </c>
      <c r="F4" s="3253">
        <v>-3</v>
      </c>
      <c r="G4" s="3253">
        <v>-369</v>
      </c>
      <c r="H4" s="3253">
        <v>58.12</v>
      </c>
      <c r="I4" s="3253" t="s">
        <v>3189</v>
      </c>
      <c r="L4" s="3239"/>
      <c r="M4" s="3239" t="s">
        <v>3264</v>
      </c>
      <c r="N4" s="3239" t="s">
        <v>3265</v>
      </c>
      <c r="O4" s="3239" t="s">
        <v>3266</v>
      </c>
      <c r="P4" s="3239" t="s">
        <v>3267</v>
      </c>
      <c r="Q4" s="3240" t="s">
        <v>3268</v>
      </c>
      <c r="T4" s="3231" t="s">
        <v>3309</v>
      </c>
      <c r="U4" s="3231" t="s">
        <v>3310</v>
      </c>
      <c r="V4" s="3231" t="s">
        <v>3311</v>
      </c>
      <c r="W4" s="3231" t="s">
        <v>3310</v>
      </c>
      <c r="X4" s="3231" t="s">
        <v>3312</v>
      </c>
      <c r="Y4" s="3231" t="s">
        <v>3310</v>
      </c>
      <c r="AB4" s="3231">
        <f ca="1">SUM(AB5:AB12)</f>
        <v>37796</v>
      </c>
      <c r="AD4" s="3231">
        <f ca="1">SUM(AD5:AD12)</f>
        <v>12329</v>
      </c>
    </row>
    <row r="5" spans="2:31">
      <c r="B5" s="3622" t="s">
        <v>3181</v>
      </c>
      <c r="C5" s="3622"/>
      <c r="D5" s="3246">
        <v>4250.6000000000004</v>
      </c>
      <c r="F5" s="3253">
        <v>-3</v>
      </c>
      <c r="G5" s="3253">
        <v>-377</v>
      </c>
      <c r="H5" s="3253">
        <v>64.31</v>
      </c>
      <c r="I5" s="3253" t="s">
        <v>3189</v>
      </c>
      <c r="L5" s="3619" t="s">
        <v>3269</v>
      </c>
      <c r="M5" s="3241" t="s">
        <v>3270</v>
      </c>
      <c r="N5" s="3241" t="s">
        <v>3271</v>
      </c>
      <c r="O5" s="3251">
        <v>3654.93</v>
      </c>
      <c r="P5" s="3242">
        <f>O5*8078.25/78186.86</f>
        <v>377.62660212342581</v>
      </c>
      <c r="Q5" s="3239" t="s">
        <v>1102</v>
      </c>
      <c r="R5" s="3266">
        <f>'数据-取费表'!W25</f>
        <v>3</v>
      </c>
      <c r="S5" s="3231">
        <f>R5*O5</f>
        <v>10964.789999999999</v>
      </c>
      <c r="T5" s="3231">
        <f ca="1">ROUND($T$3*S5/$S$3,0)</f>
        <v>6208</v>
      </c>
      <c r="U5" s="3231">
        <f ca="1">ROUND(T5*10000/O5,0)</f>
        <v>16985</v>
      </c>
      <c r="V5" s="3231">
        <f ca="1">ROUND($V$3*AB5/$AB$4,0)</f>
        <v>3284</v>
      </c>
      <c r="W5" s="3231">
        <f ca="1">ROUND(V5*10000/O5,0)</f>
        <v>8985</v>
      </c>
      <c r="X5" s="3231">
        <f ca="1">T5-V5</f>
        <v>2924</v>
      </c>
      <c r="Y5" s="3231">
        <f ca="1">U5-W5</f>
        <v>8000</v>
      </c>
      <c r="AB5" s="3231">
        <f ca="1">ROUND(AC5*O5/10000,0)</f>
        <v>3284</v>
      </c>
      <c r="AC5" s="3231">
        <f ca="1">U5-AE5</f>
        <v>8985</v>
      </c>
      <c r="AD5" s="3231">
        <f ca="1">T5-AB5</f>
        <v>2924</v>
      </c>
      <c r="AE5" s="3231">
        <f ca="1">AE17</f>
        <v>8000</v>
      </c>
    </row>
    <row r="6" spans="2:31">
      <c r="B6" s="3622" t="s">
        <v>3182</v>
      </c>
      <c r="C6" s="3622"/>
      <c r="D6" s="3230">
        <v>4684.6400000000003</v>
      </c>
      <c r="F6" s="3253">
        <v>-3</v>
      </c>
      <c r="G6" s="3253">
        <v>-378</v>
      </c>
      <c r="H6" s="3253">
        <v>64.31</v>
      </c>
      <c r="I6" s="3253" t="s">
        <v>3189</v>
      </c>
      <c r="L6" s="3620"/>
      <c r="M6" s="3619" t="s">
        <v>3272</v>
      </c>
      <c r="N6" s="3241" t="s">
        <v>3273</v>
      </c>
      <c r="O6" s="3245">
        <v>2220.27</v>
      </c>
      <c r="P6" s="3242">
        <f t="shared" ref="P6:P12" si="0">O6*8078.25/78186.86</f>
        <v>229.39783139391966</v>
      </c>
      <c r="Q6" s="3239" t="s">
        <v>1102</v>
      </c>
      <c r="R6" s="3266">
        <f>'数据-取费表'!W23</f>
        <v>8.5</v>
      </c>
      <c r="S6" s="3231">
        <f t="shared" ref="S6:S12" si="1">R6*O6</f>
        <v>18872.294999999998</v>
      </c>
      <c r="T6" s="3231">
        <f t="shared" ref="T6:T12" ca="1" si="2">ROUND($T$3*S6/$S$3,0)</f>
        <v>10685</v>
      </c>
      <c r="U6" s="3231">
        <f t="shared" ref="U6:U12" ca="1" si="3">ROUND(T6*10000/O6,0)</f>
        <v>48125</v>
      </c>
      <c r="V6" s="3231">
        <f t="shared" ref="V6:V12" ca="1" si="4">ROUND($V$3*AB6/$AB$4,0)</f>
        <v>8908</v>
      </c>
      <c r="W6" s="3231">
        <f t="shared" ref="W6:W12" ca="1" si="5">ROUND(V6*10000/O6,0)</f>
        <v>40121</v>
      </c>
      <c r="X6" s="3231">
        <f t="shared" ref="X6:Y12" ca="1" si="6">T6-V6</f>
        <v>1777</v>
      </c>
      <c r="Y6" s="3231">
        <f t="shared" ca="1" si="6"/>
        <v>8004</v>
      </c>
      <c r="AB6" s="3231">
        <f t="shared" ref="AB6:AB9" ca="1" si="7">ROUND(AC6*O6/10000,0)</f>
        <v>8909</v>
      </c>
      <c r="AC6" s="3231">
        <f t="shared" ref="AC6:AC9" ca="1" si="8">U6-AE6</f>
        <v>40125</v>
      </c>
      <c r="AD6" s="3231">
        <f t="shared" ref="AD6:AD9" ca="1" si="9">T6-AB6</f>
        <v>1776</v>
      </c>
      <c r="AE6" s="3231">
        <f ca="1">AE5</f>
        <v>8000</v>
      </c>
    </row>
    <row r="7" spans="2:31">
      <c r="B7" s="3622"/>
      <c r="C7" s="3230" t="s">
        <v>3183</v>
      </c>
      <c r="D7" s="3252">
        <v>3654.93</v>
      </c>
      <c r="F7" s="3253">
        <v>-3</v>
      </c>
      <c r="G7" s="3253">
        <v>-383</v>
      </c>
      <c r="H7" s="3253">
        <v>69.33</v>
      </c>
      <c r="I7" s="3253" t="s">
        <v>3189</v>
      </c>
      <c r="L7" s="3620"/>
      <c r="M7" s="3621"/>
      <c r="N7" s="3241" t="s">
        <v>3274</v>
      </c>
      <c r="O7" s="3245">
        <v>2030.33</v>
      </c>
      <c r="P7" s="3242">
        <f t="shared" si="0"/>
        <v>209.77327037433145</v>
      </c>
      <c r="Q7" s="3239" t="s">
        <v>1102</v>
      </c>
      <c r="R7" s="3266">
        <f>R6</f>
        <v>8.5</v>
      </c>
      <c r="S7" s="3231">
        <f t="shared" si="1"/>
        <v>17257.805</v>
      </c>
      <c r="T7" s="3231">
        <f t="shared" ca="1" si="2"/>
        <v>9771</v>
      </c>
      <c r="U7" s="3231">
        <f t="shared" ca="1" si="3"/>
        <v>48125</v>
      </c>
      <c r="V7" s="3231">
        <f t="shared" ca="1" si="4"/>
        <v>8146</v>
      </c>
      <c r="W7" s="3231">
        <f t="shared" ca="1" si="5"/>
        <v>40122</v>
      </c>
      <c r="X7" s="3231">
        <f t="shared" ca="1" si="6"/>
        <v>1625</v>
      </c>
      <c r="Y7" s="3231">
        <f t="shared" ca="1" si="6"/>
        <v>8003</v>
      </c>
      <c r="AB7" s="3231">
        <f t="shared" ca="1" si="7"/>
        <v>8147</v>
      </c>
      <c r="AC7" s="3231">
        <f t="shared" ca="1" si="8"/>
        <v>40125</v>
      </c>
      <c r="AD7" s="3231">
        <f t="shared" ca="1" si="9"/>
        <v>1624</v>
      </c>
      <c r="AE7" s="3231">
        <f ca="1">AE5</f>
        <v>8000</v>
      </c>
    </row>
    <row r="8" spans="2:31">
      <c r="B8" s="3622"/>
      <c r="C8" s="3230" t="s">
        <v>3184</v>
      </c>
      <c r="D8" s="3230">
        <v>715.03</v>
      </c>
      <c r="F8" s="3253">
        <v>-3</v>
      </c>
      <c r="G8" s="3253">
        <v>-385</v>
      </c>
      <c r="H8" s="3253">
        <v>69.33</v>
      </c>
      <c r="I8" s="3253" t="s">
        <v>3189</v>
      </c>
      <c r="L8" s="3620"/>
      <c r="M8" s="3619" t="s">
        <v>3275</v>
      </c>
      <c r="N8" s="3241" t="s">
        <v>3276</v>
      </c>
      <c r="O8" s="3247">
        <v>2323.6</v>
      </c>
      <c r="P8" s="3242">
        <f t="shared" si="0"/>
        <v>240.07386535282271</v>
      </c>
      <c r="Q8" s="3239" t="s">
        <v>1102</v>
      </c>
      <c r="R8" s="3266">
        <f>'数据-取费表'!W24</f>
        <v>6</v>
      </c>
      <c r="S8" s="3231">
        <f t="shared" si="1"/>
        <v>13941.599999999999</v>
      </c>
      <c r="T8" s="3231">
        <f t="shared" ca="1" si="2"/>
        <v>7893</v>
      </c>
      <c r="U8" s="3231">
        <f t="shared" ca="1" si="3"/>
        <v>33969</v>
      </c>
      <c r="V8" s="3231">
        <f t="shared" ca="1" si="4"/>
        <v>6034</v>
      </c>
      <c r="W8" s="3231">
        <f t="shared" ca="1" si="5"/>
        <v>25968</v>
      </c>
      <c r="X8" s="3231">
        <f t="shared" ca="1" si="6"/>
        <v>1859</v>
      </c>
      <c r="Y8" s="3231">
        <f t="shared" ca="1" si="6"/>
        <v>8001</v>
      </c>
      <c r="AB8" s="3231">
        <f t="shared" ca="1" si="7"/>
        <v>6034</v>
      </c>
      <c r="AC8" s="3231">
        <f t="shared" ca="1" si="8"/>
        <v>25969</v>
      </c>
      <c r="AD8" s="3231">
        <f t="shared" ca="1" si="9"/>
        <v>1859</v>
      </c>
      <c r="AE8" s="3231">
        <f ca="1">AE5</f>
        <v>8000</v>
      </c>
    </row>
    <row r="9" spans="2:31">
      <c r="B9" s="3622"/>
      <c r="C9" s="3230" t="s">
        <v>3185</v>
      </c>
      <c r="D9" s="3230">
        <f>4684.64-D7-D8</f>
        <v>314.68000000000052</v>
      </c>
      <c r="F9" s="3253">
        <v>-2</v>
      </c>
      <c r="G9" s="3253">
        <v>-210</v>
      </c>
      <c r="H9" s="3253">
        <v>57.42</v>
      </c>
      <c r="I9" s="3253" t="s">
        <v>3189</v>
      </c>
      <c r="L9" s="3620"/>
      <c r="M9" s="3621"/>
      <c r="N9" s="3241" t="s">
        <v>3277</v>
      </c>
      <c r="O9" s="3247">
        <v>3234.28</v>
      </c>
      <c r="P9" s="3242">
        <f t="shared" si="0"/>
        <v>334.16513222298477</v>
      </c>
      <c r="Q9" s="3239" t="s">
        <v>1102</v>
      </c>
      <c r="R9" s="3266">
        <f>R8</f>
        <v>6</v>
      </c>
      <c r="S9" s="3231">
        <f t="shared" si="1"/>
        <v>19405.68</v>
      </c>
      <c r="T9" s="3231">
        <f t="shared" ca="1" si="2"/>
        <v>10987</v>
      </c>
      <c r="U9" s="3231">
        <f t="shared" ca="1" si="3"/>
        <v>33970</v>
      </c>
      <c r="V9" s="3231">
        <f t="shared" ca="1" si="4"/>
        <v>8398</v>
      </c>
      <c r="W9" s="3231">
        <f t="shared" ca="1" si="5"/>
        <v>25966</v>
      </c>
      <c r="X9" s="3231">
        <f t="shared" ca="1" si="6"/>
        <v>2589</v>
      </c>
      <c r="Y9" s="3231">
        <f t="shared" ca="1" si="6"/>
        <v>8004</v>
      </c>
      <c r="AB9" s="3231">
        <f t="shared" ca="1" si="7"/>
        <v>8399</v>
      </c>
      <c r="AC9" s="3231">
        <f t="shared" ca="1" si="8"/>
        <v>25970</v>
      </c>
      <c r="AD9" s="3231">
        <f t="shared" ca="1" si="9"/>
        <v>2588</v>
      </c>
      <c r="AE9" s="3231">
        <f ca="1">AE5</f>
        <v>8000</v>
      </c>
    </row>
    <row r="10" spans="2:31">
      <c r="B10" s="3622" t="s">
        <v>3186</v>
      </c>
      <c r="C10" s="3622"/>
      <c r="D10" s="3230">
        <f>D11+D12</f>
        <v>3939.920000000001</v>
      </c>
      <c r="F10" s="3253">
        <v>-2</v>
      </c>
      <c r="G10" s="3253">
        <v>-247</v>
      </c>
      <c r="H10" s="3253">
        <v>60.23</v>
      </c>
      <c r="I10" s="3253" t="s">
        <v>3189</v>
      </c>
      <c r="L10" s="3620"/>
      <c r="M10" s="3243" t="s">
        <v>3278</v>
      </c>
      <c r="N10" s="3241"/>
      <c r="O10" s="3239">
        <v>2863.19</v>
      </c>
      <c r="P10" s="3242">
        <f t="shared" si="0"/>
        <v>295.82419114285955</v>
      </c>
      <c r="Q10" s="3239" t="s">
        <v>3279</v>
      </c>
      <c r="R10" s="3266">
        <f>'数据-取费表'!W26</f>
        <v>0.8</v>
      </c>
      <c r="S10" s="3231">
        <f t="shared" si="1"/>
        <v>2290.5520000000001</v>
      </c>
      <c r="T10" s="3231">
        <f t="shared" ca="1" si="2"/>
        <v>1297</v>
      </c>
      <c r="U10" s="3231">
        <f t="shared" ca="1" si="3"/>
        <v>4530</v>
      </c>
      <c r="V10" s="3231">
        <f t="shared" ca="1" si="4"/>
        <v>856</v>
      </c>
      <c r="W10" s="3231">
        <f t="shared" ca="1" si="5"/>
        <v>2990</v>
      </c>
      <c r="X10" s="3231">
        <f t="shared" ca="1" si="6"/>
        <v>441</v>
      </c>
      <c r="Y10" s="3231">
        <f t="shared" ca="1" si="6"/>
        <v>1540</v>
      </c>
      <c r="AB10" s="3231">
        <f t="shared" ref="AB10:AB12" si="10">ROUND(AC10*O10/10000,0)</f>
        <v>856</v>
      </c>
      <c r="AC10" s="3231">
        <f>[2]基准地价修正!$C$42</f>
        <v>2990</v>
      </c>
      <c r="AD10" s="3231">
        <f t="shared" ref="AD10:AE12" ca="1" si="11">T10-AB10</f>
        <v>441</v>
      </c>
      <c r="AE10" s="3231">
        <f t="shared" ca="1" si="11"/>
        <v>1540</v>
      </c>
    </row>
    <row r="11" spans="2:31">
      <c r="B11" s="3622"/>
      <c r="C11" s="3230" t="s">
        <v>3191</v>
      </c>
      <c r="D11" s="3230">
        <f>SUM(H9:H12)+SUM(H160:H205)</f>
        <v>3110.4900000000007</v>
      </c>
      <c r="F11" s="3253">
        <v>-2</v>
      </c>
      <c r="G11" s="3253">
        <v>-249</v>
      </c>
      <c r="H11" s="3253">
        <v>60.23</v>
      </c>
      <c r="I11" s="3253" t="s">
        <v>3189</v>
      </c>
      <c r="L11" s="3620"/>
      <c r="M11" s="3243" t="s">
        <v>3280</v>
      </c>
      <c r="N11" s="3241"/>
      <c r="O11" s="3239">
        <v>5161.18</v>
      </c>
      <c r="P11" s="3242">
        <f t="shared" si="0"/>
        <v>533.2520366593568</v>
      </c>
      <c r="Q11" s="3239" t="s">
        <v>3279</v>
      </c>
      <c r="R11" s="3266">
        <f>R10</f>
        <v>0.8</v>
      </c>
      <c r="S11" s="3231">
        <f t="shared" si="1"/>
        <v>4128.9440000000004</v>
      </c>
      <c r="T11" s="3231">
        <f t="shared" ca="1" si="2"/>
        <v>2338</v>
      </c>
      <c r="U11" s="3231">
        <f t="shared" ca="1" si="3"/>
        <v>4530</v>
      </c>
      <c r="V11" s="3231">
        <f t="shared" ca="1" si="4"/>
        <v>1543</v>
      </c>
      <c r="W11" s="3231">
        <f t="shared" ca="1" si="5"/>
        <v>2990</v>
      </c>
      <c r="X11" s="3231">
        <f t="shared" ca="1" si="6"/>
        <v>795</v>
      </c>
      <c r="Y11" s="3231">
        <f t="shared" ca="1" si="6"/>
        <v>1540</v>
      </c>
      <c r="AB11" s="3231">
        <f t="shared" si="10"/>
        <v>1543</v>
      </c>
      <c r="AC11" s="3231">
        <f>AC10</f>
        <v>2990</v>
      </c>
      <c r="AD11" s="3231">
        <f t="shared" ca="1" si="11"/>
        <v>795</v>
      </c>
      <c r="AE11" s="3231">
        <f t="shared" ca="1" si="11"/>
        <v>1540</v>
      </c>
    </row>
    <row r="12" spans="2:31">
      <c r="B12" s="3622"/>
      <c r="C12" s="3230" t="s">
        <v>3190</v>
      </c>
      <c r="D12" s="3230">
        <f>SUM(H206:H224)</f>
        <v>829.43000000000006</v>
      </c>
      <c r="F12" s="3253">
        <v>-2</v>
      </c>
      <c r="G12" s="3253">
        <v>-263</v>
      </c>
      <c r="H12" s="3253">
        <v>69.42</v>
      </c>
      <c r="I12" s="3253" t="s">
        <v>3189</v>
      </c>
      <c r="L12" s="3620"/>
      <c r="M12" s="3243" t="s">
        <v>3281</v>
      </c>
      <c r="N12" s="3241"/>
      <c r="O12" s="3249">
        <v>2088.5300000000002</v>
      </c>
      <c r="P12" s="3242">
        <f t="shared" si="0"/>
        <v>215.78648218511398</v>
      </c>
      <c r="Q12" s="3239" t="s">
        <v>3279</v>
      </c>
      <c r="R12" s="3266">
        <f>R10</f>
        <v>0.8</v>
      </c>
      <c r="S12" s="3231">
        <f t="shared" si="1"/>
        <v>1670.8240000000003</v>
      </c>
      <c r="T12" s="3231">
        <f t="shared" ca="1" si="2"/>
        <v>946</v>
      </c>
      <c r="U12" s="3231">
        <f t="shared" ca="1" si="3"/>
        <v>4530</v>
      </c>
      <c r="V12" s="3231">
        <f t="shared" ca="1" si="4"/>
        <v>624</v>
      </c>
      <c r="W12" s="3231">
        <f t="shared" ca="1" si="5"/>
        <v>2988</v>
      </c>
      <c r="X12" s="3231">
        <f t="shared" ca="1" si="6"/>
        <v>322</v>
      </c>
      <c r="Y12" s="3231">
        <f t="shared" ca="1" si="6"/>
        <v>1542</v>
      </c>
      <c r="AB12" s="3231">
        <f t="shared" si="10"/>
        <v>624</v>
      </c>
      <c r="AC12" s="3231">
        <f>AC10</f>
        <v>2990</v>
      </c>
      <c r="AD12" s="3231">
        <f t="shared" ca="1" si="11"/>
        <v>322</v>
      </c>
      <c r="AE12" s="3231">
        <f t="shared" ca="1" si="11"/>
        <v>1540</v>
      </c>
    </row>
    <row r="13" spans="2:31">
      <c r="B13" s="3622" t="s">
        <v>3187</v>
      </c>
      <c r="C13" s="3622"/>
      <c r="D13" s="3230">
        <f>D14+D15</f>
        <v>6424.1600000000008</v>
      </c>
      <c r="F13" s="3234">
        <v>-4</v>
      </c>
      <c r="G13" s="3234">
        <v>215</v>
      </c>
      <c r="H13" s="3234">
        <v>68.06</v>
      </c>
      <c r="I13" s="3234" t="s">
        <v>3189</v>
      </c>
      <c r="L13" s="3239" t="s">
        <v>37</v>
      </c>
      <c r="M13" s="3239"/>
      <c r="N13" s="3239"/>
      <c r="O13" s="3239">
        <f>SUM(O5:O12)</f>
        <v>23576.309999999998</v>
      </c>
      <c r="P13" s="3242">
        <f>SUM(P5:P12)</f>
        <v>2435.8994114548145</v>
      </c>
      <c r="Q13" s="3239"/>
    </row>
    <row r="14" spans="2:31">
      <c r="B14" s="3622"/>
      <c r="C14" s="3230" t="s">
        <v>3191</v>
      </c>
      <c r="D14" s="3230">
        <f>SUM(H56:H138,H4:H8)</f>
        <v>5486.5800000000008</v>
      </c>
      <c r="F14" s="3234">
        <v>-4</v>
      </c>
      <c r="G14" s="3234">
        <v>216</v>
      </c>
      <c r="H14" s="3234">
        <v>66</v>
      </c>
      <c r="I14" s="3234" t="s">
        <v>3189</v>
      </c>
      <c r="L14" s="3244" t="s">
        <v>3282</v>
      </c>
      <c r="M14" s="3244"/>
      <c r="N14" s="3244"/>
      <c r="O14" s="3244"/>
      <c r="P14" s="3244"/>
      <c r="Q14" s="3244"/>
    </row>
    <row r="15" spans="2:31" ht="12" customHeight="1">
      <c r="B15" s="3622"/>
      <c r="C15" s="3230" t="s">
        <v>3190</v>
      </c>
      <c r="D15" s="3230">
        <f>SUM(H139:H159)</f>
        <v>937.57999999999993</v>
      </c>
      <c r="F15" s="3234">
        <v>-4</v>
      </c>
      <c r="G15" s="3234">
        <v>217</v>
      </c>
      <c r="H15" s="3234">
        <v>68.06</v>
      </c>
      <c r="I15" s="3234" t="s">
        <v>3189</v>
      </c>
      <c r="L15" s="3244"/>
      <c r="M15" s="3254"/>
      <c r="N15" s="3254"/>
      <c r="O15" s="3254"/>
      <c r="P15" s="3254"/>
      <c r="Q15" s="3254"/>
      <c r="R15" s="3254"/>
      <c r="S15" s="3254"/>
    </row>
    <row r="16" spans="2:31">
      <c r="B16" s="3622" t="s">
        <v>3188</v>
      </c>
      <c r="C16" s="3622"/>
      <c r="D16" s="3230">
        <f>D17+D18</f>
        <v>2333.1300000000006</v>
      </c>
      <c r="F16" s="3234">
        <v>-4</v>
      </c>
      <c r="G16" s="3234">
        <v>218</v>
      </c>
      <c r="H16" s="3234">
        <v>65.81</v>
      </c>
      <c r="I16" s="3234" t="s">
        <v>3189</v>
      </c>
      <c r="AA16" s="3231" t="s">
        <v>3313</v>
      </c>
      <c r="AB16" s="3231">
        <f>SUM(AB10:AB12)</f>
        <v>3023</v>
      </c>
      <c r="AC16" s="3231">
        <f>AB16*10000/(O10+O11+O12)</f>
        <v>2989.2513522332856</v>
      </c>
      <c r="AD16" s="3231">
        <f ca="1">SUM(AD10:AD12)</f>
        <v>1558</v>
      </c>
      <c r="AE16" s="3231">
        <f ca="1">AD16*10000/(O10+O11+O12)</f>
        <v>1540.6065520276081</v>
      </c>
    </row>
    <row r="17" spans="2:31">
      <c r="B17" s="3622"/>
      <c r="C17" s="3230" t="s">
        <v>3191</v>
      </c>
      <c r="D17" s="3250">
        <f>SUM(H13:H47)</f>
        <v>2088.5300000000007</v>
      </c>
      <c r="F17" s="3234">
        <v>-4</v>
      </c>
      <c r="G17" s="3234">
        <v>219</v>
      </c>
      <c r="H17" s="3234">
        <v>63.37</v>
      </c>
      <c r="I17" s="3234" t="s">
        <v>3189</v>
      </c>
      <c r="AA17" s="3231" t="s">
        <v>3314</v>
      </c>
      <c r="AB17" s="3231">
        <f ca="1">V3-AB16</f>
        <v>34770</v>
      </c>
      <c r="AD17" s="3231">
        <f ca="1">X3-AD16</f>
        <v>10772</v>
      </c>
      <c r="AE17" s="3231">
        <f ca="1">ROUNDDOWN(AD17*10000/(Sheet1!O5+Sheet1!O6+Sheet1!O7+Sheet1!O8+Sheet1!O9),0)</f>
        <v>8000</v>
      </c>
    </row>
    <row r="18" spans="2:31">
      <c r="B18" s="3622"/>
      <c r="C18" s="3230" t="s">
        <v>3190</v>
      </c>
      <c r="D18" s="3230">
        <f>SUM(H48:H55)</f>
        <v>244.6</v>
      </c>
      <c r="F18" s="3234">
        <v>-4</v>
      </c>
      <c r="G18" s="3234">
        <v>220</v>
      </c>
      <c r="H18" s="3234">
        <v>65.81</v>
      </c>
      <c r="I18" s="3234" t="s">
        <v>3189</v>
      </c>
      <c r="AA18" s="3231">
        <f>AA19+AA20+AA21</f>
        <v>0</v>
      </c>
    </row>
    <row r="19" spans="2:31">
      <c r="F19" s="3234">
        <v>-4</v>
      </c>
      <c r="G19" s="3234">
        <v>221</v>
      </c>
      <c r="H19" s="3234">
        <v>51.42</v>
      </c>
      <c r="I19" s="3234" t="s">
        <v>3189</v>
      </c>
    </row>
    <row r="20" spans="2:31">
      <c r="F20" s="3234">
        <v>-4</v>
      </c>
      <c r="G20" s="3234">
        <v>222</v>
      </c>
      <c r="H20" s="3234">
        <v>51.42</v>
      </c>
      <c r="I20" s="3234" t="s">
        <v>3189</v>
      </c>
      <c r="O20" s="3231" t="s">
        <v>3306</v>
      </c>
      <c r="P20" s="3231" t="s">
        <v>3307</v>
      </c>
    </row>
    <row r="21" spans="2:31">
      <c r="F21" s="3234">
        <v>-4</v>
      </c>
      <c r="G21" s="3234">
        <v>223</v>
      </c>
      <c r="H21" s="3234">
        <v>58.03</v>
      </c>
      <c r="I21" s="3234" t="s">
        <v>3189</v>
      </c>
      <c r="M21" s="3231" t="s">
        <v>3292</v>
      </c>
      <c r="N21" s="3231">
        <f>O6+O7</f>
        <v>4250.6000000000004</v>
      </c>
      <c r="O21" s="3231">
        <v>45000</v>
      </c>
      <c r="P21" s="3231">
        <f>N21*O21/10000</f>
        <v>19127.700000000004</v>
      </c>
    </row>
    <row r="22" spans="2:31">
      <c r="F22" s="3234">
        <v>-4</v>
      </c>
      <c r="G22" s="3234">
        <v>224</v>
      </c>
      <c r="H22" s="3234">
        <v>60.47</v>
      </c>
      <c r="I22" s="3234" t="s">
        <v>3189</v>
      </c>
      <c r="M22" s="3231" t="s">
        <v>3293</v>
      </c>
      <c r="N22" s="3231">
        <f>O8+O9</f>
        <v>5557.88</v>
      </c>
      <c r="O22" s="3231">
        <v>35000</v>
      </c>
      <c r="P22" s="3231">
        <f t="shared" ref="P22:P26" si="12">N22*O22/10000</f>
        <v>19452.580000000002</v>
      </c>
    </row>
    <row r="23" spans="2:31">
      <c r="F23" s="3234">
        <v>-4</v>
      </c>
      <c r="G23" s="3234">
        <v>225</v>
      </c>
      <c r="H23" s="3234">
        <v>58.03</v>
      </c>
      <c r="I23" s="3234" t="s">
        <v>3189</v>
      </c>
      <c r="M23" s="3231" t="s">
        <v>3294</v>
      </c>
      <c r="N23" s="3231">
        <f>O5</f>
        <v>3654.93</v>
      </c>
      <c r="O23" s="3231">
        <v>20000</v>
      </c>
      <c r="P23" s="3231">
        <f t="shared" si="12"/>
        <v>7309.86</v>
      </c>
    </row>
    <row r="24" spans="2:31">
      <c r="F24" s="3234">
        <v>-4</v>
      </c>
      <c r="G24" s="3234">
        <v>226</v>
      </c>
      <c r="H24" s="3234">
        <v>56.53</v>
      </c>
      <c r="I24" s="3234" t="s">
        <v>3189</v>
      </c>
      <c r="M24" s="3231" t="s">
        <v>3295</v>
      </c>
      <c r="N24" s="3231">
        <f>O10</f>
        <v>2863.19</v>
      </c>
      <c r="O24" s="3231">
        <v>5000</v>
      </c>
      <c r="P24" s="3231">
        <f t="shared" si="12"/>
        <v>1431.595</v>
      </c>
    </row>
    <row r="25" spans="2:31">
      <c r="F25" s="3234">
        <v>-4</v>
      </c>
      <c r="G25" s="3234">
        <v>227</v>
      </c>
      <c r="H25" s="3234">
        <v>58.97</v>
      </c>
      <c r="I25" s="3234" t="s">
        <v>3189</v>
      </c>
      <c r="M25" s="3231" t="s">
        <v>3296</v>
      </c>
      <c r="N25" s="3231">
        <f>O11</f>
        <v>5161.18</v>
      </c>
      <c r="O25" s="3231">
        <v>4000</v>
      </c>
      <c r="P25" s="3231">
        <f t="shared" si="12"/>
        <v>2064.4720000000002</v>
      </c>
    </row>
    <row r="26" spans="2:31">
      <c r="F26" s="3234">
        <v>-4</v>
      </c>
      <c r="G26" s="3234">
        <v>228</v>
      </c>
      <c r="H26" s="3234">
        <v>62.39</v>
      </c>
      <c r="I26" s="3234" t="s">
        <v>3189</v>
      </c>
      <c r="M26" s="3231" t="s">
        <v>3297</v>
      </c>
      <c r="N26" s="3231">
        <f>O12</f>
        <v>2088.5300000000002</v>
      </c>
      <c r="O26" s="3231">
        <v>4000</v>
      </c>
      <c r="P26" s="3231">
        <f t="shared" si="12"/>
        <v>835.41200000000015</v>
      </c>
    </row>
    <row r="27" spans="2:31">
      <c r="F27" s="3234">
        <v>-4</v>
      </c>
      <c r="G27" s="3234">
        <v>229</v>
      </c>
      <c r="H27" s="3234">
        <v>58.5</v>
      </c>
      <c r="I27" s="3234" t="s">
        <v>3189</v>
      </c>
      <c r="P27" s="3231">
        <f>SUM(P21:P26)</f>
        <v>50221.619000000006</v>
      </c>
    </row>
    <row r="28" spans="2:31">
      <c r="F28" s="3234">
        <v>-4</v>
      </c>
      <c r="G28" s="3234">
        <v>230</v>
      </c>
      <c r="H28" s="3234">
        <v>60.93</v>
      </c>
      <c r="I28" s="3234" t="s">
        <v>3189</v>
      </c>
    </row>
    <row r="29" spans="2:31">
      <c r="F29" s="3234">
        <v>-4</v>
      </c>
      <c r="G29" s="3234">
        <v>231</v>
      </c>
      <c r="H29" s="3234">
        <v>57.51</v>
      </c>
      <c r="I29" s="3234" t="s">
        <v>3189</v>
      </c>
    </row>
    <row r="30" spans="2:31">
      <c r="F30" s="3234">
        <v>-4</v>
      </c>
      <c r="G30" s="3234">
        <v>232</v>
      </c>
      <c r="H30" s="3234">
        <v>60.93</v>
      </c>
      <c r="I30" s="3234" t="s">
        <v>3189</v>
      </c>
    </row>
    <row r="31" spans="2:31">
      <c r="F31" s="3234">
        <v>-4</v>
      </c>
      <c r="G31" s="3234">
        <v>233</v>
      </c>
      <c r="H31" s="3234">
        <v>57.04</v>
      </c>
      <c r="I31" s="3234" t="s">
        <v>3189</v>
      </c>
    </row>
    <row r="32" spans="2:31">
      <c r="F32" s="3234">
        <v>-4</v>
      </c>
      <c r="G32" s="3234">
        <v>234</v>
      </c>
      <c r="H32" s="3234">
        <v>52.64</v>
      </c>
      <c r="I32" s="3234" t="s">
        <v>3189</v>
      </c>
    </row>
    <row r="33" spans="6:9">
      <c r="F33" s="3234">
        <v>-4</v>
      </c>
      <c r="G33" s="3234">
        <v>235</v>
      </c>
      <c r="H33" s="3234">
        <v>58.97</v>
      </c>
      <c r="I33" s="3234" t="s">
        <v>3189</v>
      </c>
    </row>
    <row r="34" spans="6:9">
      <c r="F34" s="3234">
        <v>-4</v>
      </c>
      <c r="G34" s="3234">
        <v>236</v>
      </c>
      <c r="H34" s="3234">
        <v>56.06</v>
      </c>
      <c r="I34" s="3234" t="s">
        <v>3189</v>
      </c>
    </row>
    <row r="35" spans="6:9">
      <c r="F35" s="3234">
        <v>-4</v>
      </c>
      <c r="G35" s="3234">
        <v>237</v>
      </c>
      <c r="H35" s="3234">
        <v>63.89</v>
      </c>
      <c r="I35" s="3234" t="s">
        <v>3189</v>
      </c>
    </row>
    <row r="36" spans="6:9">
      <c r="F36" s="3234">
        <v>-4</v>
      </c>
      <c r="G36" s="3234">
        <v>238</v>
      </c>
      <c r="H36" s="3234">
        <v>60.84</v>
      </c>
      <c r="I36" s="3234" t="s">
        <v>3189</v>
      </c>
    </row>
    <row r="37" spans="6:9">
      <c r="F37" s="3234">
        <v>-4</v>
      </c>
      <c r="G37" s="3234">
        <v>239</v>
      </c>
      <c r="H37" s="3234">
        <v>60.89</v>
      </c>
      <c r="I37" s="3234" t="s">
        <v>3189</v>
      </c>
    </row>
    <row r="38" spans="6:9">
      <c r="F38" s="3234">
        <v>-4</v>
      </c>
      <c r="G38" s="3234">
        <v>240</v>
      </c>
      <c r="H38" s="3234">
        <v>56.48</v>
      </c>
      <c r="I38" s="3234" t="s">
        <v>3189</v>
      </c>
    </row>
    <row r="39" spans="6:9">
      <c r="F39" s="3234">
        <v>-4</v>
      </c>
      <c r="G39" s="3234">
        <v>241</v>
      </c>
      <c r="H39" s="3234">
        <v>60.14</v>
      </c>
      <c r="I39" s="3234" t="s">
        <v>3189</v>
      </c>
    </row>
    <row r="40" spans="6:9">
      <c r="F40" s="3234">
        <v>-4</v>
      </c>
      <c r="G40" s="3234">
        <v>242</v>
      </c>
      <c r="H40" s="3234">
        <v>60.56</v>
      </c>
      <c r="I40" s="3234" t="s">
        <v>3189</v>
      </c>
    </row>
    <row r="41" spans="6:9">
      <c r="F41" s="3234">
        <v>-4</v>
      </c>
      <c r="G41" s="3234">
        <v>243</v>
      </c>
      <c r="H41" s="3234">
        <v>60.56</v>
      </c>
      <c r="I41" s="3234" t="s">
        <v>3189</v>
      </c>
    </row>
    <row r="42" spans="6:9">
      <c r="F42" s="3234">
        <v>-4</v>
      </c>
      <c r="G42" s="3234">
        <v>244</v>
      </c>
      <c r="H42" s="3234">
        <v>54.89</v>
      </c>
      <c r="I42" s="3234" t="s">
        <v>3189</v>
      </c>
    </row>
    <row r="43" spans="6:9">
      <c r="F43" s="3234">
        <v>-4</v>
      </c>
      <c r="G43" s="3234">
        <v>245</v>
      </c>
      <c r="H43" s="3234">
        <v>54.89</v>
      </c>
      <c r="I43" s="3234" t="s">
        <v>3189</v>
      </c>
    </row>
    <row r="44" spans="6:9">
      <c r="F44" s="3234">
        <v>-4</v>
      </c>
      <c r="G44" s="3234">
        <v>246</v>
      </c>
      <c r="H44" s="3234">
        <v>62.15</v>
      </c>
      <c r="I44" s="3234" t="s">
        <v>3189</v>
      </c>
    </row>
    <row r="45" spans="6:9">
      <c r="F45" s="3234">
        <v>-4</v>
      </c>
      <c r="G45" s="3234">
        <v>247</v>
      </c>
      <c r="H45" s="3234">
        <v>62.39</v>
      </c>
      <c r="I45" s="3234" t="s">
        <v>3189</v>
      </c>
    </row>
    <row r="46" spans="6:9">
      <c r="F46" s="3234">
        <v>-4</v>
      </c>
      <c r="G46" s="3234">
        <v>248</v>
      </c>
      <c r="H46" s="3234">
        <v>62.39</v>
      </c>
      <c r="I46" s="3234" t="s">
        <v>3189</v>
      </c>
    </row>
    <row r="47" spans="6:9">
      <c r="F47" s="3234">
        <v>-4</v>
      </c>
      <c r="G47" s="3234">
        <v>249</v>
      </c>
      <c r="H47" s="3234">
        <v>51.51</v>
      </c>
      <c r="I47" s="3234" t="s">
        <v>3189</v>
      </c>
    </row>
    <row r="48" spans="6:9">
      <c r="F48" s="3231">
        <v>-4</v>
      </c>
      <c r="G48" s="3235" t="s">
        <v>3192</v>
      </c>
      <c r="H48" s="3231">
        <v>26.71</v>
      </c>
      <c r="I48" s="3231" t="s">
        <v>3190</v>
      </c>
    </row>
    <row r="49" spans="6:9" ht="13.5">
      <c r="F49" s="3231">
        <v>-4</v>
      </c>
      <c r="G49" s="3235" t="s">
        <v>3193</v>
      </c>
      <c r="H49" s="3231">
        <v>30.22</v>
      </c>
      <c r="I49" s="3231" t="s">
        <v>3190</v>
      </c>
    </row>
    <row r="50" spans="6:9" ht="13.5">
      <c r="F50" s="3231">
        <v>-4</v>
      </c>
      <c r="G50" s="3235" t="s">
        <v>3194</v>
      </c>
      <c r="H50" s="3231">
        <v>63.79</v>
      </c>
      <c r="I50" s="3231" t="s">
        <v>3190</v>
      </c>
    </row>
    <row r="51" spans="6:9" ht="13.5">
      <c r="F51" s="3231">
        <v>-4</v>
      </c>
      <c r="G51" s="3235" t="s">
        <v>3195</v>
      </c>
      <c r="H51" s="3231">
        <v>20.81</v>
      </c>
      <c r="I51" s="3231" t="s">
        <v>3190</v>
      </c>
    </row>
    <row r="52" spans="6:9" ht="13.5">
      <c r="F52" s="3231">
        <v>-4</v>
      </c>
      <c r="G52" s="3235" t="s">
        <v>3196</v>
      </c>
      <c r="H52" s="3231">
        <v>26.79</v>
      </c>
      <c r="I52" s="3231" t="s">
        <v>3190</v>
      </c>
    </row>
    <row r="53" spans="6:9" ht="13.5">
      <c r="F53" s="3231">
        <v>-4</v>
      </c>
      <c r="G53" s="3235" t="s">
        <v>3197</v>
      </c>
      <c r="H53" s="3231">
        <v>26.79</v>
      </c>
      <c r="I53" s="3231" t="s">
        <v>3190</v>
      </c>
    </row>
    <row r="54" spans="6:9" ht="13.5">
      <c r="F54" s="3231">
        <v>-4</v>
      </c>
      <c r="G54" s="3235" t="s">
        <v>3198</v>
      </c>
      <c r="H54" s="3231">
        <v>20.81</v>
      </c>
      <c r="I54" s="3231" t="s">
        <v>3190</v>
      </c>
    </row>
    <row r="55" spans="6:9" ht="13.5">
      <c r="F55" s="3231">
        <v>-4</v>
      </c>
      <c r="G55" s="3235" t="s">
        <v>3199</v>
      </c>
      <c r="H55" s="3231">
        <v>28.68</v>
      </c>
      <c r="I55" s="3231" t="s">
        <v>3190</v>
      </c>
    </row>
    <row r="56" spans="6:9">
      <c r="F56" s="3232">
        <v>-3</v>
      </c>
      <c r="G56" s="3232">
        <v>-301</v>
      </c>
      <c r="H56" s="3232">
        <v>54.61</v>
      </c>
      <c r="I56" s="3232" t="s">
        <v>3189</v>
      </c>
    </row>
    <row r="57" spans="6:9">
      <c r="F57" s="3232">
        <v>-3</v>
      </c>
      <c r="G57" s="3232">
        <v>-302</v>
      </c>
      <c r="H57" s="3232">
        <v>64.08</v>
      </c>
      <c r="I57" s="3232" t="s">
        <v>3189</v>
      </c>
    </row>
    <row r="58" spans="6:9">
      <c r="F58" s="3232">
        <v>-3</v>
      </c>
      <c r="G58" s="3232">
        <v>-303</v>
      </c>
      <c r="H58" s="3232">
        <v>54.61</v>
      </c>
      <c r="I58" s="3232" t="s">
        <v>3189</v>
      </c>
    </row>
    <row r="59" spans="6:9">
      <c r="F59" s="3232">
        <v>-3</v>
      </c>
      <c r="G59" s="3232">
        <v>-304</v>
      </c>
      <c r="H59" s="3232">
        <v>62.11</v>
      </c>
      <c r="I59" s="3232" t="s">
        <v>3189</v>
      </c>
    </row>
    <row r="60" spans="6:9">
      <c r="F60" s="3232">
        <v>-3</v>
      </c>
      <c r="G60" s="3232">
        <v>-305</v>
      </c>
      <c r="H60" s="3232">
        <v>54.61</v>
      </c>
      <c r="I60" s="3232" t="s">
        <v>3189</v>
      </c>
    </row>
    <row r="61" spans="6:9">
      <c r="F61" s="3232">
        <v>-3</v>
      </c>
      <c r="G61" s="3232">
        <v>-306</v>
      </c>
      <c r="H61" s="3232">
        <v>62.11</v>
      </c>
      <c r="I61" s="3232" t="s">
        <v>3189</v>
      </c>
    </row>
    <row r="62" spans="6:9">
      <c r="F62" s="3232">
        <v>-3</v>
      </c>
      <c r="G62" s="3232">
        <v>-307</v>
      </c>
      <c r="H62" s="3232">
        <v>54.61</v>
      </c>
      <c r="I62" s="3232" t="s">
        <v>3189</v>
      </c>
    </row>
    <row r="63" spans="6:9">
      <c r="F63" s="3232">
        <v>-3</v>
      </c>
      <c r="G63" s="3232">
        <v>-308</v>
      </c>
      <c r="H63" s="3232">
        <v>62.11</v>
      </c>
      <c r="I63" s="3232" t="s">
        <v>3189</v>
      </c>
    </row>
    <row r="64" spans="6:9">
      <c r="F64" s="3232">
        <v>-3</v>
      </c>
      <c r="G64" s="3232">
        <v>-309</v>
      </c>
      <c r="H64" s="3232">
        <v>60.47</v>
      </c>
      <c r="I64" s="3232" t="s">
        <v>3189</v>
      </c>
    </row>
    <row r="65" spans="6:9">
      <c r="F65" s="3232">
        <v>-3</v>
      </c>
      <c r="G65" s="3232">
        <v>-310</v>
      </c>
      <c r="H65" s="3232">
        <v>60.84</v>
      </c>
      <c r="I65" s="3232" t="s">
        <v>3189</v>
      </c>
    </row>
    <row r="66" spans="6:9">
      <c r="F66" s="3232">
        <v>-3</v>
      </c>
      <c r="G66" s="3232">
        <v>-311</v>
      </c>
      <c r="H66" s="3232">
        <v>59.25</v>
      </c>
      <c r="I66" s="3232" t="s">
        <v>3189</v>
      </c>
    </row>
    <row r="67" spans="6:9">
      <c r="F67" s="3232">
        <v>-3</v>
      </c>
      <c r="G67" s="3232">
        <v>-312</v>
      </c>
      <c r="H67" s="3232">
        <v>60.84</v>
      </c>
      <c r="I67" s="3232" t="s">
        <v>3189</v>
      </c>
    </row>
    <row r="68" spans="6:9">
      <c r="F68" s="3232">
        <v>-3</v>
      </c>
      <c r="G68" s="3232">
        <v>-313</v>
      </c>
      <c r="H68" s="3232">
        <v>59.39</v>
      </c>
      <c r="I68" s="3232" t="s">
        <v>3189</v>
      </c>
    </row>
    <row r="69" spans="6:9">
      <c r="F69" s="3232">
        <v>-3</v>
      </c>
      <c r="G69" s="3232">
        <v>-314</v>
      </c>
      <c r="H69" s="3232">
        <v>57.65</v>
      </c>
      <c r="I69" s="3232" t="s">
        <v>3189</v>
      </c>
    </row>
    <row r="70" spans="6:9">
      <c r="F70" s="3232">
        <v>-3</v>
      </c>
      <c r="G70" s="3232">
        <v>-315</v>
      </c>
      <c r="H70" s="3232">
        <v>61.73</v>
      </c>
      <c r="I70" s="3232" t="s">
        <v>3189</v>
      </c>
    </row>
    <row r="71" spans="6:9">
      <c r="F71" s="3232">
        <v>-3</v>
      </c>
      <c r="G71" s="3232">
        <v>-316</v>
      </c>
      <c r="H71" s="3232">
        <v>57.65</v>
      </c>
      <c r="I71" s="3232" t="s">
        <v>3189</v>
      </c>
    </row>
    <row r="72" spans="6:9">
      <c r="F72" s="3232">
        <v>-3</v>
      </c>
      <c r="G72" s="3232">
        <v>-318</v>
      </c>
      <c r="H72" s="3232">
        <v>62.15</v>
      </c>
      <c r="I72" s="3232" t="s">
        <v>3189</v>
      </c>
    </row>
    <row r="73" spans="6:9">
      <c r="F73" s="3232">
        <v>-3</v>
      </c>
      <c r="G73" s="3232">
        <v>-319</v>
      </c>
      <c r="H73" s="3232">
        <v>58.31</v>
      </c>
      <c r="I73" s="3232" t="s">
        <v>3189</v>
      </c>
    </row>
    <row r="74" spans="6:9">
      <c r="F74" s="3232">
        <v>-3</v>
      </c>
      <c r="G74" s="3232">
        <v>-320</v>
      </c>
      <c r="H74" s="3232">
        <v>62.15</v>
      </c>
      <c r="I74" s="3232" t="s">
        <v>3189</v>
      </c>
    </row>
    <row r="75" spans="6:9">
      <c r="F75" s="3232">
        <v>-3</v>
      </c>
      <c r="G75" s="3232">
        <v>-321</v>
      </c>
      <c r="H75" s="3232">
        <v>62.15</v>
      </c>
      <c r="I75" s="3232" t="s">
        <v>3189</v>
      </c>
    </row>
    <row r="76" spans="6:9">
      <c r="F76" s="3232">
        <v>-3</v>
      </c>
      <c r="G76" s="3232">
        <v>-322</v>
      </c>
      <c r="H76" s="3232">
        <v>62.15</v>
      </c>
      <c r="I76" s="3232" t="s">
        <v>3189</v>
      </c>
    </row>
    <row r="77" spans="6:9">
      <c r="F77" s="3232">
        <v>-3</v>
      </c>
      <c r="G77" s="3232">
        <v>-323</v>
      </c>
      <c r="H77" s="3232">
        <v>63.84</v>
      </c>
      <c r="I77" s="3232" t="s">
        <v>3189</v>
      </c>
    </row>
    <row r="78" spans="6:9">
      <c r="F78" s="3232">
        <v>-3</v>
      </c>
      <c r="G78" s="3232">
        <v>-324</v>
      </c>
      <c r="H78" s="3232">
        <v>50.48</v>
      </c>
      <c r="I78" s="3232" t="s">
        <v>3189</v>
      </c>
    </row>
    <row r="79" spans="6:9">
      <c r="F79" s="3232">
        <v>-3</v>
      </c>
      <c r="G79" s="3232">
        <v>-325</v>
      </c>
      <c r="H79" s="3232">
        <v>56.86</v>
      </c>
      <c r="I79" s="3232" t="s">
        <v>3189</v>
      </c>
    </row>
    <row r="80" spans="6:9">
      <c r="F80" s="3232">
        <v>-3</v>
      </c>
      <c r="G80" s="3232">
        <v>-327</v>
      </c>
      <c r="H80" s="3232">
        <v>65.81</v>
      </c>
      <c r="I80" s="3232" t="s">
        <v>3189</v>
      </c>
    </row>
    <row r="81" spans="6:9">
      <c r="F81" s="3232">
        <v>-3</v>
      </c>
      <c r="G81" s="3232">
        <v>-328</v>
      </c>
      <c r="H81" s="3232">
        <v>67.22</v>
      </c>
      <c r="I81" s="3232" t="s">
        <v>3189</v>
      </c>
    </row>
    <row r="82" spans="6:9">
      <c r="F82" s="3232">
        <v>-3</v>
      </c>
      <c r="G82" s="3232">
        <v>-329</v>
      </c>
      <c r="H82" s="3232">
        <v>58.5</v>
      </c>
      <c r="I82" s="3232" t="s">
        <v>3189</v>
      </c>
    </row>
    <row r="83" spans="6:9">
      <c r="F83" s="3232">
        <v>-3</v>
      </c>
      <c r="G83" s="3232">
        <v>-330</v>
      </c>
      <c r="H83" s="3232">
        <v>66.23</v>
      </c>
      <c r="I83" s="3232" t="s">
        <v>3189</v>
      </c>
    </row>
    <row r="84" spans="6:9">
      <c r="F84" s="3232">
        <v>-3</v>
      </c>
      <c r="G84" s="3232">
        <v>-331</v>
      </c>
      <c r="H84" s="3232">
        <v>60.93</v>
      </c>
      <c r="I84" s="3232" t="s">
        <v>3189</v>
      </c>
    </row>
    <row r="85" spans="6:9">
      <c r="F85" s="3232">
        <v>-3</v>
      </c>
      <c r="G85" s="3232">
        <v>-332</v>
      </c>
      <c r="H85" s="3232">
        <v>66.23</v>
      </c>
      <c r="I85" s="3232" t="s">
        <v>3189</v>
      </c>
    </row>
    <row r="86" spans="6:9">
      <c r="F86" s="3232">
        <v>-3</v>
      </c>
      <c r="G86" s="3232">
        <v>-333</v>
      </c>
      <c r="H86" s="3232">
        <v>63.37</v>
      </c>
      <c r="I86" s="3232" t="s">
        <v>3189</v>
      </c>
    </row>
    <row r="87" spans="6:9">
      <c r="F87" s="3232">
        <v>-3</v>
      </c>
      <c r="G87" s="3232">
        <v>-334</v>
      </c>
      <c r="H87" s="3232">
        <v>66.23</v>
      </c>
      <c r="I87" s="3232" t="s">
        <v>3189</v>
      </c>
    </row>
    <row r="88" spans="6:9">
      <c r="F88" s="3232">
        <v>-3</v>
      </c>
      <c r="G88" s="3232">
        <v>-335</v>
      </c>
      <c r="H88" s="3232">
        <v>60.93</v>
      </c>
      <c r="I88" s="3232" t="s">
        <v>3189</v>
      </c>
    </row>
    <row r="89" spans="6:9">
      <c r="F89" s="3232">
        <v>-3</v>
      </c>
      <c r="G89" s="3232">
        <v>-336</v>
      </c>
      <c r="H89" s="3232">
        <v>66.23</v>
      </c>
      <c r="I89" s="3232" t="s">
        <v>3189</v>
      </c>
    </row>
    <row r="90" spans="6:9">
      <c r="F90" s="3232">
        <v>-3</v>
      </c>
      <c r="G90" s="3232">
        <v>-337</v>
      </c>
      <c r="H90" s="3232">
        <v>64.59</v>
      </c>
      <c r="I90" s="3232" t="s">
        <v>3189</v>
      </c>
    </row>
    <row r="91" spans="6:9">
      <c r="F91" s="3232">
        <v>-3</v>
      </c>
      <c r="G91" s="3232">
        <v>-338</v>
      </c>
      <c r="H91" s="3232">
        <v>66.23</v>
      </c>
      <c r="I91" s="3232" t="s">
        <v>3189</v>
      </c>
    </row>
    <row r="92" spans="6:9">
      <c r="F92" s="3232">
        <v>-3</v>
      </c>
      <c r="G92" s="3232">
        <v>-340</v>
      </c>
      <c r="H92" s="3232">
        <v>66.23</v>
      </c>
      <c r="I92" s="3232" t="s">
        <v>3189</v>
      </c>
    </row>
    <row r="93" spans="6:9">
      <c r="F93" s="3232">
        <v>-3</v>
      </c>
      <c r="G93" s="3232">
        <v>-341</v>
      </c>
      <c r="H93" s="3232">
        <v>66.23</v>
      </c>
      <c r="I93" s="3232" t="s">
        <v>3189</v>
      </c>
    </row>
    <row r="94" spans="6:9">
      <c r="F94" s="3232">
        <v>-3</v>
      </c>
      <c r="G94" s="3232">
        <v>-342</v>
      </c>
      <c r="H94" s="3232">
        <v>66.23</v>
      </c>
      <c r="I94" s="3232" t="s">
        <v>3189</v>
      </c>
    </row>
    <row r="95" spans="6:9">
      <c r="F95" s="3232">
        <v>-3</v>
      </c>
      <c r="G95" s="3232">
        <v>-343</v>
      </c>
      <c r="H95" s="3232">
        <v>70.08</v>
      </c>
      <c r="I95" s="3232" t="s">
        <v>3189</v>
      </c>
    </row>
    <row r="96" spans="6:9">
      <c r="F96" s="3232">
        <v>-3</v>
      </c>
      <c r="G96" s="3232">
        <v>-344</v>
      </c>
      <c r="H96" s="3232">
        <v>62.15</v>
      </c>
      <c r="I96" s="3232" t="s">
        <v>3189</v>
      </c>
    </row>
    <row r="97" spans="6:9">
      <c r="F97" s="3232">
        <v>-3</v>
      </c>
      <c r="G97" s="3232">
        <v>-345</v>
      </c>
      <c r="H97" s="3232">
        <v>62.62</v>
      </c>
      <c r="I97" s="3232" t="s">
        <v>3189</v>
      </c>
    </row>
    <row r="98" spans="6:9">
      <c r="F98" s="3232">
        <v>-3</v>
      </c>
      <c r="G98" s="3232">
        <v>-346</v>
      </c>
      <c r="H98" s="3232">
        <v>62.15</v>
      </c>
      <c r="I98" s="3232" t="s">
        <v>3189</v>
      </c>
    </row>
    <row r="99" spans="6:9">
      <c r="F99" s="3232">
        <v>-3</v>
      </c>
      <c r="G99" s="3232">
        <v>-347</v>
      </c>
      <c r="H99" s="3232">
        <v>59.06</v>
      </c>
      <c r="I99" s="3232" t="s">
        <v>3189</v>
      </c>
    </row>
    <row r="100" spans="6:9">
      <c r="F100" s="3232">
        <v>-3</v>
      </c>
      <c r="G100" s="3232">
        <v>-348</v>
      </c>
      <c r="H100" s="3232">
        <v>54.37</v>
      </c>
      <c r="I100" s="3232" t="s">
        <v>3189</v>
      </c>
    </row>
    <row r="101" spans="6:9">
      <c r="F101" s="3232">
        <v>-3</v>
      </c>
      <c r="G101" s="3232">
        <v>-349</v>
      </c>
      <c r="H101" s="3232">
        <v>54.37</v>
      </c>
      <c r="I101" s="3232" t="s">
        <v>3189</v>
      </c>
    </row>
    <row r="102" spans="6:9">
      <c r="F102" s="3232">
        <v>-3</v>
      </c>
      <c r="G102" s="3232">
        <v>-350</v>
      </c>
      <c r="H102" s="3232">
        <v>52.97</v>
      </c>
      <c r="I102" s="3232" t="s">
        <v>3189</v>
      </c>
    </row>
    <row r="103" spans="6:9">
      <c r="F103" s="3232">
        <v>-3</v>
      </c>
      <c r="G103" s="3232">
        <v>-351</v>
      </c>
      <c r="H103" s="3232">
        <v>52.97</v>
      </c>
      <c r="I103" s="3232" t="s">
        <v>3189</v>
      </c>
    </row>
    <row r="104" spans="6:9">
      <c r="F104" s="3232">
        <v>-3</v>
      </c>
      <c r="G104" s="3232">
        <v>-352</v>
      </c>
      <c r="H104" s="3232">
        <v>62.34</v>
      </c>
      <c r="I104" s="3232" t="s">
        <v>3189</v>
      </c>
    </row>
    <row r="105" spans="6:9">
      <c r="F105" s="3232">
        <v>-3</v>
      </c>
      <c r="G105" s="3232">
        <v>-353</v>
      </c>
      <c r="H105" s="3232">
        <v>59.62</v>
      </c>
      <c r="I105" s="3232" t="s">
        <v>3189</v>
      </c>
    </row>
    <row r="106" spans="6:9">
      <c r="F106" s="3232">
        <v>-3</v>
      </c>
      <c r="G106" s="3232">
        <v>-354</v>
      </c>
      <c r="H106" s="3232">
        <v>58.59</v>
      </c>
      <c r="I106" s="3232" t="s">
        <v>3189</v>
      </c>
    </row>
    <row r="107" spans="6:9">
      <c r="F107" s="3232">
        <v>-3</v>
      </c>
      <c r="G107" s="3232">
        <v>-355</v>
      </c>
      <c r="H107" s="3232">
        <v>57.14</v>
      </c>
      <c r="I107" s="3232" t="s">
        <v>3189</v>
      </c>
    </row>
    <row r="108" spans="6:9">
      <c r="F108" s="3232">
        <v>-3</v>
      </c>
      <c r="G108" s="3232">
        <v>-356</v>
      </c>
      <c r="H108" s="3232">
        <v>62.34</v>
      </c>
      <c r="I108" s="3232" t="s">
        <v>3189</v>
      </c>
    </row>
    <row r="109" spans="6:9">
      <c r="F109" s="3232">
        <v>-3</v>
      </c>
      <c r="G109" s="3232">
        <v>-357</v>
      </c>
      <c r="H109" s="3232">
        <v>59.62</v>
      </c>
      <c r="I109" s="3232" t="s">
        <v>3189</v>
      </c>
    </row>
    <row r="110" spans="6:9">
      <c r="F110" s="3232">
        <v>-3</v>
      </c>
      <c r="G110" s="3232">
        <v>-358</v>
      </c>
      <c r="H110" s="3232">
        <v>62.34</v>
      </c>
      <c r="I110" s="3232" t="s">
        <v>3189</v>
      </c>
    </row>
    <row r="111" spans="6:9">
      <c r="F111" s="3232">
        <v>-3</v>
      </c>
      <c r="G111" s="3232">
        <v>-359</v>
      </c>
      <c r="H111" s="3232">
        <v>67.400000000000006</v>
      </c>
      <c r="I111" s="3232" t="s">
        <v>3189</v>
      </c>
    </row>
    <row r="112" spans="6:9">
      <c r="F112" s="3232">
        <v>-3</v>
      </c>
      <c r="G112" s="3232">
        <v>-360</v>
      </c>
      <c r="H112" s="3232">
        <v>59.53</v>
      </c>
      <c r="I112" s="3232" t="s">
        <v>3189</v>
      </c>
    </row>
    <row r="113" spans="6:9">
      <c r="F113" s="3232">
        <v>-3</v>
      </c>
      <c r="G113" s="3232">
        <v>-361</v>
      </c>
      <c r="H113" s="3232">
        <v>64.45</v>
      </c>
      <c r="I113" s="3232" t="s">
        <v>3189</v>
      </c>
    </row>
    <row r="114" spans="6:9">
      <c r="F114" s="3232">
        <v>-3</v>
      </c>
      <c r="G114" s="3232">
        <v>-362</v>
      </c>
      <c r="H114" s="3232">
        <v>59.53</v>
      </c>
      <c r="I114" s="3232" t="s">
        <v>3189</v>
      </c>
    </row>
    <row r="115" spans="6:9">
      <c r="F115" s="3232">
        <v>-3</v>
      </c>
      <c r="G115" s="3232">
        <v>-363</v>
      </c>
      <c r="H115" s="3232">
        <v>64.45</v>
      </c>
      <c r="I115" s="3232" t="s">
        <v>3189</v>
      </c>
    </row>
    <row r="116" spans="6:9">
      <c r="F116" s="3232">
        <v>-3</v>
      </c>
      <c r="G116" s="3232">
        <v>-364</v>
      </c>
      <c r="H116" s="3232">
        <v>53.48</v>
      </c>
      <c r="I116" s="3232" t="s">
        <v>3189</v>
      </c>
    </row>
    <row r="117" spans="6:9">
      <c r="F117" s="3232">
        <v>-3</v>
      </c>
      <c r="G117" s="3232">
        <v>-365</v>
      </c>
      <c r="H117" s="3232">
        <v>68.53</v>
      </c>
      <c r="I117" s="3232" t="s">
        <v>3189</v>
      </c>
    </row>
    <row r="118" spans="6:9">
      <c r="F118" s="3232">
        <v>-3</v>
      </c>
      <c r="G118" s="3232">
        <v>-366</v>
      </c>
      <c r="H118" s="3232">
        <v>60.47</v>
      </c>
      <c r="I118" s="3232" t="s">
        <v>3189</v>
      </c>
    </row>
    <row r="119" spans="6:9">
      <c r="F119" s="3232">
        <v>-3</v>
      </c>
      <c r="G119" s="3232">
        <v>-367</v>
      </c>
      <c r="H119" s="3232">
        <v>68.53</v>
      </c>
      <c r="I119" s="3232" t="s">
        <v>3189</v>
      </c>
    </row>
    <row r="120" spans="6:9">
      <c r="F120" s="3232">
        <v>-3</v>
      </c>
      <c r="G120" s="3232">
        <v>-368</v>
      </c>
      <c r="H120" s="3232">
        <v>65.48</v>
      </c>
      <c r="I120" s="3232" t="s">
        <v>3189</v>
      </c>
    </row>
    <row r="121" spans="6:9">
      <c r="F121" s="3232">
        <v>-3</v>
      </c>
      <c r="G121" s="3232">
        <v>-370</v>
      </c>
      <c r="H121" s="3232">
        <v>63</v>
      </c>
      <c r="I121" s="3232" t="s">
        <v>3189</v>
      </c>
    </row>
    <row r="122" spans="6:9">
      <c r="F122" s="3232">
        <v>-3</v>
      </c>
      <c r="G122" s="3232">
        <v>-371</v>
      </c>
      <c r="H122" s="3232">
        <v>38.39</v>
      </c>
      <c r="I122" s="3232" t="s">
        <v>3189</v>
      </c>
    </row>
    <row r="123" spans="6:9">
      <c r="F123" s="3232">
        <v>-3</v>
      </c>
      <c r="G123" s="3232">
        <v>-372</v>
      </c>
      <c r="H123" s="3232">
        <v>78.510000000000005</v>
      </c>
      <c r="I123" s="3232" t="s">
        <v>3189</v>
      </c>
    </row>
    <row r="124" spans="6:9">
      <c r="F124" s="3232">
        <v>-3</v>
      </c>
      <c r="G124" s="3232">
        <v>-373</v>
      </c>
      <c r="H124" s="3232">
        <v>78.510000000000005</v>
      </c>
      <c r="I124" s="3232" t="s">
        <v>3189</v>
      </c>
    </row>
    <row r="125" spans="6:9">
      <c r="F125" s="3232">
        <v>-3</v>
      </c>
      <c r="G125" s="3232">
        <v>-374</v>
      </c>
      <c r="H125" s="3232">
        <v>69.47</v>
      </c>
      <c r="I125" s="3232" t="s">
        <v>3189</v>
      </c>
    </row>
    <row r="126" spans="6:9">
      <c r="F126" s="3232">
        <v>-3</v>
      </c>
      <c r="G126" s="3232">
        <v>-376</v>
      </c>
      <c r="H126" s="3232">
        <v>67.03</v>
      </c>
      <c r="I126" s="3232" t="s">
        <v>3189</v>
      </c>
    </row>
    <row r="127" spans="6:9">
      <c r="F127" s="3232">
        <v>-3</v>
      </c>
      <c r="G127" s="3232">
        <v>-379</v>
      </c>
      <c r="H127" s="3232">
        <v>69.56</v>
      </c>
      <c r="I127" s="3232" t="s">
        <v>3189</v>
      </c>
    </row>
    <row r="128" spans="6:9">
      <c r="F128" s="3232">
        <v>-3</v>
      </c>
      <c r="G128" s="3232">
        <v>-380</v>
      </c>
      <c r="H128" s="3232">
        <v>65.39</v>
      </c>
      <c r="I128" s="3232" t="s">
        <v>3189</v>
      </c>
    </row>
    <row r="129" spans="6:9">
      <c r="F129" s="3232">
        <v>-3</v>
      </c>
      <c r="G129" s="3232">
        <v>-381</v>
      </c>
      <c r="H129" s="3232">
        <v>67.400000000000006</v>
      </c>
      <c r="I129" s="3232" t="s">
        <v>3189</v>
      </c>
    </row>
    <row r="130" spans="6:9">
      <c r="F130" s="3232">
        <v>-3</v>
      </c>
      <c r="G130" s="3232">
        <v>-382</v>
      </c>
      <c r="H130" s="3232">
        <v>65.2</v>
      </c>
      <c r="I130" s="3232" t="s">
        <v>3189</v>
      </c>
    </row>
    <row r="131" spans="6:9">
      <c r="F131" s="3232">
        <v>-3</v>
      </c>
      <c r="G131" s="3232">
        <v>-384</v>
      </c>
      <c r="H131" s="3232">
        <v>63.28</v>
      </c>
      <c r="I131" s="3232" t="s">
        <v>3189</v>
      </c>
    </row>
    <row r="132" spans="6:9">
      <c r="F132" s="3232">
        <v>-3</v>
      </c>
      <c r="G132" s="3232">
        <v>-386</v>
      </c>
      <c r="H132" s="3232">
        <v>62.53</v>
      </c>
      <c r="I132" s="3232" t="s">
        <v>3189</v>
      </c>
    </row>
    <row r="133" spans="6:9">
      <c r="F133" s="3232">
        <v>-3</v>
      </c>
      <c r="G133" s="3232">
        <v>-387</v>
      </c>
      <c r="H133" s="3232">
        <v>67.5</v>
      </c>
      <c r="I133" s="3232" t="s">
        <v>3189</v>
      </c>
    </row>
    <row r="134" spans="6:9">
      <c r="F134" s="3232">
        <v>-3</v>
      </c>
      <c r="G134" s="3232">
        <v>-388</v>
      </c>
      <c r="H134" s="3232">
        <v>62.11</v>
      </c>
      <c r="I134" s="3232" t="s">
        <v>3189</v>
      </c>
    </row>
    <row r="135" spans="6:9">
      <c r="F135" s="3232">
        <v>-3</v>
      </c>
      <c r="G135" s="3232">
        <v>-389</v>
      </c>
      <c r="H135" s="3232">
        <v>67.5</v>
      </c>
      <c r="I135" s="3232" t="s">
        <v>3189</v>
      </c>
    </row>
    <row r="136" spans="6:9">
      <c r="F136" s="3232">
        <v>-3</v>
      </c>
      <c r="G136" s="3232">
        <v>-390</v>
      </c>
      <c r="H136" s="3232">
        <v>60.93</v>
      </c>
      <c r="I136" s="3232" t="s">
        <v>3189</v>
      </c>
    </row>
    <row r="137" spans="6:9">
      <c r="F137" s="3232">
        <v>-3</v>
      </c>
      <c r="G137" s="3232">
        <v>-391</v>
      </c>
      <c r="H137" s="3232">
        <v>68.72</v>
      </c>
      <c r="I137" s="3232" t="s">
        <v>3189</v>
      </c>
    </row>
    <row r="138" spans="6:9">
      <c r="F138" s="3232">
        <v>-3</v>
      </c>
      <c r="G138" s="3232">
        <v>-392</v>
      </c>
      <c r="H138" s="3232">
        <v>65.62</v>
      </c>
      <c r="I138" s="3232" t="s">
        <v>3189</v>
      </c>
    </row>
    <row r="139" spans="6:9">
      <c r="F139" s="3231">
        <v>-3</v>
      </c>
      <c r="G139" s="3235" t="s">
        <v>3200</v>
      </c>
      <c r="H139" s="3231">
        <v>20.29</v>
      </c>
      <c r="I139" s="3231" t="s">
        <v>3190</v>
      </c>
    </row>
    <row r="140" spans="6:9" ht="13.5">
      <c r="F140" s="3231">
        <v>-3</v>
      </c>
      <c r="G140" s="3235" t="s">
        <v>3201</v>
      </c>
      <c r="H140" s="3231">
        <v>31.77</v>
      </c>
      <c r="I140" s="3231" t="s">
        <v>3190</v>
      </c>
    </row>
    <row r="141" spans="6:9" ht="13.5">
      <c r="F141" s="3231">
        <v>-3</v>
      </c>
      <c r="G141" s="3235" t="s">
        <v>3202</v>
      </c>
      <c r="H141" s="3231">
        <v>30.22</v>
      </c>
      <c r="I141" s="3231" t="s">
        <v>3190</v>
      </c>
    </row>
    <row r="142" spans="6:9" ht="13.5">
      <c r="F142" s="3231">
        <v>-3</v>
      </c>
      <c r="G142" s="3235" t="s">
        <v>3203</v>
      </c>
      <c r="H142" s="3231">
        <v>48.51</v>
      </c>
      <c r="I142" s="3231" t="s">
        <v>3190</v>
      </c>
    </row>
    <row r="143" spans="6:9" ht="13.5">
      <c r="F143" s="3231">
        <v>-3</v>
      </c>
      <c r="G143" s="3235" t="s">
        <v>3204</v>
      </c>
      <c r="H143" s="3231">
        <v>20.81</v>
      </c>
      <c r="I143" s="3231" t="s">
        <v>3190</v>
      </c>
    </row>
    <row r="144" spans="6:9" ht="13.5">
      <c r="F144" s="3231">
        <v>-3</v>
      </c>
      <c r="G144" s="3235" t="s">
        <v>3205</v>
      </c>
      <c r="H144" s="3231">
        <v>26.79</v>
      </c>
      <c r="I144" s="3231" t="s">
        <v>3190</v>
      </c>
    </row>
    <row r="145" spans="6:9" ht="13.5">
      <c r="F145" s="3231">
        <v>-3</v>
      </c>
      <c r="G145" s="3235" t="s">
        <v>3206</v>
      </c>
      <c r="H145" s="3231">
        <v>26.79</v>
      </c>
      <c r="I145" s="3231" t="s">
        <v>3190</v>
      </c>
    </row>
    <row r="146" spans="6:9" ht="13.5">
      <c r="F146" s="3231">
        <v>-3</v>
      </c>
      <c r="G146" s="3235" t="s">
        <v>3207</v>
      </c>
      <c r="H146" s="3231">
        <v>20.81</v>
      </c>
      <c r="I146" s="3231" t="s">
        <v>3190</v>
      </c>
    </row>
    <row r="147" spans="6:9" ht="13.5">
      <c r="F147" s="3231">
        <v>-3</v>
      </c>
      <c r="G147" s="3235" t="s">
        <v>3208</v>
      </c>
      <c r="H147" s="3231">
        <v>65.33</v>
      </c>
      <c r="I147" s="3231" t="s">
        <v>3190</v>
      </c>
    </row>
    <row r="148" spans="6:9" ht="13.5">
      <c r="F148" s="3231">
        <v>-3</v>
      </c>
      <c r="G148" s="3235" t="s">
        <v>3209</v>
      </c>
      <c r="H148" s="3231">
        <v>65.33</v>
      </c>
      <c r="I148" s="3231" t="s">
        <v>3190</v>
      </c>
    </row>
    <row r="149" spans="6:9" ht="13.5">
      <c r="F149" s="3231">
        <v>-3</v>
      </c>
      <c r="G149" s="3235" t="s">
        <v>3210</v>
      </c>
      <c r="H149" s="3231">
        <v>28.68</v>
      </c>
      <c r="I149" s="3231" t="s">
        <v>3190</v>
      </c>
    </row>
    <row r="150" spans="6:9" ht="13.5">
      <c r="F150" s="3231">
        <v>-3</v>
      </c>
      <c r="G150" s="3235" t="s">
        <v>3211</v>
      </c>
      <c r="H150" s="3231">
        <v>29.81</v>
      </c>
      <c r="I150" s="3231" t="s">
        <v>3190</v>
      </c>
    </row>
    <row r="151" spans="6:9" ht="13.5">
      <c r="F151" s="3231">
        <v>-3</v>
      </c>
      <c r="G151" s="3235" t="s">
        <v>3212</v>
      </c>
      <c r="H151" s="3231">
        <v>26.87</v>
      </c>
      <c r="I151" s="3231" t="s">
        <v>3190</v>
      </c>
    </row>
    <row r="152" spans="6:9" ht="13.5">
      <c r="F152" s="3231">
        <v>-3</v>
      </c>
      <c r="G152" s="3235" t="s">
        <v>3213</v>
      </c>
      <c r="H152" s="3231">
        <v>27.79</v>
      </c>
      <c r="I152" s="3231" t="s">
        <v>3190</v>
      </c>
    </row>
    <row r="153" spans="6:9" ht="13.5">
      <c r="F153" s="3231">
        <v>-3</v>
      </c>
      <c r="G153" s="3235" t="s">
        <v>3214</v>
      </c>
      <c r="H153" s="3231">
        <v>49.91</v>
      </c>
      <c r="I153" s="3231" t="s">
        <v>3190</v>
      </c>
    </row>
    <row r="154" spans="6:9" ht="13.5">
      <c r="F154" s="3231">
        <v>-3</v>
      </c>
      <c r="G154" s="3235" t="s">
        <v>3215</v>
      </c>
      <c r="H154" s="3231">
        <v>107.81</v>
      </c>
      <c r="I154" s="3231" t="s">
        <v>3190</v>
      </c>
    </row>
    <row r="155" spans="6:9" ht="13.5">
      <c r="F155" s="3231">
        <v>-3</v>
      </c>
      <c r="G155" s="3235" t="s">
        <v>3216</v>
      </c>
      <c r="H155" s="3231">
        <v>52.33</v>
      </c>
      <c r="I155" s="3231" t="s">
        <v>3190</v>
      </c>
    </row>
    <row r="156" spans="6:9" ht="13.5">
      <c r="F156" s="3231">
        <v>-3</v>
      </c>
      <c r="G156" s="3235" t="s">
        <v>3217</v>
      </c>
      <c r="H156" s="3231">
        <v>25.4</v>
      </c>
      <c r="I156" s="3231" t="s">
        <v>3190</v>
      </c>
    </row>
    <row r="157" spans="6:9" ht="13.5">
      <c r="F157" s="3231">
        <v>-3</v>
      </c>
      <c r="G157" s="3235" t="s">
        <v>3218</v>
      </c>
      <c r="H157" s="3231">
        <v>28.03</v>
      </c>
      <c r="I157" s="3231" t="s">
        <v>3190</v>
      </c>
    </row>
    <row r="158" spans="6:9" ht="13.5">
      <c r="F158" s="3231">
        <v>-3</v>
      </c>
      <c r="G158" s="3235" t="s">
        <v>3219</v>
      </c>
      <c r="H158" s="3231">
        <v>73.650000000000006</v>
      </c>
      <c r="I158" s="3231" t="s">
        <v>3190</v>
      </c>
    </row>
    <row r="159" spans="6:9" ht="13.5">
      <c r="F159" s="3231">
        <v>-3</v>
      </c>
      <c r="G159" s="3235" t="s">
        <v>3220</v>
      </c>
      <c r="H159" s="3231">
        <v>130.65</v>
      </c>
      <c r="I159" s="3231" t="s">
        <v>3190</v>
      </c>
    </row>
    <row r="160" spans="6:9">
      <c r="F160" s="3233">
        <v>-2</v>
      </c>
      <c r="G160" s="3233">
        <v>-202</v>
      </c>
      <c r="H160" s="3233">
        <v>55.78</v>
      </c>
      <c r="I160" s="3233" t="s">
        <v>3189</v>
      </c>
    </row>
    <row r="161" spans="6:9">
      <c r="F161" s="3233">
        <v>-2</v>
      </c>
      <c r="G161" s="3233">
        <v>-205</v>
      </c>
      <c r="H161" s="3233">
        <v>53.48</v>
      </c>
      <c r="I161" s="3233" t="s">
        <v>3189</v>
      </c>
    </row>
    <row r="162" spans="6:9">
      <c r="F162" s="3233">
        <v>-2</v>
      </c>
      <c r="G162" s="3233">
        <v>-206</v>
      </c>
      <c r="H162" s="3233">
        <v>58.59</v>
      </c>
      <c r="I162" s="3233" t="s">
        <v>3189</v>
      </c>
    </row>
    <row r="163" spans="6:9">
      <c r="F163" s="3233">
        <v>-2</v>
      </c>
      <c r="G163" s="3233">
        <v>-207</v>
      </c>
      <c r="H163" s="3233">
        <v>53.48</v>
      </c>
      <c r="I163" s="3233" t="s">
        <v>3189</v>
      </c>
    </row>
    <row r="164" spans="6:9">
      <c r="F164" s="3233">
        <v>-2</v>
      </c>
      <c r="G164" s="3233">
        <v>-212</v>
      </c>
      <c r="H164" s="3233">
        <v>57.42</v>
      </c>
      <c r="I164" s="3233" t="s">
        <v>3189</v>
      </c>
    </row>
    <row r="165" spans="6:9">
      <c r="F165" s="3233">
        <v>-2</v>
      </c>
      <c r="G165" s="3233">
        <v>-214</v>
      </c>
      <c r="H165" s="3233">
        <v>54.37</v>
      </c>
      <c r="I165" s="3233" t="s">
        <v>3189</v>
      </c>
    </row>
    <row r="166" spans="6:9">
      <c r="F166" s="3233">
        <v>-2</v>
      </c>
      <c r="G166" s="3233">
        <v>-215</v>
      </c>
      <c r="H166" s="3233">
        <v>63.23</v>
      </c>
      <c r="I166" s="3233" t="s">
        <v>3189</v>
      </c>
    </row>
    <row r="167" spans="6:9">
      <c r="F167" s="3233">
        <v>-2</v>
      </c>
      <c r="G167" s="3233">
        <v>-216</v>
      </c>
      <c r="H167" s="3233">
        <v>54.37</v>
      </c>
      <c r="I167" s="3233" t="s">
        <v>3189</v>
      </c>
    </row>
    <row r="168" spans="6:9">
      <c r="F168" s="3233">
        <v>-2</v>
      </c>
      <c r="G168" s="3233">
        <v>-217</v>
      </c>
      <c r="H168" s="3233">
        <v>66.33</v>
      </c>
      <c r="I168" s="3233" t="s">
        <v>3189</v>
      </c>
    </row>
    <row r="169" spans="6:9">
      <c r="F169" s="3233">
        <v>-2</v>
      </c>
      <c r="G169" s="3233">
        <v>-218</v>
      </c>
      <c r="H169" s="3233">
        <v>58.59</v>
      </c>
      <c r="I169" s="3233" t="s">
        <v>3189</v>
      </c>
    </row>
    <row r="170" spans="6:9">
      <c r="F170" s="3233">
        <v>-2</v>
      </c>
      <c r="G170" s="3233">
        <v>-219</v>
      </c>
      <c r="H170" s="3233">
        <v>58.59</v>
      </c>
      <c r="I170" s="3233" t="s">
        <v>3189</v>
      </c>
    </row>
    <row r="171" spans="6:9">
      <c r="F171" s="3233">
        <v>-2</v>
      </c>
      <c r="G171" s="3233">
        <v>-221</v>
      </c>
      <c r="H171" s="3233">
        <v>62.81</v>
      </c>
      <c r="I171" s="3233" t="s">
        <v>3189</v>
      </c>
    </row>
    <row r="172" spans="6:9">
      <c r="F172" s="3233">
        <v>-2</v>
      </c>
      <c r="G172" s="3233">
        <v>-223</v>
      </c>
      <c r="H172" s="3233">
        <v>61.4</v>
      </c>
      <c r="I172" s="3233" t="s">
        <v>3189</v>
      </c>
    </row>
    <row r="173" spans="6:9">
      <c r="F173" s="3233">
        <v>-2</v>
      </c>
      <c r="G173" s="3233">
        <v>-229</v>
      </c>
      <c r="H173" s="3233">
        <v>61.54</v>
      </c>
      <c r="I173" s="3233" t="s">
        <v>3189</v>
      </c>
    </row>
    <row r="174" spans="6:9">
      <c r="F174" s="3233">
        <v>-2</v>
      </c>
      <c r="G174" s="3233">
        <v>-232</v>
      </c>
      <c r="H174" s="3233">
        <v>66.47</v>
      </c>
      <c r="I174" s="3233" t="s">
        <v>3189</v>
      </c>
    </row>
    <row r="175" spans="6:9">
      <c r="F175" s="3233">
        <v>-2</v>
      </c>
      <c r="G175" s="3233">
        <v>-234</v>
      </c>
      <c r="H175" s="3233">
        <v>66.47</v>
      </c>
      <c r="I175" s="3233" t="s">
        <v>3189</v>
      </c>
    </row>
    <row r="176" spans="6:9">
      <c r="F176" s="3233">
        <v>-2</v>
      </c>
      <c r="G176" s="3233">
        <v>-237</v>
      </c>
      <c r="H176" s="3233">
        <v>65.25</v>
      </c>
      <c r="I176" s="3233" t="s">
        <v>3189</v>
      </c>
    </row>
    <row r="177" spans="6:9">
      <c r="F177" s="3233">
        <v>-2</v>
      </c>
      <c r="G177" s="3233">
        <v>-238</v>
      </c>
      <c r="H177" s="3233">
        <v>66.47</v>
      </c>
      <c r="I177" s="3233" t="s">
        <v>3189</v>
      </c>
    </row>
    <row r="178" spans="6:9">
      <c r="F178" s="3233">
        <v>-2</v>
      </c>
      <c r="G178" s="3233">
        <v>-239</v>
      </c>
      <c r="H178" s="3233">
        <v>64.31</v>
      </c>
      <c r="I178" s="3233" t="s">
        <v>3189</v>
      </c>
    </row>
    <row r="179" spans="6:9">
      <c r="F179" s="3233">
        <v>-2</v>
      </c>
      <c r="G179" s="3233">
        <v>-240</v>
      </c>
      <c r="H179" s="3233">
        <v>66.47</v>
      </c>
      <c r="I179" s="3233" t="s">
        <v>3189</v>
      </c>
    </row>
    <row r="180" spans="6:9">
      <c r="F180" s="3233">
        <v>-2</v>
      </c>
      <c r="G180" s="3233">
        <v>-241</v>
      </c>
      <c r="H180" s="3233">
        <v>62.72</v>
      </c>
      <c r="I180" s="3233" t="s">
        <v>3189</v>
      </c>
    </row>
    <row r="181" spans="6:9">
      <c r="F181" s="3233">
        <v>-2</v>
      </c>
      <c r="G181" s="3233">
        <v>-242</v>
      </c>
      <c r="H181" s="3233">
        <v>65.290000000000006</v>
      </c>
      <c r="I181" s="3233" t="s">
        <v>3189</v>
      </c>
    </row>
    <row r="182" spans="6:9">
      <c r="F182" s="3233">
        <v>-2</v>
      </c>
      <c r="G182" s="3233">
        <v>-243</v>
      </c>
      <c r="H182" s="3233">
        <v>62.72</v>
      </c>
      <c r="I182" s="3233" t="s">
        <v>3189</v>
      </c>
    </row>
    <row r="183" spans="6:9">
      <c r="F183" s="3233">
        <v>-2</v>
      </c>
      <c r="G183" s="3233">
        <v>-244</v>
      </c>
      <c r="H183" s="3233">
        <v>65.290000000000006</v>
      </c>
      <c r="I183" s="3233" t="s">
        <v>3189</v>
      </c>
    </row>
    <row r="184" spans="6:9">
      <c r="F184" s="3233">
        <v>-2</v>
      </c>
      <c r="G184" s="3233">
        <v>-245</v>
      </c>
      <c r="H184" s="3233">
        <v>65.290000000000006</v>
      </c>
      <c r="I184" s="3233" t="s">
        <v>3189</v>
      </c>
    </row>
    <row r="185" spans="6:9">
      <c r="F185" s="3233">
        <v>-2</v>
      </c>
      <c r="G185" s="3233">
        <v>-246</v>
      </c>
      <c r="H185" s="3233">
        <v>63.61</v>
      </c>
      <c r="I185" s="3233" t="s">
        <v>3189</v>
      </c>
    </row>
    <row r="186" spans="6:9">
      <c r="F186" s="3233">
        <v>-2</v>
      </c>
      <c r="G186" s="3233">
        <v>-250</v>
      </c>
      <c r="H186" s="3233">
        <v>63.61</v>
      </c>
      <c r="I186" s="3233" t="s">
        <v>3189</v>
      </c>
    </row>
    <row r="187" spans="6:9">
      <c r="F187" s="3233">
        <v>-2</v>
      </c>
      <c r="G187" s="3233">
        <v>-251</v>
      </c>
      <c r="H187" s="3233">
        <v>62.01</v>
      </c>
      <c r="I187" s="3233" t="s">
        <v>3189</v>
      </c>
    </row>
    <row r="188" spans="6:9">
      <c r="F188" s="3233">
        <v>-2</v>
      </c>
      <c r="G188" s="3233">
        <v>-255</v>
      </c>
      <c r="H188" s="3233">
        <v>68.2</v>
      </c>
      <c r="I188" s="3233" t="s">
        <v>3189</v>
      </c>
    </row>
    <row r="189" spans="6:9">
      <c r="F189" s="3233">
        <v>-2</v>
      </c>
      <c r="G189" s="3233">
        <v>-259</v>
      </c>
      <c r="H189" s="3233">
        <v>67.680000000000007</v>
      </c>
      <c r="I189" s="3233" t="s">
        <v>3189</v>
      </c>
    </row>
    <row r="190" spans="6:9">
      <c r="F190" s="3233">
        <v>-2</v>
      </c>
      <c r="G190" s="3233">
        <v>-260</v>
      </c>
      <c r="H190" s="3233">
        <v>64.73</v>
      </c>
      <c r="I190" s="3233" t="s">
        <v>3189</v>
      </c>
    </row>
    <row r="191" spans="6:9">
      <c r="F191" s="3233">
        <v>-2</v>
      </c>
      <c r="G191" s="3233">
        <v>-268</v>
      </c>
      <c r="H191" s="3233">
        <v>67.260000000000005</v>
      </c>
      <c r="I191" s="3233" t="s">
        <v>3189</v>
      </c>
    </row>
    <row r="192" spans="6:9">
      <c r="F192" s="3233">
        <v>-2</v>
      </c>
      <c r="G192" s="3233">
        <v>-269</v>
      </c>
      <c r="H192" s="3233">
        <v>62.76</v>
      </c>
      <c r="I192" s="3233" t="s">
        <v>3189</v>
      </c>
    </row>
    <row r="193" spans="6:9">
      <c r="F193" s="3233">
        <v>-2</v>
      </c>
      <c r="G193" s="3233">
        <v>-274</v>
      </c>
      <c r="H193" s="3233">
        <v>55.17</v>
      </c>
      <c r="I193" s="3233" t="s">
        <v>3189</v>
      </c>
    </row>
    <row r="194" spans="6:9">
      <c r="F194" s="3233">
        <v>-2</v>
      </c>
      <c r="G194" s="3233">
        <v>-275</v>
      </c>
      <c r="H194" s="3233">
        <v>66.61</v>
      </c>
      <c r="I194" s="3233" t="s">
        <v>3189</v>
      </c>
    </row>
    <row r="195" spans="6:9">
      <c r="F195" s="3233">
        <v>-2</v>
      </c>
      <c r="G195" s="3233">
        <v>-281</v>
      </c>
      <c r="H195" s="3233">
        <v>59.9</v>
      </c>
      <c r="I195" s="3233" t="s">
        <v>3189</v>
      </c>
    </row>
    <row r="196" spans="6:9">
      <c r="F196" s="3233">
        <v>-2</v>
      </c>
      <c r="G196" s="3233">
        <v>-282</v>
      </c>
      <c r="H196" s="3233">
        <v>89.95</v>
      </c>
      <c r="I196" s="3233" t="s">
        <v>3189</v>
      </c>
    </row>
    <row r="197" spans="6:9">
      <c r="F197" s="3233">
        <v>-2</v>
      </c>
      <c r="G197" s="3233">
        <v>-283</v>
      </c>
      <c r="H197" s="3233">
        <v>55.08</v>
      </c>
      <c r="I197" s="3233" t="s">
        <v>3189</v>
      </c>
    </row>
    <row r="198" spans="6:9">
      <c r="F198" s="3233">
        <v>-2</v>
      </c>
      <c r="G198" s="3233">
        <v>-285</v>
      </c>
      <c r="H198" s="3233">
        <v>56.25</v>
      </c>
      <c r="I198" s="3233" t="s">
        <v>3189</v>
      </c>
    </row>
    <row r="199" spans="6:9">
      <c r="F199" s="3233">
        <v>-2</v>
      </c>
      <c r="G199" s="3233">
        <v>-286</v>
      </c>
      <c r="H199" s="3233">
        <v>58.59</v>
      </c>
      <c r="I199" s="3233" t="s">
        <v>3189</v>
      </c>
    </row>
    <row r="200" spans="6:9">
      <c r="F200" s="3233">
        <v>-2</v>
      </c>
      <c r="G200" s="3233">
        <v>-287</v>
      </c>
      <c r="H200" s="3233">
        <v>61.97</v>
      </c>
      <c r="I200" s="3233" t="s">
        <v>3189</v>
      </c>
    </row>
    <row r="201" spans="6:9">
      <c r="F201" s="3233">
        <v>-2</v>
      </c>
      <c r="G201" s="3233">
        <v>-288</v>
      </c>
      <c r="H201" s="3233">
        <v>58.59</v>
      </c>
      <c r="I201" s="3233" t="s">
        <v>3189</v>
      </c>
    </row>
    <row r="202" spans="6:9">
      <c r="F202" s="3233">
        <v>-2</v>
      </c>
      <c r="G202" s="3233">
        <v>-289</v>
      </c>
      <c r="H202" s="3233">
        <v>60.14</v>
      </c>
      <c r="I202" s="3233" t="s">
        <v>3189</v>
      </c>
    </row>
    <row r="203" spans="6:9">
      <c r="F203" s="3233">
        <v>-2</v>
      </c>
      <c r="G203" s="3233">
        <v>-290</v>
      </c>
      <c r="H203" s="3233">
        <v>56.25</v>
      </c>
      <c r="I203" s="3233" t="s">
        <v>3189</v>
      </c>
    </row>
    <row r="204" spans="6:9">
      <c r="F204" s="3233">
        <v>-2</v>
      </c>
      <c r="G204" s="3233">
        <v>-291</v>
      </c>
      <c r="H204" s="3233">
        <v>58.59</v>
      </c>
      <c r="I204" s="3233" t="s">
        <v>3189</v>
      </c>
    </row>
    <row r="205" spans="6:9">
      <c r="F205" s="3233">
        <v>-2</v>
      </c>
      <c r="G205" s="3233">
        <v>-293</v>
      </c>
      <c r="H205" s="3233">
        <v>69.510000000000005</v>
      </c>
      <c r="I205" s="3233" t="s">
        <v>3189</v>
      </c>
    </row>
    <row r="206" spans="6:9">
      <c r="F206" s="3231">
        <v>-2</v>
      </c>
      <c r="G206" s="3235" t="s">
        <v>3221</v>
      </c>
      <c r="H206" s="3231">
        <v>20.29</v>
      </c>
      <c r="I206" s="3231" t="s">
        <v>3190</v>
      </c>
    </row>
    <row r="207" spans="6:9" ht="13.5">
      <c r="F207" s="3231">
        <v>-2</v>
      </c>
      <c r="G207" s="3235" t="s">
        <v>3222</v>
      </c>
      <c r="H207" s="3231">
        <v>31.77</v>
      </c>
      <c r="I207" s="3231" t="s">
        <v>3190</v>
      </c>
    </row>
    <row r="208" spans="6:9" ht="13.5">
      <c r="F208" s="3231">
        <v>-2</v>
      </c>
      <c r="G208" s="3235" t="s">
        <v>3223</v>
      </c>
      <c r="H208" s="3231">
        <v>30.22</v>
      </c>
      <c r="I208" s="3231" t="s">
        <v>3190</v>
      </c>
    </row>
    <row r="209" spans="6:9" ht="13.5">
      <c r="F209" s="3231">
        <v>-2</v>
      </c>
      <c r="G209" s="3235" t="s">
        <v>3224</v>
      </c>
      <c r="H209" s="3231">
        <v>48.51</v>
      </c>
      <c r="I209" s="3231" t="s">
        <v>3190</v>
      </c>
    </row>
    <row r="210" spans="6:9" ht="13.5">
      <c r="F210" s="3231">
        <v>-2</v>
      </c>
      <c r="G210" s="3235" t="s">
        <v>3225</v>
      </c>
      <c r="H210" s="3231">
        <v>30.61</v>
      </c>
      <c r="I210" s="3231" t="s">
        <v>3190</v>
      </c>
    </row>
    <row r="211" spans="6:9" ht="13.5">
      <c r="F211" s="3231">
        <v>-2</v>
      </c>
      <c r="G211" s="3235" t="s">
        <v>3226</v>
      </c>
      <c r="H211" s="3231">
        <v>26.79</v>
      </c>
      <c r="I211" s="3231" t="s">
        <v>3190</v>
      </c>
    </row>
    <row r="212" spans="6:9" ht="13.5">
      <c r="F212" s="3231">
        <v>-2</v>
      </c>
      <c r="G212" s="3235" t="s">
        <v>3227</v>
      </c>
      <c r="H212" s="3231">
        <v>26.79</v>
      </c>
      <c r="I212" s="3231" t="s">
        <v>3190</v>
      </c>
    </row>
    <row r="213" spans="6:9" ht="13.5">
      <c r="F213" s="3231">
        <v>-2</v>
      </c>
      <c r="G213" s="3235" t="s">
        <v>3228</v>
      </c>
      <c r="H213" s="3231">
        <v>30.61</v>
      </c>
      <c r="I213" s="3231" t="s">
        <v>3190</v>
      </c>
    </row>
    <row r="214" spans="6:9" ht="13.5">
      <c r="F214" s="3231">
        <v>-2</v>
      </c>
      <c r="G214" s="3235" t="s">
        <v>3229</v>
      </c>
      <c r="H214" s="3231">
        <v>28.68</v>
      </c>
      <c r="I214" s="3231" t="s">
        <v>3190</v>
      </c>
    </row>
    <row r="215" spans="6:9" ht="13.5">
      <c r="F215" s="3231">
        <v>-2</v>
      </c>
      <c r="G215" s="3235" t="s">
        <v>3230</v>
      </c>
      <c r="H215" s="3231">
        <v>29.81</v>
      </c>
      <c r="I215" s="3231" t="s">
        <v>3190</v>
      </c>
    </row>
    <row r="216" spans="6:9" ht="13.5">
      <c r="F216" s="3231">
        <v>-2</v>
      </c>
      <c r="G216" s="3235" t="s">
        <v>3231</v>
      </c>
      <c r="H216" s="3231">
        <v>26.87</v>
      </c>
      <c r="I216" s="3231" t="s">
        <v>3190</v>
      </c>
    </row>
    <row r="217" spans="6:9" ht="13.5">
      <c r="F217" s="3231">
        <v>-2</v>
      </c>
      <c r="G217" s="3235" t="s">
        <v>3232</v>
      </c>
      <c r="H217" s="3231">
        <v>35.450000000000003</v>
      </c>
      <c r="I217" s="3231" t="s">
        <v>3190</v>
      </c>
    </row>
    <row r="218" spans="6:9" ht="13.5">
      <c r="F218" s="3231">
        <v>-2</v>
      </c>
      <c r="G218" s="3235" t="s">
        <v>3233</v>
      </c>
      <c r="H218" s="3231">
        <v>72.36</v>
      </c>
      <c r="I218" s="3231" t="s">
        <v>3190</v>
      </c>
    </row>
    <row r="219" spans="6:9" ht="13.5">
      <c r="F219" s="3231">
        <v>-2</v>
      </c>
      <c r="G219" s="3235" t="s">
        <v>3234</v>
      </c>
      <c r="H219" s="3231">
        <v>52.33</v>
      </c>
      <c r="I219" s="3231" t="s">
        <v>3190</v>
      </c>
    </row>
    <row r="220" spans="6:9" ht="13.5">
      <c r="F220" s="3231">
        <v>-2</v>
      </c>
      <c r="G220" s="3235" t="s">
        <v>3235</v>
      </c>
      <c r="H220" s="3231">
        <v>25.4</v>
      </c>
      <c r="I220" s="3231" t="s">
        <v>3190</v>
      </c>
    </row>
    <row r="221" spans="6:9" ht="13.5">
      <c r="F221" s="3231">
        <v>-2</v>
      </c>
      <c r="G221" s="3235" t="s">
        <v>3236</v>
      </c>
      <c r="H221" s="3231">
        <v>28.12</v>
      </c>
      <c r="I221" s="3231" t="s">
        <v>3190</v>
      </c>
    </row>
    <row r="222" spans="6:9" ht="13.5">
      <c r="F222" s="3231">
        <v>-2</v>
      </c>
      <c r="G222" s="3235" t="s">
        <v>3237</v>
      </c>
      <c r="H222" s="3231">
        <v>154.16</v>
      </c>
      <c r="I222" s="3231" t="s">
        <v>3190</v>
      </c>
    </row>
    <row r="223" spans="6:9" ht="13.5">
      <c r="F223" s="3231">
        <v>-2</v>
      </c>
      <c r="G223" s="3235" t="s">
        <v>3238</v>
      </c>
      <c r="H223" s="3231">
        <v>65.33</v>
      </c>
      <c r="I223" s="3231" t="s">
        <v>3190</v>
      </c>
    </row>
    <row r="224" spans="6:9" ht="13.5">
      <c r="F224" s="3231">
        <v>-2</v>
      </c>
      <c r="G224" s="3235" t="s">
        <v>3239</v>
      </c>
      <c r="H224" s="3231">
        <v>65.33</v>
      </c>
      <c r="I224" s="3231" t="s">
        <v>3190</v>
      </c>
    </row>
    <row r="226" spans="6:6">
      <c r="F226" s="3231">
        <v>221</v>
      </c>
    </row>
    <row r="227" spans="6:6">
      <c r="F227" s="3231">
        <v>19</v>
      </c>
    </row>
    <row r="228" spans="6:6">
      <c r="F228" s="3231">
        <v>21</v>
      </c>
    </row>
    <row r="229" spans="6:6">
      <c r="F229" s="3231">
        <v>8</v>
      </c>
    </row>
    <row r="230" spans="6:6">
      <c r="F230" s="3231">
        <f>F226-F227-F228-F229</f>
        <v>173</v>
      </c>
    </row>
  </sheetData>
  <mergeCells count="14">
    <mergeCell ref="L3:Q3"/>
    <mergeCell ref="L5:L12"/>
    <mergeCell ref="M6:M7"/>
    <mergeCell ref="M8:M9"/>
    <mergeCell ref="B17:B18"/>
    <mergeCell ref="B4:C4"/>
    <mergeCell ref="B5:C5"/>
    <mergeCell ref="B6:C6"/>
    <mergeCell ref="B10:C10"/>
    <mergeCell ref="B13:C13"/>
    <mergeCell ref="B16:C16"/>
    <mergeCell ref="B7:B9"/>
    <mergeCell ref="B11:B12"/>
    <mergeCell ref="B14:B1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91" t="str">
        <f>IF(项目基本情况!B9="房地产市场价值","估价结果一览表","结果表-2")</f>
        <v>结果表-2</v>
      </c>
      <c r="B1" s="3291"/>
      <c r="C1" s="3291"/>
      <c r="D1" s="3291"/>
      <c r="E1" s="3291"/>
      <c r="F1" s="3291"/>
      <c r="G1" s="3291"/>
      <c r="H1" s="3291"/>
      <c r="I1" s="3291"/>
    </row>
    <row r="2" spans="1:9" ht="30" customHeight="1" thickTop="1">
      <c r="A2" s="3292" t="s">
        <v>1365</v>
      </c>
      <c r="B2" s="3292" t="s">
        <v>1366</v>
      </c>
      <c r="C2" s="3292" t="s">
        <v>1367</v>
      </c>
      <c r="D2" s="3292" t="str">
        <f>结果表!D116</f>
        <v>出让国有建设用地使用权价值</v>
      </c>
      <c r="E2" s="3292"/>
      <c r="F2" s="3292" t="str">
        <f>结果表!F116</f>
        <v>在建建筑物价值</v>
      </c>
      <c r="G2" s="3292"/>
      <c r="H2" s="3292" t="str">
        <f>IF(项目基本情况!B9="房地产市场价值","房地产市场价值","房地产价值")</f>
        <v>房地产价值</v>
      </c>
      <c r="I2" s="3292"/>
    </row>
    <row r="3" spans="1:9" ht="15">
      <c r="A3" s="3286"/>
      <c r="B3" s="3286"/>
      <c r="C3" s="3286"/>
      <c r="D3" s="944" t="s">
        <v>1362</v>
      </c>
      <c r="E3" s="944" t="s">
        <v>1368</v>
      </c>
      <c r="F3" s="944" t="s">
        <v>1362</v>
      </c>
      <c r="G3" s="944" t="s">
        <v>1363</v>
      </c>
      <c r="H3" s="944" t="s">
        <v>1362</v>
      </c>
      <c r="I3" s="944" t="s">
        <v>1363</v>
      </c>
    </row>
    <row r="4" spans="1:9" ht="15">
      <c r="A4" s="1640" t="str">
        <f>项目基本情况!S2</f>
        <v>北京市房地产</v>
      </c>
      <c r="B4" s="944">
        <f>项目基本情况!C17</f>
        <v>23576.31</v>
      </c>
      <c r="C4" s="944">
        <f>项目基本情况!C18</f>
        <v>2435.9</v>
      </c>
      <c r="D4" s="944">
        <f ca="1">结果表!D118</f>
        <v>37793</v>
      </c>
      <c r="E4" s="944">
        <f ca="1">结果表!E118</f>
        <v>16030</v>
      </c>
      <c r="F4" s="944">
        <f ca="1">结果表!F118</f>
        <v>12330</v>
      </c>
      <c r="G4" s="944">
        <f ca="1">结果表!G118</f>
        <v>5230</v>
      </c>
      <c r="H4" s="944">
        <f ca="1">结果表!H118</f>
        <v>50123</v>
      </c>
      <c r="I4" s="944">
        <f ca="1">结果表!I118</f>
        <v>21260</v>
      </c>
    </row>
    <row r="5" spans="1:9" ht="30" customHeight="1">
      <c r="A5" s="3286" t="s">
        <v>1364</v>
      </c>
      <c r="B5" s="3286"/>
      <c r="C5" s="3286"/>
      <c r="D5" s="3287" t="str">
        <f ca="1">结果表!D119</f>
        <v>叁亿柒仟柒佰玖拾叁万元整</v>
      </c>
      <c r="E5" s="3287"/>
      <c r="F5" s="3287" t="str">
        <f ca="1">结果表!F119</f>
        <v>壹亿贰仟叁佰叁拾万元整</v>
      </c>
      <c r="G5" s="3287"/>
      <c r="H5" s="3287" t="str">
        <f ca="1">结果表!H119</f>
        <v>伍亿零壹佰贰拾叁万元整</v>
      </c>
      <c r="I5" s="3287"/>
    </row>
    <row r="6" spans="1:9" ht="15.75">
      <c r="A6" s="3285" t="str">
        <f>结果表!A120</f>
        <v>估价师知悉的法定优先受偿款</v>
      </c>
      <c r="B6" s="3285"/>
      <c r="C6" s="3285"/>
      <c r="D6" s="3285">
        <f>结果表!D120</f>
        <v>0</v>
      </c>
      <c r="E6" s="3285"/>
      <c r="F6" s="3285"/>
      <c r="G6" s="3285"/>
      <c r="H6" s="3285"/>
      <c r="I6" s="3285"/>
    </row>
    <row r="7" spans="1:9" ht="15">
      <c r="A7" s="3286" t="s">
        <v>1364</v>
      </c>
      <c r="B7" s="3286"/>
      <c r="C7" s="3286"/>
      <c r="D7" s="3288" t="str">
        <f>结果表!D121</f>
        <v>零元整</v>
      </c>
      <c r="E7" s="3289"/>
      <c r="F7" s="3289"/>
      <c r="G7" s="3289"/>
      <c r="H7" s="3289"/>
      <c r="I7" s="3290"/>
    </row>
    <row r="8" spans="1:9" ht="15.75">
      <c r="A8" s="3285" t="str">
        <f>结果表!A122</f>
        <v>房地产抵押价值</v>
      </c>
      <c r="B8" s="3285"/>
      <c r="C8" s="3285"/>
      <c r="D8" s="3285">
        <f ca="1">结果表!D122</f>
        <v>50123</v>
      </c>
      <c r="E8" s="3285"/>
      <c r="F8" s="3285"/>
      <c r="G8" s="3285"/>
      <c r="H8" s="3285"/>
      <c r="I8" s="3285"/>
    </row>
    <row r="9" spans="1:9" ht="15">
      <c r="A9" s="3286" t="s">
        <v>1364</v>
      </c>
      <c r="B9" s="3286"/>
      <c r="C9" s="3286"/>
      <c r="D9" s="3287" t="str">
        <f ca="1">结果表!D123</f>
        <v>伍亿零壹佰贰拾叁万元整</v>
      </c>
      <c r="E9" s="3287"/>
      <c r="F9" s="3287"/>
      <c r="G9" s="3287"/>
      <c r="H9" s="3287"/>
      <c r="I9" s="3287"/>
    </row>
    <row r="10" spans="1:9" ht="15.75">
      <c r="A10" s="3285" t="str">
        <f>结果表!A124</f>
        <v/>
      </c>
      <c r="B10" s="3285"/>
      <c r="C10" s="3285"/>
      <c r="D10" s="3285" t="str">
        <f>结果表!D124</f>
        <v>——</v>
      </c>
      <c r="E10" s="3285"/>
      <c r="F10" s="3285"/>
      <c r="G10" s="3285"/>
      <c r="H10" s="3285"/>
      <c r="I10" s="3285"/>
    </row>
    <row r="11" spans="1:9" ht="15">
      <c r="A11" s="3286" t="s">
        <v>1364</v>
      </c>
      <c r="B11" s="3286"/>
      <c r="C11" s="3286"/>
      <c r="D11" s="3287" t="e">
        <f>结果表!D125</f>
        <v>#VALUE!</v>
      </c>
      <c r="E11" s="3287"/>
      <c r="F11" s="3287"/>
      <c r="G11" s="3287"/>
      <c r="H11" s="3287"/>
      <c r="I11" s="3287"/>
    </row>
    <row r="12" spans="1:9" ht="15.75">
      <c r="A12" s="3285" t="str">
        <f>结果表!A126</f>
        <v/>
      </c>
      <c r="B12" s="3285"/>
      <c r="C12" s="3285"/>
      <c r="D12" s="3285" t="str">
        <f>结果表!D126</f>
        <v>——</v>
      </c>
      <c r="E12" s="3285"/>
      <c r="F12" s="3285"/>
      <c r="G12" s="3285"/>
      <c r="H12" s="3285"/>
      <c r="I12" s="3285"/>
    </row>
    <row r="13" spans="1:9" ht="15.75" thickBot="1">
      <c r="A13" s="3282" t="s">
        <v>1364</v>
      </c>
      <c r="B13" s="3282"/>
      <c r="C13" s="3282"/>
      <c r="D13" s="3283" t="e">
        <f>结果表!D127</f>
        <v>#VALUE!</v>
      </c>
      <c r="E13" s="3283"/>
      <c r="F13" s="3283"/>
      <c r="G13" s="3283"/>
      <c r="H13" s="3283"/>
      <c r="I13" s="3283"/>
    </row>
    <row r="14" spans="1:9" ht="15" thickTop="1">
      <c r="A14" s="3284" t="s">
        <v>1369</v>
      </c>
      <c r="B14" s="3284"/>
      <c r="C14" s="3284"/>
      <c r="D14" s="3284"/>
      <c r="E14" s="3284"/>
      <c r="F14" s="3284"/>
      <c r="G14" s="3284"/>
      <c r="H14" s="3284"/>
      <c r="I14" s="3284"/>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9" t="s">
        <v>1386</v>
      </c>
      <c r="B1" s="3299"/>
      <c r="C1" s="3299"/>
      <c r="D1" s="3299"/>
    </row>
    <row r="2" spans="1:4" ht="18">
      <c r="A2" s="3300" t="s">
        <v>1370</v>
      </c>
      <c r="B2" s="3300"/>
      <c r="C2" s="3300"/>
      <c r="D2" s="3300"/>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崔锴</v>
      </c>
      <c r="B5" s="1646">
        <f ca="1">项目基本情况!E4</f>
        <v>0</v>
      </c>
      <c r="C5" s="1649"/>
      <c r="D5" s="1648" t="s">
        <v>1375</v>
      </c>
    </row>
    <row r="6" spans="1:4" ht="18">
      <c r="A6" s="3300" t="s">
        <v>1376</v>
      </c>
      <c r="B6" s="3300"/>
      <c r="C6" s="3300"/>
      <c r="D6" s="3300"/>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301" t="s">
        <v>1379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8"/>
      <c r="C12" s="3298"/>
      <c r="D12" s="3298"/>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8"/>
      <c r="C13" s="3298"/>
      <c r="D13" s="3298"/>
    </row>
    <row r="14" spans="1:4" ht="15.75" customHeight="1">
      <c r="A14" s="3293" t="str">
        <f>IF(项目基本情况!B8="抵押","4.本次评估估价师所知悉的法定优先受偿款情况说明如下：","——")</f>
        <v>4.本次评估估价师所知悉的法定优先受偿款情况说明如下：</v>
      </c>
      <c r="B14" s="3298"/>
      <c r="C14" s="3298"/>
      <c r="D14" s="3298"/>
    </row>
    <row r="15" spans="1:4" ht="42" customHeight="1">
      <c r="A15" s="32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5" t="s">
        <v>1380</v>
      </c>
      <c r="B16" s="3295"/>
      <c r="C16" s="3295"/>
      <c r="D16" s="3295"/>
    </row>
    <row r="17" spans="1:4" ht="144" customHeight="1">
      <c r="A17" s="3295" t="s">
        <v>1381</v>
      </c>
      <c r="B17" s="3295"/>
      <c r="C17" s="3295"/>
      <c r="D17" s="3295"/>
    </row>
    <row r="18" spans="1:4" ht="15.75" customHeight="1">
      <c r="A18" s="3293" t="str">
        <f>IF(项目基本情况!B8="抵押",结果表!K120,"——")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3"/>
      <c r="C20" s="3293"/>
      <c r="D20" s="3293"/>
    </row>
    <row r="21" spans="1:4" ht="57.75" customHeight="1">
      <c r="A21" s="32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6"/>
      <c r="C21" s="3296"/>
      <c r="D21" s="3296"/>
    </row>
    <row r="22" spans="1:4" ht="18.75" customHeight="1">
      <c r="A22" s="3297" t="s">
        <v>1382</v>
      </c>
      <c r="B22" s="3297"/>
      <c r="C22" s="3297"/>
      <c r="D22" s="3297"/>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4">
        <v>42551</v>
      </c>
      <c r="D31" s="32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7" t="s">
        <v>1393</v>
      </c>
      <c r="B15" s="3302" t="s">
        <v>136</v>
      </c>
      <c r="C15" s="3303"/>
    </row>
    <row r="16" spans="1:7" ht="13.5">
      <c r="A16" s="3308"/>
      <c r="B16" s="3302" t="s">
        <v>69</v>
      </c>
      <c r="C16" s="3303"/>
    </row>
    <row r="17" spans="1:3" ht="13.5">
      <c r="A17" s="3308"/>
      <c r="B17" s="3305" t="s">
        <v>1394</v>
      </c>
      <c r="C17" s="1667" t="s">
        <v>1393</v>
      </c>
    </row>
    <row r="18" spans="1:3" ht="13.5">
      <c r="A18" s="3308"/>
      <c r="B18" s="3305"/>
      <c r="C18" s="1667" t="s">
        <v>1395</v>
      </c>
    </row>
    <row r="19" spans="1:3" ht="13.5">
      <c r="A19" s="3308"/>
      <c r="B19" s="3305"/>
      <c r="C19" s="1667" t="s">
        <v>1396</v>
      </c>
    </row>
    <row r="20" spans="1:3" ht="13.5">
      <c r="A20" s="3309"/>
      <c r="B20" s="3304" t="s">
        <v>1397</v>
      </c>
      <c r="C20" s="3303"/>
    </row>
    <row r="21" spans="1:3" ht="13.5">
      <c r="A21" s="1668" t="s">
        <v>1398</v>
      </c>
      <c r="B21" s="1669"/>
      <c r="C21" s="1670"/>
    </row>
    <row r="22" spans="1:3" ht="13.5">
      <c r="A22" s="3306" t="s">
        <v>1399</v>
      </c>
      <c r="B22" s="3304" t="s">
        <v>1400</v>
      </c>
      <c r="C22" s="3303"/>
    </row>
    <row r="23" spans="1:3" ht="13.5">
      <c r="A23" s="3306"/>
      <c r="B23" s="3304" t="s">
        <v>1401</v>
      </c>
      <c r="C23" s="3303"/>
    </row>
    <row r="24" spans="1:3" ht="13.5">
      <c r="A24" s="3306"/>
      <c r="B24" s="3304" t="s">
        <v>1402</v>
      </c>
      <c r="C24" s="3303"/>
    </row>
    <row r="25" spans="1:3" ht="13.5">
      <c r="A25" s="3306"/>
      <c r="B25" s="3305" t="s">
        <v>1403</v>
      </c>
      <c r="C25" s="1667" t="s">
        <v>1404</v>
      </c>
    </row>
    <row r="26" spans="1:3" ht="13.5">
      <c r="A26" s="3306"/>
      <c r="B26" s="3305"/>
      <c r="C26" s="1667" t="s">
        <v>1405</v>
      </c>
    </row>
    <row r="27" spans="1:3" ht="13.5">
      <c r="A27" s="3306"/>
      <c r="B27" s="3305"/>
      <c r="C27" s="1667" t="s">
        <v>1406</v>
      </c>
    </row>
    <row r="28" spans="1:3" ht="13.5">
      <c r="A28" s="3306"/>
      <c r="B28" s="3305"/>
      <c r="C28" s="1667" t="s">
        <v>1407</v>
      </c>
    </row>
    <row r="29" spans="1:3" ht="13.5">
      <c r="A29" s="3306"/>
      <c r="B29" s="3305"/>
      <c r="C29" s="1667" t="s">
        <v>1408</v>
      </c>
    </row>
    <row r="30" spans="1:3" ht="13.5">
      <c r="A30" s="3306"/>
      <c r="B30" s="3305"/>
      <c r="C30" s="1667" t="s">
        <v>1409</v>
      </c>
    </row>
    <row r="31" spans="1:3" ht="13.5">
      <c r="A31" s="3306"/>
      <c r="B31" s="3305"/>
      <c r="C31" s="1667" t="s">
        <v>1410</v>
      </c>
    </row>
    <row r="32" spans="1:3" ht="13.5">
      <c r="A32" s="3306"/>
      <c r="B32" s="3305"/>
      <c r="C32" s="1667" t="s">
        <v>1411</v>
      </c>
    </row>
    <row r="33" spans="1:3" ht="13.5">
      <c r="A33" s="3306"/>
      <c r="B33" s="3305"/>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44819</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310" t="s">
        <v>2661</v>
      </c>
      <c r="B17" s="3310"/>
      <c r="C17" s="3310"/>
      <c r="D17" s="3310"/>
      <c r="E17" s="3310"/>
      <c r="F17" s="3310"/>
      <c r="G17" s="3310"/>
      <c r="H17" s="3310"/>
    </row>
    <row r="18" spans="1:8" ht="24" customHeight="1">
      <c r="A18" s="3311" t="s">
        <v>2662</v>
      </c>
      <c r="B18" s="3311"/>
      <c r="C18" s="3311"/>
      <c r="D18" s="2516"/>
      <c r="E18" s="3312" t="s">
        <v>2663</v>
      </c>
      <c r="F18" s="3311"/>
      <c r="G18" s="3311"/>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6"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2022-09-15T09:13:55Z</dcterms:modified>
</cp:coreProperties>
</file>